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22" activeTab="31"/>
  </bookViews>
  <sheets>
    <sheet name="علی آقا عبداللهی" sheetId="6" r:id="rId1"/>
    <sheet name="علیرضا خالقی" sheetId="8" r:id="rId2"/>
    <sheet name="علیرضا خالقی 2" sheetId="43" r:id="rId3"/>
    <sheet name="رضا احمدی" sheetId="9" r:id="rId4"/>
    <sheet name="مهدی علیمحمدی" sheetId="10" r:id="rId5"/>
    <sheet name="علی غلامی تیگا" sheetId="14" r:id="rId6"/>
    <sheet name="جواد حاتم زاده فهندری" sheetId="24" r:id="rId7"/>
    <sheet name="مجتبی کامکاری" sheetId="16" r:id="rId8"/>
    <sheet name="محسن عبداللهی" sheetId="17" r:id="rId9"/>
    <sheet name="احمدرضا افضلی پل بندی" sheetId="22" r:id="rId10"/>
    <sheet name="علی غلامی" sheetId="21" r:id="rId11"/>
    <sheet name="جواد حاتم زاده" sheetId="25" r:id="rId12"/>
    <sheet name="غلامرضا یگانه" sheetId="26" r:id="rId13"/>
    <sheet name="آقای سحابی ( رفیعی )" sheetId="23" r:id="rId14"/>
    <sheet name="قاسم جوینی" sheetId="27" r:id="rId15"/>
    <sheet name="حسام راد حسینی" sheetId="34" r:id="rId16"/>
    <sheet name="مصطفی خدا دوست" sheetId="44" r:id="rId17"/>
    <sheet name="فاطمه کامگاری" sheetId="38" r:id="rId18"/>
    <sheet name="حمیده بیرجندی" sheetId="13" r:id="rId19"/>
    <sheet name="زهرا جلالی-خانم محمود جلالی" sheetId="15" r:id="rId20"/>
    <sheet name="مرضیه احیایی" sheetId="31" r:id="rId21"/>
    <sheet name="رویا رمضان زاده" sheetId="33" r:id="rId22"/>
    <sheet name="زهره رحمانی" sheetId="41" r:id="rId23"/>
    <sheet name="سالانه" sheetId="7" r:id="rId24"/>
    <sheet name="خرداد" sheetId="3" r:id="rId25"/>
    <sheet name="تیر" sheetId="20" r:id="rId26"/>
    <sheet name="مرداد" sheetId="28" r:id="rId27"/>
    <sheet name="شهریور" sheetId="30" r:id="rId28"/>
    <sheet name="مهر نهایی" sheetId="36" r:id="rId29"/>
    <sheet name="آبان" sheetId="35" r:id="rId30"/>
    <sheet name="آذر" sheetId="37" r:id="rId31"/>
    <sheet name="دی" sheetId="39" r:id="rId32"/>
  </sheets>
  <calcPr calcId="152511"/>
</workbook>
</file>

<file path=xl/calcChain.xml><?xml version="1.0" encoding="utf-8"?>
<calcChain xmlns="http://schemas.openxmlformats.org/spreadsheetml/2006/main">
  <c r="B22" i="44" l="1"/>
  <c r="F554" i="39"/>
  <c r="F920" i="39"/>
  <c r="D122" i="39" l="1"/>
  <c r="F122" i="39"/>
  <c r="F118" i="39"/>
  <c r="F121" i="39"/>
  <c r="F120" i="39"/>
  <c r="F119" i="39"/>
  <c r="J115" i="39"/>
  <c r="F108" i="39"/>
  <c r="F105" i="39"/>
  <c r="D109" i="39"/>
  <c r="F109" i="39" s="1"/>
  <c r="F1187" i="39" l="1"/>
  <c r="F994" i="37"/>
  <c r="F895" i="35"/>
  <c r="F514" i="39"/>
  <c r="F516" i="39" s="1"/>
  <c r="F1186" i="39"/>
  <c r="F751" i="39"/>
  <c r="F750" i="39"/>
  <c r="F749" i="39"/>
  <c r="D197" i="39"/>
  <c r="F195" i="39"/>
  <c r="F196" i="39" s="1"/>
  <c r="E196" i="39" s="1"/>
  <c r="F1185" i="39"/>
  <c r="J1073" i="39"/>
  <c r="J801" i="39"/>
  <c r="J590" i="39"/>
  <c r="J436" i="39"/>
  <c r="D436" i="39"/>
  <c r="F436" i="39" s="1"/>
  <c r="J182" i="39"/>
  <c r="F1183" i="39"/>
  <c r="F1181" i="39"/>
  <c r="F1116" i="39"/>
  <c r="D170" i="39" l="1"/>
  <c r="F170" i="39" s="1"/>
  <c r="J165" i="39"/>
  <c r="K165" i="39" s="1"/>
  <c r="J141" i="39"/>
  <c r="J298" i="39"/>
  <c r="J994" i="39"/>
  <c r="J41" i="39"/>
  <c r="J1118" i="39"/>
  <c r="J696" i="39"/>
  <c r="J766" i="39" l="1"/>
  <c r="J238" i="39"/>
  <c r="J1117" i="39"/>
  <c r="J395" i="39"/>
  <c r="J947" i="39"/>
  <c r="J691" i="39"/>
  <c r="F1022" i="39"/>
  <c r="J1020" i="39"/>
  <c r="F1182" i="39"/>
  <c r="F1114" i="39"/>
  <c r="D1115" i="39"/>
  <c r="F1115" i="39" s="1"/>
  <c r="F1178" i="39"/>
  <c r="F557" i="39"/>
  <c r="F1177" i="39"/>
  <c r="K41" i="39"/>
  <c r="F1140" i="39" l="1"/>
  <c r="F1139" i="39"/>
  <c r="F434" i="39"/>
  <c r="F388" i="39"/>
  <c r="F387" i="39"/>
  <c r="F1163" i="39"/>
  <c r="F1162" i="39"/>
  <c r="F900" i="39"/>
  <c r="J989" i="39"/>
  <c r="F916" i="39"/>
  <c r="J707" i="39"/>
  <c r="J1110" i="39"/>
  <c r="J769" i="39" l="1"/>
  <c r="J56" i="39"/>
  <c r="J1009" i="39"/>
  <c r="F136" i="39" l="1"/>
  <c r="D973" i="37"/>
  <c r="D126" i="39"/>
  <c r="D416" i="39"/>
  <c r="F416" i="39" s="1"/>
  <c r="K416" i="39" s="1"/>
  <c r="F415" i="39"/>
  <c r="K415" i="39" s="1"/>
  <c r="F414" i="39"/>
  <c r="K414" i="39" s="1"/>
  <c r="D353" i="37"/>
  <c r="F353" i="37" s="1"/>
  <c r="K353" i="37" s="1"/>
  <c r="F352" i="37"/>
  <c r="K352" i="37" s="1"/>
  <c r="F351" i="37"/>
  <c r="K351" i="37" s="1"/>
  <c r="F592" i="39" l="1"/>
  <c r="C39" i="44"/>
  <c r="F218" i="39" l="1"/>
  <c r="F3" i="15"/>
  <c r="E8" i="15"/>
  <c r="F647" i="39"/>
  <c r="F646" i="39"/>
  <c r="F534" i="39"/>
  <c r="D211" i="39"/>
  <c r="F210" i="39"/>
  <c r="F533" i="39"/>
  <c r="F154" i="39"/>
  <c r="D155" i="39"/>
  <c r="F153" i="39"/>
  <c r="F152" i="39"/>
  <c r="F151" i="39"/>
  <c r="F155" i="39" l="1"/>
  <c r="F723" i="39"/>
  <c r="F724" i="39"/>
  <c r="F725" i="39"/>
  <c r="F726" i="39"/>
  <c r="F727" i="39"/>
  <c r="F722" i="39"/>
  <c r="D728" i="39"/>
  <c r="F728" i="39" s="1"/>
  <c r="J564" i="39"/>
  <c r="J376" i="39"/>
  <c r="J569" i="39"/>
  <c r="J826" i="39"/>
  <c r="F351" i="39"/>
  <c r="J379" i="39"/>
  <c r="K379" i="39" s="1"/>
  <c r="F45" i="39" l="1"/>
  <c r="F566" i="39"/>
  <c r="F565" i="39"/>
  <c r="D378" i="39"/>
  <c r="F378" i="39" s="1"/>
  <c r="K376" i="39" s="1"/>
  <c r="F594" i="39"/>
  <c r="J737" i="39"/>
  <c r="J72" i="39"/>
  <c r="F788" i="39"/>
  <c r="F1175" i="39"/>
  <c r="F1113" i="39"/>
  <c r="F1174" i="39"/>
  <c r="F1173" i="39"/>
  <c r="F1171" i="39"/>
  <c r="J740" i="39"/>
  <c r="F740" i="39"/>
  <c r="J1077" i="39"/>
  <c r="F1077" i="39"/>
  <c r="J511" i="39"/>
  <c r="J284" i="39"/>
  <c r="K284" i="39" s="1"/>
  <c r="K740" i="39" l="1"/>
  <c r="K1077" i="39"/>
  <c r="F3" i="39"/>
  <c r="F4" i="39"/>
  <c r="F562" i="39"/>
  <c r="D563" i="39"/>
  <c r="F563" i="39" s="1"/>
  <c r="B64" i="8"/>
  <c r="B63" i="8"/>
  <c r="F1170" i="39"/>
  <c r="F1159" i="39"/>
  <c r="F1157" i="39"/>
  <c r="F1158" i="39"/>
  <c r="B68" i="8"/>
  <c r="J189" i="39"/>
  <c r="K189" i="39" s="1"/>
  <c r="F1169" i="39"/>
  <c r="F31" i="39"/>
  <c r="K31" i="39" s="1"/>
  <c r="F30" i="39"/>
  <c r="K30" i="39" s="1"/>
  <c r="F878" i="39"/>
  <c r="F1167" i="39"/>
  <c r="B103" i="43"/>
  <c r="B99" i="43"/>
  <c r="B94" i="43"/>
  <c r="B90" i="43"/>
  <c r="B81" i="43"/>
  <c r="B77" i="43"/>
  <c r="B64" i="43"/>
  <c r="B60" i="43"/>
  <c r="B61" i="43" s="1"/>
  <c r="B59" i="43"/>
  <c r="B55" i="43"/>
  <c r="B41" i="43"/>
  <c r="B37" i="43"/>
  <c r="B32" i="43"/>
  <c r="B28" i="43"/>
  <c r="B23" i="43"/>
  <c r="B19" i="43"/>
  <c r="F877" i="39" l="1"/>
  <c r="F1054" i="39"/>
  <c r="J1098" i="39"/>
  <c r="F1099" i="39"/>
  <c r="F1098" i="39"/>
  <c r="F1100" i="39"/>
  <c r="J10" i="39"/>
  <c r="F10" i="39"/>
  <c r="J1071" i="39"/>
  <c r="D1068" i="39"/>
  <c r="F1068" i="39" s="1"/>
  <c r="F27" i="39"/>
  <c r="J812" i="37"/>
  <c r="J313" i="39"/>
  <c r="J538" i="39"/>
  <c r="J53" i="39"/>
  <c r="J52" i="39"/>
  <c r="F1166" i="39"/>
  <c r="F1165" i="39"/>
  <c r="F1164" i="39"/>
  <c r="K1098" i="39" l="1"/>
  <c r="F1161" i="39"/>
  <c r="F680" i="39"/>
  <c r="F679" i="39"/>
  <c r="F678" i="39"/>
  <c r="F677" i="39"/>
  <c r="F676" i="39"/>
  <c r="F675" i="39"/>
  <c r="F674" i="39"/>
  <c r="J671" i="39"/>
  <c r="F957" i="39" l="1"/>
  <c r="F472" i="39"/>
  <c r="D430" i="39"/>
  <c r="F859" i="39" l="1"/>
  <c r="K856" i="39"/>
  <c r="J857" i="39"/>
  <c r="J856" i="39"/>
  <c r="F761" i="39"/>
  <c r="F760" i="39"/>
  <c r="D762" i="39"/>
  <c r="F762" i="39" s="1"/>
  <c r="D32" i="39" l="1"/>
  <c r="F32" i="39" s="1"/>
  <c r="K32" i="39" s="1"/>
  <c r="D34" i="23"/>
  <c r="E34" i="23" s="1"/>
  <c r="B35" i="23" s="1"/>
  <c r="B34" i="23"/>
  <c r="D33" i="23"/>
  <c r="E33" i="23" s="1"/>
  <c r="B7" i="43" l="1"/>
  <c r="B8" i="43" s="1"/>
  <c r="F44" i="43"/>
  <c r="H44" i="43" s="1"/>
  <c r="F98" i="43"/>
  <c r="H98" i="43" s="1"/>
  <c r="F97" i="43"/>
  <c r="H97" i="43" s="1"/>
  <c r="F85" i="43"/>
  <c r="H85" i="43" s="1"/>
  <c r="F86" i="43"/>
  <c r="H86" i="43" s="1"/>
  <c r="F87" i="43"/>
  <c r="H87" i="43" s="1"/>
  <c r="F88" i="43"/>
  <c r="H88" i="43" s="1"/>
  <c r="F89" i="43"/>
  <c r="H89" i="43" s="1"/>
  <c r="F84" i="43"/>
  <c r="H84" i="43" s="1"/>
  <c r="F68" i="43"/>
  <c r="H68" i="43" s="1"/>
  <c r="F69" i="43"/>
  <c r="H69" i="43" s="1"/>
  <c r="F70" i="43"/>
  <c r="H70" i="43" s="1"/>
  <c r="F71" i="43"/>
  <c r="H71" i="43" s="1"/>
  <c r="F72" i="43"/>
  <c r="H72" i="43" s="1"/>
  <c r="F73" i="43"/>
  <c r="H73" i="43" s="1"/>
  <c r="F74" i="43"/>
  <c r="H74" i="43" s="1"/>
  <c r="F75" i="43"/>
  <c r="H75" i="43" s="1"/>
  <c r="F76" i="43"/>
  <c r="H76" i="43" s="1"/>
  <c r="F67" i="43"/>
  <c r="H67" i="43" s="1"/>
  <c r="F52" i="43"/>
  <c r="H52" i="43" s="1"/>
  <c r="F53" i="43"/>
  <c r="H53" i="43" s="1"/>
  <c r="F54" i="43"/>
  <c r="H54" i="43" s="1"/>
  <c r="F46" i="43"/>
  <c r="H46" i="43" s="1"/>
  <c r="F47" i="43"/>
  <c r="H47" i="43" s="1"/>
  <c r="F48" i="43"/>
  <c r="H48" i="43" s="1"/>
  <c r="F49" i="43"/>
  <c r="H49" i="43" s="1"/>
  <c r="F50" i="43"/>
  <c r="H50" i="43" s="1"/>
  <c r="F51" i="43"/>
  <c r="H51" i="43" s="1"/>
  <c r="F45" i="43"/>
  <c r="H45" i="43" s="1"/>
  <c r="F36" i="43"/>
  <c r="H36" i="43" s="1"/>
  <c r="F35" i="43"/>
  <c r="H35" i="43" s="1"/>
  <c r="F27" i="43"/>
  <c r="H27" i="43" s="1"/>
  <c r="F26" i="43"/>
  <c r="H26" i="43" s="1"/>
  <c r="B29" i="43" s="1"/>
  <c r="F18" i="43"/>
  <c r="H18" i="43" s="1"/>
  <c r="F17" i="43"/>
  <c r="H17" i="43" s="1"/>
  <c r="F16" i="43"/>
  <c r="H16" i="43" s="1"/>
  <c r="F15" i="43"/>
  <c r="H15" i="43" s="1"/>
  <c r="F6" i="43"/>
  <c r="F5" i="43"/>
  <c r="F4" i="43"/>
  <c r="F3" i="43"/>
  <c r="B56" i="43" l="1"/>
  <c r="B91" i="43"/>
  <c r="B38" i="43"/>
  <c r="B78" i="43"/>
  <c r="B100" i="43"/>
  <c r="B20" i="43"/>
  <c r="B9" i="43"/>
  <c r="B10" i="43" s="1"/>
  <c r="B12" i="43" s="1"/>
  <c r="B13" i="43" s="1"/>
  <c r="B14" i="43" s="1"/>
  <c r="B21" i="43" s="1"/>
  <c r="J632" i="39"/>
  <c r="J1094" i="39"/>
  <c r="F1094" i="39"/>
  <c r="J293" i="39"/>
  <c r="F293" i="39"/>
  <c r="K1094" i="39" l="1"/>
  <c r="K293" i="39"/>
  <c r="B24" i="43"/>
  <c r="B25" i="43" s="1"/>
  <c r="B30" i="43" s="1"/>
  <c r="J1097" i="39"/>
  <c r="F1097" i="39"/>
  <c r="J1142" i="39"/>
  <c r="F1142" i="39"/>
  <c r="F357" i="39"/>
  <c r="J880" i="39"/>
  <c r="D51" i="39"/>
  <c r="F51" i="39" s="1"/>
  <c r="F96" i="39"/>
  <c r="J1154" i="39"/>
  <c r="F1154" i="39"/>
  <c r="J1153" i="39"/>
  <c r="F1153" i="39"/>
  <c r="J842" i="39"/>
  <c r="J1060" i="39"/>
  <c r="F1060" i="39"/>
  <c r="J610" i="39"/>
  <c r="D610" i="39"/>
  <c r="F610" i="39" s="1"/>
  <c r="K610" i="39" s="1"/>
  <c r="F19" i="39"/>
  <c r="J964" i="39"/>
  <c r="D967" i="39"/>
  <c r="F967" i="39" s="1"/>
  <c r="J1151" i="39"/>
  <c r="F1151" i="39"/>
  <c r="F253" i="39"/>
  <c r="F131" i="39"/>
  <c r="F731" i="39"/>
  <c r="J300" i="39"/>
  <c r="F1150" i="39"/>
  <c r="F1147" i="39"/>
  <c r="J764" i="39"/>
  <c r="J1135" i="39"/>
  <c r="K1135" i="39" s="1"/>
  <c r="D654" i="39"/>
  <c r="D655" i="39" s="1"/>
  <c r="F673" i="39"/>
  <c r="E134" i="27"/>
  <c r="D134" i="27"/>
  <c r="D133" i="27"/>
  <c r="B134" i="27"/>
  <c r="B148" i="27" s="1"/>
  <c r="B150" i="27"/>
  <c r="E145" i="27"/>
  <c r="F145" i="27" s="1"/>
  <c r="E144" i="27"/>
  <c r="F144" i="27" s="1"/>
  <c r="E143" i="27"/>
  <c r="F143" i="27" s="1"/>
  <c r="E142" i="27"/>
  <c r="F142" i="27" s="1"/>
  <c r="E141" i="27"/>
  <c r="F141" i="27" s="1"/>
  <c r="E140" i="27"/>
  <c r="F140" i="27" s="1"/>
  <c r="E139" i="27"/>
  <c r="F139" i="27" s="1"/>
  <c r="E138" i="27"/>
  <c r="F138" i="27" s="1"/>
  <c r="E136" i="27"/>
  <c r="F136" i="27" s="1"/>
  <c r="D136" i="27"/>
  <c r="E135" i="27"/>
  <c r="F135" i="27" s="1"/>
  <c r="E148" i="27"/>
  <c r="D132" i="27"/>
  <c r="D131" i="27"/>
  <c r="D130" i="27"/>
  <c r="J711" i="39"/>
  <c r="K711" i="39" s="1"/>
  <c r="J1011" i="39"/>
  <c r="F502" i="37"/>
  <c r="J789" i="39"/>
  <c r="F551" i="39"/>
  <c r="K551" i="39" s="1"/>
  <c r="F550" i="39"/>
  <c r="K550" i="39" s="1"/>
  <c r="D552" i="39"/>
  <c r="F552" i="39" s="1"/>
  <c r="K552" i="39" s="1"/>
  <c r="F1146" i="39"/>
  <c r="J1104" i="39"/>
  <c r="F1104" i="39"/>
  <c r="J1105" i="39"/>
  <c r="F1105" i="39"/>
  <c r="J830" i="39"/>
  <c r="J1095" i="39"/>
  <c r="J824" i="39"/>
  <c r="J1096" i="39"/>
  <c r="K1096" i="39" s="1"/>
  <c r="J603" i="39"/>
  <c r="F1143" i="39"/>
  <c r="K1142" i="39" l="1"/>
  <c r="K1097" i="39"/>
  <c r="K1153" i="39"/>
  <c r="K1060" i="39"/>
  <c r="K1154" i="39"/>
  <c r="B33" i="43"/>
  <c r="B34" i="43" s="1"/>
  <c r="B39" i="43" s="1"/>
  <c r="K1151" i="39"/>
  <c r="K964" i="39"/>
  <c r="D148" i="27"/>
  <c r="F148" i="27"/>
  <c r="B149" i="27" s="1"/>
  <c r="B151" i="27" s="1"/>
  <c r="K1105" i="39"/>
  <c r="K1104" i="39"/>
  <c r="D542" i="39"/>
  <c r="B42" i="43" l="1"/>
  <c r="B43" i="43" s="1"/>
  <c r="B57" i="43" s="1"/>
  <c r="F329" i="39"/>
  <c r="J795" i="39"/>
  <c r="F777" i="37"/>
  <c r="F776" i="37"/>
  <c r="F775" i="37"/>
  <c r="J775" i="37"/>
  <c r="K775" i="37" s="1"/>
  <c r="H40" i="26"/>
  <c r="F40" i="26" s="1"/>
  <c r="I40" i="26" s="1"/>
  <c r="F442" i="39"/>
  <c r="J755" i="39"/>
  <c r="B65" i="43" l="1"/>
  <c r="B66" i="43" s="1"/>
  <c r="B79" i="43" s="1"/>
  <c r="J269" i="39"/>
  <c r="F268" i="39"/>
  <c r="J184" i="39"/>
  <c r="K184" i="39" s="1"/>
  <c r="J506" i="39"/>
  <c r="J192" i="39"/>
  <c r="F84" i="39"/>
  <c r="J194" i="39"/>
  <c r="K194" i="39" s="1"/>
  <c r="F927" i="39"/>
  <c r="J926" i="39"/>
  <c r="F926" i="39"/>
  <c r="F907" i="39"/>
  <c r="J224" i="39"/>
  <c r="D203" i="39"/>
  <c r="F203" i="39" s="1"/>
  <c r="F202" i="39"/>
  <c r="J201" i="39"/>
  <c r="F717" i="39"/>
  <c r="J866" i="39"/>
  <c r="F816" i="39"/>
  <c r="F815" i="39"/>
  <c r="F814" i="39"/>
  <c r="F813" i="39"/>
  <c r="F812" i="39"/>
  <c r="F811" i="39"/>
  <c r="D817" i="39"/>
  <c r="J806" i="39"/>
  <c r="J804" i="39"/>
  <c r="J1141" i="39"/>
  <c r="F1141" i="39"/>
  <c r="J1032" i="39"/>
  <c r="J768" i="39"/>
  <c r="F89" i="39"/>
  <c r="C103" i="31"/>
  <c r="J261" i="39"/>
  <c r="F1121" i="39"/>
  <c r="F1122" i="39"/>
  <c r="J251" i="39"/>
  <c r="F251" i="39"/>
  <c r="J285" i="39"/>
  <c r="F285" i="39"/>
  <c r="B82" i="43" l="1"/>
  <c r="B83" i="43" s="1"/>
  <c r="B92" i="43" s="1"/>
  <c r="K251" i="39"/>
  <c r="F1026" i="39"/>
  <c r="J819" i="39"/>
  <c r="J1131" i="39"/>
  <c r="J473" i="39"/>
  <c r="K473" i="39" s="1"/>
  <c r="J1127" i="39"/>
  <c r="F1066" i="39"/>
  <c r="J969" i="39"/>
  <c r="J1130" i="39"/>
  <c r="B95" i="43" l="1"/>
  <c r="B96" i="43" s="1"/>
  <c r="B101" i="43" s="1"/>
  <c r="B104" i="43" s="1"/>
  <c r="B105" i="43" s="1"/>
  <c r="B65" i="8"/>
  <c r="B66" i="8" s="1"/>
  <c r="B69" i="8" s="1"/>
  <c r="B62" i="8"/>
  <c r="B60" i="8"/>
  <c r="B59" i="8"/>
  <c r="B58" i="8"/>
  <c r="B57" i="8"/>
  <c r="B16" i="41"/>
  <c r="H10" i="41"/>
  <c r="F10" i="41"/>
  <c r="F12" i="41"/>
  <c r="H12" i="41" s="1"/>
  <c r="F11" i="41"/>
  <c r="H11" i="41" s="1"/>
  <c r="F5" i="41"/>
  <c r="H5" i="41" s="1"/>
  <c r="F4" i="41"/>
  <c r="H4" i="41" s="1"/>
  <c r="B8" i="41" s="1"/>
  <c r="F1129" i="39"/>
  <c r="E106" i="27" l="1"/>
  <c r="F106" i="27" s="1"/>
  <c r="E108" i="27"/>
  <c r="F108" i="27" s="1"/>
  <c r="B118" i="27"/>
  <c r="E113" i="27"/>
  <c r="F113" i="27" s="1"/>
  <c r="E112" i="27"/>
  <c r="F112" i="27" s="1"/>
  <c r="E111" i="27"/>
  <c r="F111" i="27" s="1"/>
  <c r="E110" i="27"/>
  <c r="F110" i="27" s="1"/>
  <c r="E109" i="27"/>
  <c r="F109" i="27" s="1"/>
  <c r="E107" i="27"/>
  <c r="F107" i="27" s="1"/>
  <c r="E104" i="27"/>
  <c r="F104" i="27" s="1"/>
  <c r="D104" i="27"/>
  <c r="F103" i="27"/>
  <c r="E103" i="27"/>
  <c r="E102" i="27"/>
  <c r="E116" i="27" s="1"/>
  <c r="B102" i="27"/>
  <c r="B116" i="27" s="1"/>
  <c r="D101" i="27"/>
  <c r="D100" i="27"/>
  <c r="D99" i="27"/>
  <c r="D102" i="27" s="1"/>
  <c r="D116" i="27" s="1"/>
  <c r="B14" i="41"/>
  <c r="B6" i="41"/>
  <c r="F116" i="27" l="1"/>
  <c r="B117" i="27" s="1"/>
  <c r="B119" i="27" s="1"/>
  <c r="B7" i="41"/>
  <c r="J112" i="39"/>
  <c r="F1126" i="39"/>
  <c r="F1053" i="39"/>
  <c r="F911" i="39"/>
  <c r="F968" i="39"/>
  <c r="F836" i="37"/>
  <c r="J836" i="37"/>
  <c r="J968" i="39"/>
  <c r="J684" i="39"/>
  <c r="J237" i="39"/>
  <c r="B9" i="41" l="1"/>
  <c r="B15" i="41" s="1"/>
  <c r="J748" i="39"/>
  <c r="F748" i="39"/>
  <c r="J204" i="39"/>
  <c r="K204" i="39" s="1"/>
  <c r="F147" i="39"/>
  <c r="F145" i="39"/>
  <c r="F146" i="39"/>
  <c r="J144" i="39"/>
  <c r="F542" i="39"/>
  <c r="F538" i="39"/>
  <c r="J537" i="39"/>
  <c r="F493" i="37"/>
  <c r="F588" i="39"/>
  <c r="K590" i="39" s="1"/>
  <c r="J543" i="39"/>
  <c r="J544" i="39"/>
  <c r="J546" i="39"/>
  <c r="J547" i="39"/>
  <c r="J548" i="39"/>
  <c r="J553" i="39"/>
  <c r="J558" i="39"/>
  <c r="J559" i="39"/>
  <c r="J567" i="39"/>
  <c r="K567" i="39" s="1"/>
  <c r="J1125" i="39"/>
  <c r="F1125" i="39"/>
  <c r="J1124" i="39"/>
  <c r="F1123" i="39"/>
  <c r="J1120" i="39"/>
  <c r="F1119" i="39"/>
  <c r="F1118" i="39"/>
  <c r="K1118" i="39" s="1"/>
  <c r="F1117" i="39"/>
  <c r="K1117" i="39" s="1"/>
  <c r="F1111" i="39"/>
  <c r="F1110" i="39"/>
  <c r="K1110" i="39" s="1"/>
  <c r="J1109" i="39"/>
  <c r="J1108" i="39"/>
  <c r="J1107" i="39"/>
  <c r="F1107" i="39"/>
  <c r="J1106" i="39"/>
  <c r="F1106" i="39"/>
  <c r="J1103" i="39"/>
  <c r="F1103" i="39"/>
  <c r="F1102" i="39"/>
  <c r="J1101" i="39"/>
  <c r="K1101" i="39" s="1"/>
  <c r="F1095" i="39"/>
  <c r="K1095" i="39" s="1"/>
  <c r="J1093" i="39"/>
  <c r="F1093" i="39"/>
  <c r="J1092" i="39"/>
  <c r="F1092" i="39"/>
  <c r="J1091" i="39"/>
  <c r="F1091" i="39"/>
  <c r="J1090" i="39"/>
  <c r="F1090" i="39"/>
  <c r="J1088" i="39"/>
  <c r="F1088" i="39"/>
  <c r="J1087" i="39"/>
  <c r="F1087" i="39"/>
  <c r="J1086" i="39"/>
  <c r="F1086" i="39"/>
  <c r="J1085" i="39"/>
  <c r="F1085" i="39"/>
  <c r="J1084" i="39"/>
  <c r="F1084" i="39"/>
  <c r="F1083" i="39"/>
  <c r="J1082" i="39"/>
  <c r="F1082" i="39"/>
  <c r="K1082" i="39" s="1"/>
  <c r="J1080" i="39"/>
  <c r="F1080" i="39"/>
  <c r="J1079" i="39"/>
  <c r="F1079" i="39"/>
  <c r="J1078" i="39"/>
  <c r="F1078" i="39"/>
  <c r="J1076" i="39"/>
  <c r="K1076" i="39" s="1"/>
  <c r="J1074" i="39"/>
  <c r="K1074" i="39" s="1"/>
  <c r="F1074" i="39"/>
  <c r="J1072" i="39"/>
  <c r="E1072" i="39"/>
  <c r="D1071" i="39"/>
  <c r="F1071" i="39" s="1"/>
  <c r="F1070" i="39"/>
  <c r="F1069" i="39"/>
  <c r="J1065" i="39"/>
  <c r="F1065" i="39"/>
  <c r="J1064" i="39"/>
  <c r="F1064" i="39"/>
  <c r="J1063" i="39"/>
  <c r="F1063" i="39"/>
  <c r="J1062" i="39"/>
  <c r="F1062" i="39"/>
  <c r="J1061" i="39"/>
  <c r="F1061" i="39"/>
  <c r="J1059" i="39"/>
  <c r="F1059" i="39"/>
  <c r="J1058" i="39"/>
  <c r="F1058" i="39"/>
  <c r="J1057" i="39"/>
  <c r="F1057" i="39"/>
  <c r="J1056" i="39"/>
  <c r="F1056" i="39"/>
  <c r="J1055" i="39"/>
  <c r="F1055" i="39"/>
  <c r="J1052" i="39"/>
  <c r="F1052" i="39"/>
  <c r="J1051" i="39"/>
  <c r="J1050" i="39"/>
  <c r="F1050" i="39"/>
  <c r="J1049" i="39"/>
  <c r="F1049" i="39"/>
  <c r="J1047" i="39"/>
  <c r="J1046" i="39"/>
  <c r="F1046" i="39"/>
  <c r="J1045" i="39"/>
  <c r="F1045" i="39"/>
  <c r="J1044" i="39"/>
  <c r="F1044" i="39"/>
  <c r="F1043" i="39"/>
  <c r="F1041" i="39"/>
  <c r="D1042" i="39" s="1"/>
  <c r="F1042" i="39" s="1"/>
  <c r="F1040" i="39"/>
  <c r="F1038" i="39"/>
  <c r="J1037" i="39"/>
  <c r="J1036" i="39"/>
  <c r="J1035" i="39"/>
  <c r="J1034" i="39"/>
  <c r="F1034" i="39"/>
  <c r="F1032" i="39"/>
  <c r="J1031" i="39"/>
  <c r="F1031" i="39"/>
  <c r="J1030" i="39"/>
  <c r="F1030" i="39"/>
  <c r="F1029" i="39"/>
  <c r="F1027" i="39"/>
  <c r="J1025" i="39"/>
  <c r="F1025" i="39"/>
  <c r="J1024" i="39"/>
  <c r="J1023" i="39"/>
  <c r="F1023" i="39"/>
  <c r="F1021" i="39"/>
  <c r="F1020" i="39"/>
  <c r="F1017" i="39"/>
  <c r="J1016" i="39"/>
  <c r="F1016" i="39"/>
  <c r="J1015" i="39"/>
  <c r="F1015" i="39"/>
  <c r="J1014" i="39"/>
  <c r="J1013" i="39"/>
  <c r="F1013" i="39"/>
  <c r="F1012" i="39"/>
  <c r="F1011" i="39"/>
  <c r="F1009" i="39"/>
  <c r="D1008" i="39"/>
  <c r="J1007" i="39"/>
  <c r="F1007" i="39"/>
  <c r="F1006" i="39"/>
  <c r="J1005" i="39"/>
  <c r="F1005" i="39"/>
  <c r="J1004" i="39"/>
  <c r="K1004" i="39" s="1"/>
  <c r="F1003" i="39"/>
  <c r="F1002" i="39"/>
  <c r="J1001" i="39"/>
  <c r="K1001" i="39" s="1"/>
  <c r="J1000" i="39"/>
  <c r="F1000" i="39"/>
  <c r="D999" i="39"/>
  <c r="F998" i="39"/>
  <c r="F997" i="39"/>
  <c r="J996" i="39"/>
  <c r="F996" i="39"/>
  <c r="F989" i="39"/>
  <c r="J988" i="39"/>
  <c r="F988" i="39"/>
  <c r="F987" i="39"/>
  <c r="F986" i="39"/>
  <c r="J985" i="39"/>
  <c r="F985" i="39"/>
  <c r="J984" i="39"/>
  <c r="F984" i="39"/>
  <c r="D982" i="39"/>
  <c r="F981" i="39"/>
  <c r="J979" i="39"/>
  <c r="K979" i="39" s="1"/>
  <c r="J978" i="39"/>
  <c r="K978" i="39" s="1"/>
  <c r="E978" i="39"/>
  <c r="J977" i="39"/>
  <c r="F977" i="39"/>
  <c r="J976" i="39"/>
  <c r="F976" i="39"/>
  <c r="J975" i="39"/>
  <c r="F975" i="39"/>
  <c r="J974" i="39"/>
  <c r="F974" i="39"/>
  <c r="J973" i="39"/>
  <c r="F973" i="39"/>
  <c r="J972" i="39"/>
  <c r="F972" i="39"/>
  <c r="F966" i="39"/>
  <c r="F965" i="39"/>
  <c r="F964" i="39"/>
  <c r="F963" i="39"/>
  <c r="J958" i="39"/>
  <c r="K958" i="39" s="1"/>
  <c r="J956" i="39"/>
  <c r="F956" i="39"/>
  <c r="J954" i="39"/>
  <c r="F954" i="39"/>
  <c r="J953" i="39"/>
  <c r="F953" i="39"/>
  <c r="J952" i="39"/>
  <c r="J951" i="39"/>
  <c r="F951" i="39"/>
  <c r="J950" i="39"/>
  <c r="F950" i="39"/>
  <c r="J949" i="39"/>
  <c r="J948" i="39"/>
  <c r="F948" i="39"/>
  <c r="J946" i="39"/>
  <c r="F946" i="39"/>
  <c r="K947" i="39" s="1"/>
  <c r="J945" i="39"/>
  <c r="F945" i="39"/>
  <c r="J944" i="39"/>
  <c r="K944" i="39" s="1"/>
  <c r="J943" i="39"/>
  <c r="F943" i="39"/>
  <c r="J942" i="39"/>
  <c r="F942" i="39"/>
  <c r="J941" i="39"/>
  <c r="F941" i="39"/>
  <c r="J938" i="39"/>
  <c r="K938" i="39" s="1"/>
  <c r="J937" i="39"/>
  <c r="J936" i="39"/>
  <c r="F936" i="39"/>
  <c r="J935" i="39"/>
  <c r="F935" i="39"/>
  <c r="F934" i="39"/>
  <c r="J931" i="39"/>
  <c r="F931" i="39"/>
  <c r="J930" i="39"/>
  <c r="F930" i="39"/>
  <c r="J929" i="39"/>
  <c r="F929" i="39"/>
  <c r="F928" i="39"/>
  <c r="K926" i="39"/>
  <c r="F915" i="39"/>
  <c r="F914" i="39"/>
  <c r="J913" i="39"/>
  <c r="F913" i="39"/>
  <c r="J911" i="39"/>
  <c r="K911" i="39" s="1"/>
  <c r="J910" i="39"/>
  <c r="F910" i="39"/>
  <c r="J909" i="39"/>
  <c r="F909" i="39"/>
  <c r="J908" i="39"/>
  <c r="F908" i="39"/>
  <c r="J906" i="39"/>
  <c r="F906" i="39"/>
  <c r="J905" i="39"/>
  <c r="F905" i="39"/>
  <c r="J904" i="39"/>
  <c r="K904" i="39" s="1"/>
  <c r="E904" i="39"/>
  <c r="J903" i="39"/>
  <c r="F903" i="39"/>
  <c r="F902" i="39"/>
  <c r="J899" i="39"/>
  <c r="F899" i="39"/>
  <c r="F898" i="39"/>
  <c r="J897" i="39"/>
  <c r="K897" i="39" s="1"/>
  <c r="F897" i="39"/>
  <c r="J896" i="39"/>
  <c r="J895" i="39"/>
  <c r="F895" i="39"/>
  <c r="J894" i="39"/>
  <c r="F894" i="39"/>
  <c r="D892" i="39"/>
  <c r="J888" i="39"/>
  <c r="F888" i="39"/>
  <c r="J887" i="39"/>
  <c r="F887" i="39"/>
  <c r="J886" i="39"/>
  <c r="F886" i="39"/>
  <c r="J885" i="39"/>
  <c r="F885" i="39"/>
  <c r="J884" i="39"/>
  <c r="F884" i="39"/>
  <c r="J883" i="39"/>
  <c r="F883" i="39"/>
  <c r="F882" i="39"/>
  <c r="K880" i="39" s="1"/>
  <c r="F881" i="39"/>
  <c r="F880" i="39"/>
  <c r="J879" i="39"/>
  <c r="F879" i="39"/>
  <c r="F876" i="39"/>
  <c r="J875" i="39"/>
  <c r="F873" i="39"/>
  <c r="F872" i="39"/>
  <c r="F871" i="39"/>
  <c r="F870" i="39"/>
  <c r="F869" i="39"/>
  <c r="F868" i="39"/>
  <c r="F866" i="39"/>
  <c r="J865" i="39"/>
  <c r="F865" i="39"/>
  <c r="J864" i="39"/>
  <c r="F864" i="39"/>
  <c r="J863" i="39"/>
  <c r="F863" i="39"/>
  <c r="F857" i="39"/>
  <c r="F855" i="39"/>
  <c r="D849" i="39"/>
  <c r="D856" i="39" s="1"/>
  <c r="D858" i="39" s="1"/>
  <c r="D860" i="39" s="1"/>
  <c r="F848" i="39"/>
  <c r="F847" i="39"/>
  <c r="F846" i="39"/>
  <c r="F845" i="39"/>
  <c r="F844" i="39"/>
  <c r="F843" i="39"/>
  <c r="K842" i="39"/>
  <c r="D840" i="39"/>
  <c r="F840" i="39" s="1"/>
  <c r="F839" i="39"/>
  <c r="F838" i="39"/>
  <c r="F837" i="39"/>
  <c r="F836" i="39"/>
  <c r="F835" i="39"/>
  <c r="F834" i="39"/>
  <c r="F831" i="39"/>
  <c r="F830" i="39"/>
  <c r="F826" i="39"/>
  <c r="K826" i="39" s="1"/>
  <c r="F824" i="39"/>
  <c r="K824" i="39" s="1"/>
  <c r="D823" i="39"/>
  <c r="F823" i="39" s="1"/>
  <c r="K819" i="39" s="1"/>
  <c r="F822" i="39"/>
  <c r="F821" i="39"/>
  <c r="F820" i="39"/>
  <c r="F819" i="39"/>
  <c r="J810" i="39"/>
  <c r="F810" i="39"/>
  <c r="F817" i="39" s="1"/>
  <c r="F809" i="39"/>
  <c r="J808" i="39"/>
  <c r="F808" i="39"/>
  <c r="F807" i="39"/>
  <c r="F806" i="39"/>
  <c r="F805" i="39"/>
  <c r="F804" i="39"/>
  <c r="F803" i="39"/>
  <c r="J802" i="39"/>
  <c r="F802" i="39"/>
  <c r="J799" i="39"/>
  <c r="F799" i="39"/>
  <c r="F798" i="39"/>
  <c r="J797" i="39"/>
  <c r="F797" i="39"/>
  <c r="F795" i="39"/>
  <c r="J794" i="39"/>
  <c r="K794" i="39" s="1"/>
  <c r="J793" i="39"/>
  <c r="F793" i="39"/>
  <c r="J792" i="39"/>
  <c r="F792" i="39"/>
  <c r="J791" i="39"/>
  <c r="F791" i="39"/>
  <c r="F789" i="39"/>
  <c r="J787" i="39"/>
  <c r="F787" i="39"/>
  <c r="J786" i="39"/>
  <c r="F786" i="39"/>
  <c r="J785" i="39"/>
  <c r="F785" i="39"/>
  <c r="D783" i="39"/>
  <c r="F782" i="39"/>
  <c r="F781" i="39"/>
  <c r="F780" i="39"/>
  <c r="F779" i="39"/>
  <c r="F778" i="39"/>
  <c r="F777" i="39"/>
  <c r="J776" i="39"/>
  <c r="F776" i="39"/>
  <c r="J775" i="39"/>
  <c r="F775" i="39"/>
  <c r="J773" i="39"/>
  <c r="F773" i="39"/>
  <c r="J772" i="39"/>
  <c r="F772" i="39"/>
  <c r="J770" i="39"/>
  <c r="K770" i="39" s="1"/>
  <c r="F770" i="39"/>
  <c r="F768" i="39"/>
  <c r="J765" i="39"/>
  <c r="J763" i="39"/>
  <c r="F763" i="39"/>
  <c r="J760" i="39"/>
  <c r="J759" i="39"/>
  <c r="F759" i="39"/>
  <c r="J758" i="39"/>
  <c r="F758" i="39"/>
  <c r="J756" i="39"/>
  <c r="F756" i="39"/>
  <c r="F755" i="39"/>
  <c r="J754" i="39"/>
  <c r="K754" i="39" s="1"/>
  <c r="J753" i="39"/>
  <c r="F753" i="39"/>
  <c r="J752" i="39"/>
  <c r="F752" i="39"/>
  <c r="J747" i="39"/>
  <c r="K747" i="39" s="1"/>
  <c r="F746" i="39"/>
  <c r="J745" i="39"/>
  <c r="F745" i="39"/>
  <c r="J744" i="39"/>
  <c r="J743" i="39"/>
  <c r="F743" i="39"/>
  <c r="J742" i="39"/>
  <c r="J741" i="39"/>
  <c r="F741" i="39"/>
  <c r="F739" i="39"/>
  <c r="K737" i="39" s="1"/>
  <c r="F738" i="39"/>
  <c r="F737" i="39"/>
  <c r="F736" i="39"/>
  <c r="F735" i="39"/>
  <c r="F734" i="39"/>
  <c r="J733" i="39"/>
  <c r="F733" i="39"/>
  <c r="J730" i="39"/>
  <c r="F730" i="39"/>
  <c r="J729" i="39"/>
  <c r="F729" i="39"/>
  <c r="J721" i="39"/>
  <c r="K721" i="39" s="1"/>
  <c r="J720" i="39"/>
  <c r="F720" i="39"/>
  <c r="J718" i="39"/>
  <c r="K718" i="39" s="1"/>
  <c r="J717" i="39"/>
  <c r="K717" i="39" s="1"/>
  <c r="J716" i="39"/>
  <c r="K716" i="39" s="1"/>
  <c r="J715" i="39"/>
  <c r="F715" i="39"/>
  <c r="F709" i="39"/>
  <c r="J708" i="39"/>
  <c r="K708" i="39" s="1"/>
  <c r="F708" i="39"/>
  <c r="K707" i="39"/>
  <c r="J706" i="39"/>
  <c r="K706" i="39" s="1"/>
  <c r="F704" i="39"/>
  <c r="J703" i="39"/>
  <c r="F703" i="39"/>
  <c r="D702" i="39"/>
  <c r="F702" i="39" s="1"/>
  <c r="F701" i="39"/>
  <c r="F700" i="39"/>
  <c r="J699" i="39"/>
  <c r="F699" i="39"/>
  <c r="J698" i="39"/>
  <c r="F698" i="39"/>
  <c r="J697" i="39"/>
  <c r="F697" i="39"/>
  <c r="J695" i="39"/>
  <c r="F695" i="39"/>
  <c r="K696" i="39" s="1"/>
  <c r="J694" i="39"/>
  <c r="F694" i="39"/>
  <c r="J693" i="39"/>
  <c r="K693" i="39" s="1"/>
  <c r="J692" i="39"/>
  <c r="F692" i="39"/>
  <c r="J690" i="39"/>
  <c r="F690" i="39"/>
  <c r="K691" i="39" s="1"/>
  <c r="J689" i="39"/>
  <c r="F689" i="39"/>
  <c r="J688" i="39"/>
  <c r="K688" i="39" s="1"/>
  <c r="F688" i="39"/>
  <c r="J687" i="39"/>
  <c r="K687" i="39" s="1"/>
  <c r="J686" i="39"/>
  <c r="F686" i="39"/>
  <c r="J685" i="39"/>
  <c r="F685" i="39"/>
  <c r="K684" i="39"/>
  <c r="E684" i="39"/>
  <c r="J683" i="39"/>
  <c r="K683" i="39" s="1"/>
  <c r="F682" i="39"/>
  <c r="F669" i="39"/>
  <c r="D668" i="39"/>
  <c r="F668" i="39" s="1"/>
  <c r="F667" i="39"/>
  <c r="F666" i="39"/>
  <c r="F664" i="39"/>
  <c r="F662" i="39"/>
  <c r="F661" i="39"/>
  <c r="F659" i="39"/>
  <c r="F658" i="39"/>
  <c r="F657" i="39"/>
  <c r="F656" i="39"/>
  <c r="F653" i="39"/>
  <c r="F652" i="39"/>
  <c r="F651" i="39"/>
  <c r="F650" i="39"/>
  <c r="F649" i="39"/>
  <c r="F648" i="39"/>
  <c r="F645" i="39"/>
  <c r="F644" i="39"/>
  <c r="J643" i="39"/>
  <c r="F643" i="39"/>
  <c r="J642" i="39"/>
  <c r="F642" i="39"/>
  <c r="F641" i="39"/>
  <c r="J640" i="39"/>
  <c r="F640" i="39"/>
  <c r="J639" i="39"/>
  <c r="F639" i="39"/>
  <c r="F638" i="39"/>
  <c r="K638" i="39" s="1"/>
  <c r="J636" i="39"/>
  <c r="F636" i="39"/>
  <c r="J635" i="39"/>
  <c r="F635" i="39"/>
  <c r="J634" i="39"/>
  <c r="F634" i="39"/>
  <c r="D626" i="39"/>
  <c r="F625" i="39"/>
  <c r="F624" i="39"/>
  <c r="J621" i="39"/>
  <c r="F621" i="39"/>
  <c r="J620" i="39"/>
  <c r="F620" i="39"/>
  <c r="J619" i="39"/>
  <c r="F619" i="39"/>
  <c r="J618" i="39"/>
  <c r="F618" i="39"/>
  <c r="F617" i="39"/>
  <c r="J616" i="39"/>
  <c r="J614" i="39"/>
  <c r="F614" i="39"/>
  <c r="F612" i="39"/>
  <c r="J611" i="39"/>
  <c r="F611" i="39"/>
  <c r="F608" i="39"/>
  <c r="F607" i="39"/>
  <c r="F606" i="39"/>
  <c r="K606" i="39" s="1"/>
  <c r="J605" i="39"/>
  <c r="F605" i="39"/>
  <c r="F604" i="39"/>
  <c r="K603" i="39" s="1"/>
  <c r="J602" i="39"/>
  <c r="F602" i="39"/>
  <c r="J601" i="39"/>
  <c r="F601" i="39"/>
  <c r="F600" i="39"/>
  <c r="J599" i="39"/>
  <c r="F599" i="39"/>
  <c r="J598" i="39"/>
  <c r="F598" i="39"/>
  <c r="J597" i="39"/>
  <c r="F597" i="39"/>
  <c r="J596" i="39"/>
  <c r="F596" i="39"/>
  <c r="F595" i="39"/>
  <c r="J593" i="39"/>
  <c r="F593" i="39"/>
  <c r="J588" i="39"/>
  <c r="D579" i="39"/>
  <c r="D581" i="39" s="1"/>
  <c r="J577" i="39"/>
  <c r="K577" i="39" s="1"/>
  <c r="J574" i="39"/>
  <c r="K574" i="39" s="1"/>
  <c r="E574" i="39"/>
  <c r="F573" i="39"/>
  <c r="J572" i="39"/>
  <c r="F572" i="39"/>
  <c r="J571" i="39"/>
  <c r="F571" i="39"/>
  <c r="K569" i="39"/>
  <c r="F568" i="39"/>
  <c r="F564" i="39"/>
  <c r="F561" i="39"/>
  <c r="F560" i="39"/>
  <c r="F559" i="39"/>
  <c r="F558" i="39"/>
  <c r="F553" i="39"/>
  <c r="F549" i="39"/>
  <c r="F548" i="39"/>
  <c r="F547" i="39"/>
  <c r="F546" i="39"/>
  <c r="F545" i="39"/>
  <c r="F544" i="39"/>
  <c r="K543" i="39"/>
  <c r="F541" i="39"/>
  <c r="F540" i="39"/>
  <c r="F539" i="39"/>
  <c r="F537" i="39"/>
  <c r="J536" i="39"/>
  <c r="F536" i="39"/>
  <c r="F531" i="39"/>
  <c r="F530" i="39"/>
  <c r="F529" i="39"/>
  <c r="D528" i="39"/>
  <c r="F527" i="39"/>
  <c r="J526" i="39"/>
  <c r="F526" i="39"/>
  <c r="J525" i="39"/>
  <c r="F525" i="39"/>
  <c r="J524" i="39"/>
  <c r="F524" i="39"/>
  <c r="J523" i="39"/>
  <c r="F523" i="39"/>
  <c r="J522" i="39"/>
  <c r="K522" i="39" s="1"/>
  <c r="J521" i="39"/>
  <c r="F521" i="39"/>
  <c r="J520" i="39"/>
  <c r="F520" i="39"/>
  <c r="J519" i="39"/>
  <c r="F519" i="39"/>
  <c r="F518" i="39"/>
  <c r="K518" i="39" s="1"/>
  <c r="J517" i="39"/>
  <c r="F517" i="39"/>
  <c r="D511" i="39"/>
  <c r="D513" i="39" s="1"/>
  <c r="F509" i="39"/>
  <c r="F508" i="39"/>
  <c r="F507" i="39"/>
  <c r="F506" i="39"/>
  <c r="K506" i="39" s="1"/>
  <c r="F505" i="39"/>
  <c r="J504" i="39"/>
  <c r="F504" i="39"/>
  <c r="J503" i="39"/>
  <c r="F503" i="39"/>
  <c r="J502" i="39"/>
  <c r="F502" i="39"/>
  <c r="J501" i="39"/>
  <c r="F501" i="39"/>
  <c r="J500" i="39"/>
  <c r="F500" i="39"/>
  <c r="J498" i="39"/>
  <c r="F498" i="39"/>
  <c r="J497" i="39"/>
  <c r="F497" i="39"/>
  <c r="J496" i="39"/>
  <c r="F496" i="39"/>
  <c r="J495" i="39"/>
  <c r="K495" i="39" s="1"/>
  <c r="E495" i="39"/>
  <c r="J494" i="39"/>
  <c r="K494" i="39" s="1"/>
  <c r="F492" i="39"/>
  <c r="F491" i="39"/>
  <c r="J490" i="39"/>
  <c r="F490" i="39"/>
  <c r="F489" i="39"/>
  <c r="J488" i="39"/>
  <c r="F488" i="39"/>
  <c r="J487" i="39"/>
  <c r="F487" i="39"/>
  <c r="J485" i="39"/>
  <c r="F485" i="39"/>
  <c r="J484" i="39"/>
  <c r="F484" i="39"/>
  <c r="F483" i="39"/>
  <c r="J482" i="39"/>
  <c r="F482" i="39"/>
  <c r="F481" i="39"/>
  <c r="F480" i="39"/>
  <c r="J479" i="39"/>
  <c r="F479" i="39"/>
  <c r="F478" i="39"/>
  <c r="J477" i="39"/>
  <c r="F477" i="39"/>
  <c r="D476" i="39"/>
  <c r="F476" i="39" s="1"/>
  <c r="F475" i="39"/>
  <c r="J474" i="39"/>
  <c r="F474" i="39"/>
  <c r="F471" i="39"/>
  <c r="J470" i="39"/>
  <c r="F470" i="39"/>
  <c r="J468" i="39"/>
  <c r="F468" i="39"/>
  <c r="F467" i="39"/>
  <c r="F466" i="39"/>
  <c r="J465" i="39"/>
  <c r="F465" i="39"/>
  <c r="F464" i="39"/>
  <c r="J463" i="39"/>
  <c r="F463" i="39"/>
  <c r="J462" i="39"/>
  <c r="F462" i="39"/>
  <c r="J461" i="39"/>
  <c r="K461" i="39" s="1"/>
  <c r="J460" i="39"/>
  <c r="F460" i="39"/>
  <c r="F459" i="39"/>
  <c r="J458" i="39"/>
  <c r="F458" i="39"/>
  <c r="J457" i="39"/>
  <c r="F457" i="39"/>
  <c r="J456" i="39"/>
  <c r="F456" i="39"/>
  <c r="F455" i="39"/>
  <c r="J454" i="39"/>
  <c r="F454" i="39"/>
  <c r="J453" i="39"/>
  <c r="F453" i="39"/>
  <c r="J452" i="39"/>
  <c r="F452" i="39"/>
  <c r="J451" i="39"/>
  <c r="F451" i="39"/>
  <c r="J450" i="39"/>
  <c r="F450" i="39"/>
  <c r="F449" i="39"/>
  <c r="J448" i="39"/>
  <c r="F448" i="39"/>
  <c r="J447" i="39"/>
  <c r="F447" i="39"/>
  <c r="J445" i="39"/>
  <c r="F445" i="39"/>
  <c r="J444" i="39"/>
  <c r="K444" i="39" s="1"/>
  <c r="E444" i="39"/>
  <c r="J443" i="39"/>
  <c r="F443" i="39"/>
  <c r="J441" i="39"/>
  <c r="F441" i="39"/>
  <c r="J440" i="39"/>
  <c r="F440" i="39"/>
  <c r="K440" i="39" s="1"/>
  <c r="F439" i="39"/>
  <c r="F438" i="39"/>
  <c r="J437" i="39"/>
  <c r="F437" i="39"/>
  <c r="F435" i="39"/>
  <c r="J433" i="39"/>
  <c r="F433" i="39"/>
  <c r="J432" i="39"/>
  <c r="F432" i="39"/>
  <c r="F431" i="39"/>
  <c r="K431" i="39" s="1"/>
  <c r="J427" i="39"/>
  <c r="F427" i="39"/>
  <c r="J426" i="39"/>
  <c r="F426" i="39"/>
  <c r="J423" i="39"/>
  <c r="F423" i="39"/>
  <c r="J422" i="39"/>
  <c r="F422" i="39"/>
  <c r="J421" i="39"/>
  <c r="F421" i="39"/>
  <c r="F420" i="39"/>
  <c r="K420" i="39" s="1"/>
  <c r="J419" i="39"/>
  <c r="J418" i="39"/>
  <c r="F418" i="39"/>
  <c r="J417" i="39"/>
  <c r="F417" i="39"/>
  <c r="F413" i="39"/>
  <c r="K413" i="39" s="1"/>
  <c r="J412" i="39"/>
  <c r="F412" i="39"/>
  <c r="J411" i="39"/>
  <c r="K411" i="39" s="1"/>
  <c r="F410" i="39"/>
  <c r="J409" i="39"/>
  <c r="F409" i="39"/>
  <c r="J407" i="39"/>
  <c r="F407" i="39"/>
  <c r="F406" i="39"/>
  <c r="J405" i="39"/>
  <c r="F405" i="39"/>
  <c r="J404" i="39"/>
  <c r="F404" i="39"/>
  <c r="F403" i="39"/>
  <c r="F402" i="39"/>
  <c r="F401" i="39"/>
  <c r="J400" i="39"/>
  <c r="F400" i="39"/>
  <c r="J399" i="39"/>
  <c r="F399" i="39"/>
  <c r="J398" i="39"/>
  <c r="F398" i="39"/>
  <c r="J397" i="39"/>
  <c r="F397" i="39"/>
  <c r="J396" i="39"/>
  <c r="K396" i="39" s="1"/>
  <c r="J394" i="39"/>
  <c r="F394" i="39"/>
  <c r="K395" i="39" s="1"/>
  <c r="J393" i="39"/>
  <c r="F393" i="39"/>
  <c r="J392" i="39"/>
  <c r="F392" i="39"/>
  <c r="J391" i="39"/>
  <c r="K391" i="39" s="1"/>
  <c r="F390" i="39"/>
  <c r="J389" i="39"/>
  <c r="F389" i="39"/>
  <c r="F386" i="39"/>
  <c r="J385" i="39"/>
  <c r="F385" i="39"/>
  <c r="J384" i="39"/>
  <c r="F384" i="39"/>
  <c r="D383" i="39"/>
  <c r="F383" i="39" s="1"/>
  <c r="F382" i="39"/>
  <c r="F381" i="39"/>
  <c r="F380" i="39"/>
  <c r="F379" i="39"/>
  <c r="F376" i="39"/>
  <c r="J370" i="39"/>
  <c r="F370" i="39"/>
  <c r="J369" i="39"/>
  <c r="K369" i="39" s="1"/>
  <c r="J368" i="39"/>
  <c r="F368" i="39"/>
  <c r="F367" i="39"/>
  <c r="J366" i="39"/>
  <c r="F366" i="39"/>
  <c r="F364" i="39"/>
  <c r="J363" i="39"/>
  <c r="F363" i="39"/>
  <c r="J362" i="39"/>
  <c r="J361" i="39"/>
  <c r="F361" i="39"/>
  <c r="J360" i="39"/>
  <c r="F360" i="39"/>
  <c r="J359" i="39"/>
  <c r="F359" i="39"/>
  <c r="J358" i="39"/>
  <c r="F358" i="39"/>
  <c r="J355" i="39"/>
  <c r="K355" i="39" s="1"/>
  <c r="F355" i="39"/>
  <c r="J354" i="39"/>
  <c r="F354" i="39"/>
  <c r="J353" i="39"/>
  <c r="K353" i="39" s="1"/>
  <c r="J352" i="39"/>
  <c r="F352" i="39"/>
  <c r="J351" i="39"/>
  <c r="K351" i="39" s="1"/>
  <c r="J350" i="39"/>
  <c r="F350" i="39"/>
  <c r="J349" i="39"/>
  <c r="F349" i="39"/>
  <c r="J348" i="39"/>
  <c r="F348" i="39"/>
  <c r="F346" i="39"/>
  <c r="J343" i="39"/>
  <c r="F343" i="39"/>
  <c r="J342" i="39"/>
  <c r="F342" i="39"/>
  <c r="J341" i="39"/>
  <c r="F341" i="39"/>
  <c r="J340" i="39"/>
  <c r="J339" i="39"/>
  <c r="F339" i="39"/>
  <c r="J336" i="39"/>
  <c r="F336" i="39"/>
  <c r="J335" i="39"/>
  <c r="F335" i="39"/>
  <c r="J334" i="39"/>
  <c r="F334" i="39"/>
  <c r="J333" i="39"/>
  <c r="F333" i="39"/>
  <c r="F332" i="39"/>
  <c r="F331" i="39"/>
  <c r="J330" i="39"/>
  <c r="F330" i="39"/>
  <c r="F328" i="39"/>
  <c r="J327" i="39"/>
  <c r="F327" i="39"/>
  <c r="J326" i="39"/>
  <c r="F326" i="39"/>
  <c r="J325" i="39"/>
  <c r="F325" i="39"/>
  <c r="D324" i="39"/>
  <c r="F324" i="39" s="1"/>
  <c r="J323" i="39"/>
  <c r="F323" i="39"/>
  <c r="J322" i="39"/>
  <c r="F322" i="39"/>
  <c r="J321" i="39"/>
  <c r="F321" i="39"/>
  <c r="F320" i="39"/>
  <c r="K320" i="39" s="1"/>
  <c r="J319" i="39"/>
  <c r="F319" i="39"/>
  <c r="J318" i="39"/>
  <c r="F318" i="39"/>
  <c r="J316" i="39"/>
  <c r="F316" i="39"/>
  <c r="J315" i="39"/>
  <c r="F315" i="39"/>
  <c r="J312" i="39"/>
  <c r="F312" i="39"/>
  <c r="K313" i="39" s="1"/>
  <c r="J311" i="39"/>
  <c r="F311" i="39"/>
  <c r="F310" i="39"/>
  <c r="J309" i="39"/>
  <c r="F309" i="39"/>
  <c r="F308" i="39"/>
  <c r="K308" i="39" s="1"/>
  <c r="J307" i="39"/>
  <c r="F307" i="39"/>
  <c r="J306" i="39"/>
  <c r="F306" i="39"/>
  <c r="J305" i="39"/>
  <c r="F305" i="39"/>
  <c r="F300" i="39"/>
  <c r="K300" i="39" s="1"/>
  <c r="J299" i="39"/>
  <c r="F299" i="39"/>
  <c r="J297" i="39"/>
  <c r="F297" i="39"/>
  <c r="J296" i="39"/>
  <c r="F296" i="39"/>
  <c r="J295" i="39"/>
  <c r="F295" i="39"/>
  <c r="F292" i="39"/>
  <c r="J291" i="39"/>
  <c r="F291" i="39"/>
  <c r="J290" i="39"/>
  <c r="F290" i="39"/>
  <c r="J288" i="39"/>
  <c r="J287" i="39"/>
  <c r="F287" i="39"/>
  <c r="F286" i="39"/>
  <c r="K285" i="39" s="1"/>
  <c r="J283" i="39"/>
  <c r="F283" i="39"/>
  <c r="J282" i="39"/>
  <c r="F282" i="39"/>
  <c r="J281" i="39"/>
  <c r="F281" i="39"/>
  <c r="J279" i="39"/>
  <c r="F279" i="39"/>
  <c r="J278" i="39"/>
  <c r="F278" i="39"/>
  <c r="F276" i="39"/>
  <c r="J275" i="39"/>
  <c r="K275" i="39" s="1"/>
  <c r="F275" i="39"/>
  <c r="J274" i="39"/>
  <c r="F274" i="39"/>
  <c r="J273" i="39"/>
  <c r="F273" i="39"/>
  <c r="F269" i="39"/>
  <c r="K269" i="39" s="1"/>
  <c r="J268" i="39"/>
  <c r="K268" i="39" s="1"/>
  <c r="F267" i="39"/>
  <c r="J266" i="39"/>
  <c r="F266" i="39"/>
  <c r="F265" i="39"/>
  <c r="F264" i="39"/>
  <c r="J263" i="39"/>
  <c r="F263" i="39"/>
  <c r="J262" i="39"/>
  <c r="F262" i="39"/>
  <c r="J260" i="39"/>
  <c r="K260" i="39" s="1"/>
  <c r="J258" i="39"/>
  <c r="F258" i="39"/>
  <c r="J257" i="39"/>
  <c r="K257" i="39" s="1"/>
  <c r="J256" i="39"/>
  <c r="F256" i="39"/>
  <c r="J252" i="39"/>
  <c r="F252" i="39"/>
  <c r="F250" i="39"/>
  <c r="K250" i="39" s="1"/>
  <c r="J249" i="39"/>
  <c r="F249" i="39"/>
  <c r="J248" i="39"/>
  <c r="J247" i="39"/>
  <c r="J246" i="39"/>
  <c r="F246" i="39"/>
  <c r="D243" i="39"/>
  <c r="F243" i="39" s="1"/>
  <c r="F242" i="39"/>
  <c r="F241" i="39"/>
  <c r="F240" i="39"/>
  <c r="J239" i="39"/>
  <c r="F239" i="39"/>
  <c r="F237" i="39"/>
  <c r="J236" i="39"/>
  <c r="F236" i="39"/>
  <c r="J235" i="39"/>
  <c r="K235" i="39" s="1"/>
  <c r="J231" i="39"/>
  <c r="F231" i="39"/>
  <c r="J230" i="39"/>
  <c r="K230" i="39" s="1"/>
  <c r="J229" i="39"/>
  <c r="F229" i="39"/>
  <c r="J228" i="39"/>
  <c r="F228" i="39"/>
  <c r="F227" i="39"/>
  <c r="J227" i="39" s="1"/>
  <c r="K227" i="39" s="1"/>
  <c r="J226" i="39"/>
  <c r="K226" i="39" s="1"/>
  <c r="J225" i="39"/>
  <c r="F225" i="39"/>
  <c r="F223" i="39"/>
  <c r="K224" i="39" s="1"/>
  <c r="F222" i="39"/>
  <c r="F221" i="39"/>
  <c r="F220" i="39"/>
  <c r="J219" i="39"/>
  <c r="E219" i="39"/>
  <c r="J217" i="39"/>
  <c r="K217" i="39" s="1"/>
  <c r="F216" i="39"/>
  <c r="F215" i="39"/>
  <c r="J214" i="39"/>
  <c r="F214" i="39"/>
  <c r="J212" i="39"/>
  <c r="F212" i="39"/>
  <c r="F209" i="39"/>
  <c r="J205" i="39"/>
  <c r="F205" i="39"/>
  <c r="F201" i="39"/>
  <c r="F200" i="39"/>
  <c r="F199" i="39"/>
  <c r="J198" i="39"/>
  <c r="F198" i="39"/>
  <c r="J193" i="39"/>
  <c r="F193" i="39"/>
  <c r="J191" i="39"/>
  <c r="F191" i="39"/>
  <c r="K192" i="39" s="1"/>
  <c r="J188" i="39"/>
  <c r="F188" i="39"/>
  <c r="J187" i="39"/>
  <c r="F187" i="39"/>
  <c r="J183" i="39"/>
  <c r="K183" i="39" s="1"/>
  <c r="J181" i="39"/>
  <c r="F181" i="39"/>
  <c r="J180" i="39"/>
  <c r="K180" i="39" s="1"/>
  <c r="F179" i="39"/>
  <c r="J178" i="39"/>
  <c r="F178" i="39"/>
  <c r="J177" i="39"/>
  <c r="F177" i="39"/>
  <c r="J176" i="39"/>
  <c r="F176" i="39"/>
  <c r="J175" i="39"/>
  <c r="F175" i="39"/>
  <c r="F174" i="39"/>
  <c r="F173" i="39"/>
  <c r="J172" i="39"/>
  <c r="F172" i="39"/>
  <c r="J171" i="39"/>
  <c r="F171" i="39"/>
  <c r="J163" i="39"/>
  <c r="F163" i="39"/>
  <c r="F162" i="39"/>
  <c r="J161" i="39"/>
  <c r="F161" i="39"/>
  <c r="J159" i="39"/>
  <c r="J158" i="39"/>
  <c r="F158" i="39"/>
  <c r="J157" i="39"/>
  <c r="K157" i="39" s="1"/>
  <c r="E157" i="39"/>
  <c r="J156" i="39"/>
  <c r="F156" i="39"/>
  <c r="J149" i="39"/>
  <c r="K149" i="39" s="1"/>
  <c r="E149" i="39"/>
  <c r="J148" i="39"/>
  <c r="F148" i="39"/>
  <c r="F143" i="39"/>
  <c r="F142" i="39"/>
  <c r="J140" i="39"/>
  <c r="F140" i="39"/>
  <c r="J139" i="39"/>
  <c r="F139" i="39"/>
  <c r="J138" i="39"/>
  <c r="F138" i="39"/>
  <c r="F132" i="39"/>
  <c r="F130" i="39"/>
  <c r="J129" i="39"/>
  <c r="F128" i="39"/>
  <c r="F127" i="39"/>
  <c r="F123" i="39"/>
  <c r="D117" i="39"/>
  <c r="F117" i="39" s="1"/>
  <c r="K115" i="39"/>
  <c r="F114" i="39"/>
  <c r="K112" i="39" s="1"/>
  <c r="D113" i="39"/>
  <c r="J110" i="39"/>
  <c r="K110" i="39" s="1"/>
  <c r="J105" i="39"/>
  <c r="K105" i="39" s="1"/>
  <c r="F104" i="39"/>
  <c r="F103" i="39"/>
  <c r="J102" i="39"/>
  <c r="F102" i="39"/>
  <c r="J101" i="39"/>
  <c r="K101" i="39" s="1"/>
  <c r="J100" i="39"/>
  <c r="K100" i="39" s="1"/>
  <c r="E100" i="39"/>
  <c r="J99" i="39"/>
  <c r="F98" i="39"/>
  <c r="J97" i="39"/>
  <c r="F97" i="39"/>
  <c r="J95" i="39"/>
  <c r="F95" i="39"/>
  <c r="J94" i="39"/>
  <c r="J93" i="39"/>
  <c r="F93" i="39"/>
  <c r="F82" i="39"/>
  <c r="D81" i="39"/>
  <c r="D83" i="39" s="1"/>
  <c r="J80" i="39"/>
  <c r="F80" i="39"/>
  <c r="J79" i="39"/>
  <c r="F79" i="39"/>
  <c r="F78" i="39"/>
  <c r="J77" i="39"/>
  <c r="F77" i="39"/>
  <c r="K76" i="39"/>
  <c r="J75" i="39"/>
  <c r="F75" i="39"/>
  <c r="K74" i="39"/>
  <c r="K73" i="39"/>
  <c r="F71" i="39"/>
  <c r="F69" i="39"/>
  <c r="F67" i="39"/>
  <c r="F66" i="39"/>
  <c r="J65" i="39"/>
  <c r="F65" i="39"/>
  <c r="J64" i="39"/>
  <c r="F64" i="39"/>
  <c r="J63" i="39"/>
  <c r="F63" i="39"/>
  <c r="J62" i="39"/>
  <c r="K62" i="39" s="1"/>
  <c r="F61" i="39"/>
  <c r="F60" i="39"/>
  <c r="J59" i="39"/>
  <c r="F59" i="39"/>
  <c r="J58" i="39"/>
  <c r="F58" i="39"/>
  <c r="F56" i="39"/>
  <c r="K56" i="39" s="1"/>
  <c r="J55" i="39"/>
  <c r="F55" i="39"/>
  <c r="F52" i="39"/>
  <c r="K53" i="39" s="1"/>
  <c r="F50" i="39"/>
  <c r="F49" i="39"/>
  <c r="J48" i="39"/>
  <c r="F48" i="39"/>
  <c r="J47" i="39"/>
  <c r="F47" i="39"/>
  <c r="K44" i="39"/>
  <c r="J44" i="39"/>
  <c r="J40" i="39"/>
  <c r="F40" i="39"/>
  <c r="J39" i="39"/>
  <c r="F39" i="39"/>
  <c r="K39" i="39" s="1"/>
  <c r="J38" i="39"/>
  <c r="F37" i="39"/>
  <c r="F36" i="39"/>
  <c r="K34" i="39" s="1"/>
  <c r="J34" i="39"/>
  <c r="E34" i="39"/>
  <c r="J33" i="39"/>
  <c r="F33" i="39"/>
  <c r="F29" i="39"/>
  <c r="J28" i="39"/>
  <c r="F28" i="39"/>
  <c r="J26" i="39"/>
  <c r="F26" i="39"/>
  <c r="J25" i="39"/>
  <c r="F25" i="39"/>
  <c r="J24" i="39"/>
  <c r="F24" i="39"/>
  <c r="J23" i="39"/>
  <c r="F23" i="39"/>
  <c r="J22" i="39"/>
  <c r="K22" i="39" s="1"/>
  <c r="E22" i="39"/>
  <c r="F21" i="39"/>
  <c r="J20" i="39"/>
  <c r="F20" i="39"/>
  <c r="F18" i="39"/>
  <c r="F17" i="39"/>
  <c r="F16" i="39"/>
  <c r="F15" i="39"/>
  <c r="F14" i="39"/>
  <c r="F13" i="39"/>
  <c r="F12" i="39"/>
  <c r="J11" i="39"/>
  <c r="F11" i="39"/>
  <c r="J9" i="39"/>
  <c r="F9" i="39"/>
  <c r="J8" i="39"/>
  <c r="F8" i="39"/>
  <c r="J7" i="39"/>
  <c r="F7" i="39"/>
  <c r="J6" i="39"/>
  <c r="F6" i="39"/>
  <c r="J5" i="39"/>
  <c r="K5" i="39" s="1"/>
  <c r="K65" i="39" l="1"/>
  <c r="K237" i="39"/>
  <c r="K238" i="39"/>
  <c r="K808" i="39"/>
  <c r="K1020" i="39"/>
  <c r="K400" i="39"/>
  <c r="K768" i="39"/>
  <c r="K769" i="39"/>
  <c r="K572" i="39"/>
  <c r="K802" i="39"/>
  <c r="F211" i="39"/>
  <c r="E581" i="39"/>
  <c r="D583" i="39"/>
  <c r="K988" i="39"/>
  <c r="K266" i="39"/>
  <c r="K482" i="39"/>
  <c r="K458" i="39"/>
  <c r="K470" i="39"/>
  <c r="K748" i="39"/>
  <c r="K810" i="39"/>
  <c r="F83" i="39"/>
  <c r="K80" i="39" s="1"/>
  <c r="D87" i="39"/>
  <c r="F87" i="39" s="1"/>
  <c r="K1080" i="39"/>
  <c r="K792" i="39"/>
  <c r="K1057" i="39"/>
  <c r="K405" i="39"/>
  <c r="K1052" i="39"/>
  <c r="K1058" i="39"/>
  <c r="K102" i="39"/>
  <c r="K172" i="39"/>
  <c r="K699" i="39"/>
  <c r="B17" i="41"/>
  <c r="K161" i="39"/>
  <c r="K309" i="39"/>
  <c r="K450" i="39"/>
  <c r="K99" i="39"/>
  <c r="K340" i="39"/>
  <c r="K426" i="39"/>
  <c r="K447" i="39"/>
  <c r="K163" i="39"/>
  <c r="K175" i="39"/>
  <c r="K181" i="39"/>
  <c r="K389" i="39"/>
  <c r="K392" i="39"/>
  <c r="K433" i="39"/>
  <c r="K451" i="39"/>
  <c r="K484" i="39"/>
  <c r="K487" i="39"/>
  <c r="K394" i="39"/>
  <c r="K1084" i="39"/>
  <c r="K1086" i="39"/>
  <c r="K1088" i="39"/>
  <c r="K1091" i="39"/>
  <c r="K1064" i="39"/>
  <c r="K1007" i="39"/>
  <c r="K977" i="39"/>
  <c r="K635" i="39"/>
  <c r="K909" i="39"/>
  <c r="K945" i="39"/>
  <c r="K974" i="39"/>
  <c r="K931" i="39"/>
  <c r="K887" i="39"/>
  <c r="K786" i="39"/>
  <c r="K789" i="39"/>
  <c r="K753" i="39"/>
  <c r="K715" i="39"/>
  <c r="K697" i="39"/>
  <c r="K686" i="39"/>
  <c r="K689" i="39"/>
  <c r="K321" i="39"/>
  <c r="K342" i="39"/>
  <c r="K785" i="39"/>
  <c r="K791" i="39"/>
  <c r="K703" i="39"/>
  <c r="K742" i="39"/>
  <c r="K864" i="39"/>
  <c r="K1079" i="39"/>
  <c r="F874" i="39"/>
  <c r="K874" i="39" s="1"/>
  <c r="K888" i="39"/>
  <c r="K899" i="39"/>
  <c r="K930" i="39"/>
  <c r="K946" i="39"/>
  <c r="K954" i="39"/>
  <c r="K973" i="39"/>
  <c r="K975" i="39"/>
  <c r="K976" i="39"/>
  <c r="K1030" i="39"/>
  <c r="K1046" i="39"/>
  <c r="K1061" i="39"/>
  <c r="K1107" i="39"/>
  <c r="K1125" i="39"/>
  <c r="K602" i="39"/>
  <c r="K460" i="39"/>
  <c r="K468" i="39"/>
  <c r="K138" i="39"/>
  <c r="K273" i="39"/>
  <c r="K497" i="39"/>
  <c r="K500" i="39"/>
  <c r="K502" i="39"/>
  <c r="K519" i="39"/>
  <c r="K536" i="39"/>
  <c r="K546" i="39"/>
  <c r="K548" i="39"/>
  <c r="K596" i="39"/>
  <c r="K605" i="39"/>
  <c r="K614" i="39"/>
  <c r="K685" i="39"/>
  <c r="K756" i="39"/>
  <c r="K773" i="39"/>
  <c r="K263" i="39"/>
  <c r="K274" i="39"/>
  <c r="K423" i="39"/>
  <c r="K422" i="39"/>
  <c r="K349" i="39"/>
  <c r="K354" i="39"/>
  <c r="K358" i="39"/>
  <c r="K336" i="39"/>
  <c r="K359" i="39"/>
  <c r="K306" i="39"/>
  <c r="K496" i="39"/>
  <c r="K501" i="39"/>
  <c r="K47" i="39"/>
  <c r="K58" i="39"/>
  <c r="K140" i="39"/>
  <c r="K206" i="39"/>
  <c r="K229" i="39"/>
  <c r="K246" i="39"/>
  <c r="K258" i="39"/>
  <c r="K315" i="39"/>
  <c r="K327" i="39"/>
  <c r="K362" i="39"/>
  <c r="K363" i="39"/>
  <c r="K385" i="39"/>
  <c r="K643" i="39"/>
  <c r="K941" i="39"/>
  <c r="K1005" i="39"/>
  <c r="K1016" i="39"/>
  <c r="K139" i="39"/>
  <c r="K989" i="39"/>
  <c r="K9" i="39"/>
  <c r="K23" i="39"/>
  <c r="K33" i="39"/>
  <c r="K79" i="39"/>
  <c r="K212" i="39"/>
  <c r="K219" i="39"/>
  <c r="K282" i="39"/>
  <c r="K291" i="39"/>
  <c r="K296" i="39"/>
  <c r="K307" i="39"/>
  <c r="K312" i="39"/>
  <c r="K316" i="39"/>
  <c r="K319" i="39"/>
  <c r="K328" i="39"/>
  <c r="K352" i="39"/>
  <c r="K517" i="39"/>
  <c r="K636" i="39"/>
  <c r="K752" i="39"/>
  <c r="K942" i="39"/>
  <c r="K950" i="39"/>
  <c r="K984" i="39"/>
  <c r="K996" i="39"/>
  <c r="K1023" i="39"/>
  <c r="K1087" i="39"/>
  <c r="K620" i="39"/>
  <c r="K642" i="39"/>
  <c r="K1093" i="39"/>
  <c r="K64" i="39"/>
  <c r="K335" i="39"/>
  <c r="K393" i="39"/>
  <c r="K443" i="39"/>
  <c r="K457" i="39"/>
  <c r="K462" i="39"/>
  <c r="K733" i="39"/>
  <c r="K883" i="39"/>
  <c r="K913" i="39"/>
  <c r="K1045" i="39"/>
  <c r="K1103" i="39"/>
  <c r="K55" i="39"/>
  <c r="K6" i="39"/>
  <c r="K205" i="39"/>
  <c r="K368" i="39"/>
  <c r="K908" i="39"/>
  <c r="K252" i="39"/>
  <c r="K239" i="39"/>
  <c r="K231" i="39"/>
  <c r="K236" i="39"/>
  <c r="K187" i="39"/>
  <c r="K193" i="39"/>
  <c r="K97" i="39"/>
  <c r="K75" i="39"/>
  <c r="K63" i="39"/>
  <c r="K361" i="39"/>
  <c r="K407" i="39"/>
  <c r="K690" i="39"/>
  <c r="K741" i="39"/>
  <c r="F783" i="39"/>
  <c r="K783" i="39" s="1"/>
  <c r="K287" i="39"/>
  <c r="K7" i="39"/>
  <c r="K28" i="39"/>
  <c r="K129" i="39"/>
  <c r="K249" i="39"/>
  <c r="K279" i="39"/>
  <c r="K322" i="39"/>
  <c r="K323" i="39"/>
  <c r="K326" i="39"/>
  <c r="K339" i="39"/>
  <c r="K348" i="39"/>
  <c r="K350" i="39"/>
  <c r="K360" i="39"/>
  <c r="K366" i="39"/>
  <c r="K398" i="39"/>
  <c r="K404" i="39"/>
  <c r="K409" i="39"/>
  <c r="K412" i="39"/>
  <c r="K417" i="39"/>
  <c r="K432" i="39"/>
  <c r="K452" i="39"/>
  <c r="K456" i="39"/>
  <c r="K498" i="39"/>
  <c r="K503" i="39"/>
  <c r="K520" i="39"/>
  <c r="K559" i="39"/>
  <c r="K571" i="39"/>
  <c r="K598" i="39"/>
  <c r="K601" i="39"/>
  <c r="K611" i="39"/>
  <c r="K692" i="39"/>
  <c r="K694" i="39"/>
  <c r="K745" i="39"/>
  <c r="K759" i="39"/>
  <c r="K793" i="39"/>
  <c r="K948" i="39"/>
  <c r="K48" i="39"/>
  <c r="K191" i="39"/>
  <c r="K8" i="39"/>
  <c r="K11" i="39"/>
  <c r="K24" i="39"/>
  <c r="K26" i="39"/>
  <c r="K59" i="39"/>
  <c r="K77" i="39"/>
  <c r="K93" i="39"/>
  <c r="K148" i="39"/>
  <c r="K156" i="39"/>
  <c r="K158" i="39"/>
  <c r="K171" i="39"/>
  <c r="K176" i="39"/>
  <c r="K178" i="39"/>
  <c r="K225" i="39"/>
  <c r="K256" i="39"/>
  <c r="K278" i="39"/>
  <c r="K281" i="39"/>
  <c r="K283" i="39"/>
  <c r="K295" i="39"/>
  <c r="K297" i="39"/>
  <c r="K318" i="39"/>
  <c r="K333" i="39"/>
  <c r="K399" i="39"/>
  <c r="K418" i="39"/>
  <c r="K421" i="39"/>
  <c r="K427" i="39"/>
  <c r="K445" i="39"/>
  <c r="K477" i="39"/>
  <c r="F493" i="39"/>
  <c r="K523" i="39"/>
  <c r="K525" i="39"/>
  <c r="K547" i="39"/>
  <c r="K549" i="39"/>
  <c r="K558" i="39"/>
  <c r="K597" i="39"/>
  <c r="K599" i="39"/>
  <c r="K616" i="39"/>
  <c r="K634" i="39"/>
  <c r="K639" i="39"/>
  <c r="K695" i="39"/>
  <c r="K698" i="39"/>
  <c r="K729" i="39"/>
  <c r="K743" i="39"/>
  <c r="K755" i="39"/>
  <c r="K758" i="39"/>
  <c r="K760" i="39"/>
  <c r="K772" i="39"/>
  <c r="K775" i="39"/>
  <c r="K797" i="39"/>
  <c r="K846" i="39"/>
  <c r="K886" i="39"/>
  <c r="K929" i="39"/>
  <c r="K943" i="39"/>
  <c r="K951" i="39"/>
  <c r="K972" i="39"/>
  <c r="K985" i="39"/>
  <c r="K1031" i="39"/>
  <c r="K1034" i="39"/>
  <c r="K1059" i="39"/>
  <c r="K1078" i="39"/>
  <c r="K1106" i="39"/>
  <c r="K29" i="39"/>
  <c r="K25" i="39"/>
  <c r="K198" i="39"/>
  <c r="K384" i="39"/>
  <c r="K485" i="39"/>
  <c r="K521" i="39"/>
  <c r="K553" i="39"/>
  <c r="K910" i="39"/>
  <c r="K935" i="39"/>
  <c r="K1000" i="39"/>
  <c r="K1049" i="39"/>
  <c r="K1055" i="39"/>
  <c r="K1090" i="39"/>
  <c r="F81" i="39"/>
  <c r="K94" i="39"/>
  <c r="K132" i="39"/>
  <c r="K177" i="39"/>
  <c r="K262" i="39"/>
  <c r="K305" i="39"/>
  <c r="K325" i="39"/>
  <c r="K370" i="39"/>
  <c r="K465" i="39"/>
  <c r="K619" i="39"/>
  <c r="K730" i="39"/>
  <c r="K776" i="39"/>
  <c r="K863" i="39"/>
  <c r="K865" i="39"/>
  <c r="K884" i="39"/>
  <c r="K894" i="39"/>
  <c r="K956" i="39"/>
  <c r="K1015" i="39"/>
  <c r="K1092" i="39"/>
  <c r="K95" i="39"/>
  <c r="K188" i="39"/>
  <c r="D245" i="39"/>
  <c r="F245" i="39" s="1"/>
  <c r="K290" i="39"/>
  <c r="K299" i="39"/>
  <c r="K463" i="39"/>
  <c r="K524" i="39"/>
  <c r="K618" i="39"/>
  <c r="K949" i="39"/>
  <c r="K1013" i="39"/>
  <c r="K1063" i="39"/>
  <c r="K311" i="39"/>
  <c r="K334" i="39"/>
  <c r="K341" i="39"/>
  <c r="K343" i="39"/>
  <c r="K397" i="39"/>
  <c r="K448" i="39"/>
  <c r="K640" i="39"/>
  <c r="K720" i="39"/>
  <c r="K799" i="39"/>
  <c r="K866" i="39"/>
  <c r="K885" i="39"/>
  <c r="K903" i="39"/>
  <c r="K905" i="39"/>
  <c r="K1044" i="39"/>
  <c r="K1050" i="39"/>
  <c r="K1056" i="39"/>
  <c r="K1062" i="39"/>
  <c r="K1085" i="39"/>
  <c r="K214" i="39"/>
  <c r="D532" i="39"/>
  <c r="F528" i="39"/>
  <c r="K37" i="39"/>
  <c r="K330" i="39"/>
  <c r="K936" i="39"/>
  <c r="K937" i="39"/>
  <c r="K895" i="39"/>
  <c r="K896" i="39"/>
  <c r="D660" i="39"/>
  <c r="D663" i="39" s="1"/>
  <c r="D665" i="39" s="1"/>
  <c r="D670" i="39" s="1"/>
  <c r="D681" i="39" s="1"/>
  <c r="F654" i="39"/>
  <c r="F655" i="39" s="1"/>
  <c r="F660" i="39" s="1"/>
  <c r="F663" i="39" s="1"/>
  <c r="F665" i="39" s="1"/>
  <c r="F670" i="39" s="1"/>
  <c r="K488" i="39"/>
  <c r="F849" i="39"/>
  <c r="K843" i="39"/>
  <c r="K441" i="39"/>
  <c r="K453" i="39"/>
  <c r="K454" i="39"/>
  <c r="K504" i="39"/>
  <c r="F511" i="39"/>
  <c r="F513" i="39" s="1"/>
  <c r="K511" i="39" s="1"/>
  <c r="K544" i="39"/>
  <c r="K1047" i="39"/>
  <c r="F553" i="37"/>
  <c r="F414" i="37"/>
  <c r="J749" i="37"/>
  <c r="F583" i="39" l="1"/>
  <c r="D587" i="39"/>
  <c r="F532" i="39"/>
  <c r="D535" i="39"/>
  <c r="F681" i="39"/>
  <c r="K671" i="39"/>
  <c r="F856" i="39"/>
  <c r="F858" i="39" s="1"/>
  <c r="F860" i="39" s="1"/>
  <c r="F852" i="39"/>
  <c r="F854" i="39" s="1"/>
  <c r="J871" i="37"/>
  <c r="F872" i="37"/>
  <c r="F871" i="37"/>
  <c r="J32" i="37"/>
  <c r="J809" i="37"/>
  <c r="J641" i="37"/>
  <c r="J820" i="37"/>
  <c r="J992" i="37"/>
  <c r="F992" i="37"/>
  <c r="K992" i="37" s="1"/>
  <c r="J912" i="37"/>
  <c r="J953" i="37"/>
  <c r="J915" i="37"/>
  <c r="J100" i="37"/>
  <c r="J896" i="37"/>
  <c r="J79" i="37"/>
  <c r="J991" i="37"/>
  <c r="F698" i="37"/>
  <c r="F696" i="37"/>
  <c r="F990" i="37"/>
  <c r="J976" i="37"/>
  <c r="J305" i="37"/>
  <c r="J214" i="37"/>
  <c r="K214" i="37" s="1"/>
  <c r="J975" i="37"/>
  <c r="F975" i="37"/>
  <c r="K975" i="37" s="1"/>
  <c r="D936" i="37"/>
  <c r="F935" i="37"/>
  <c r="F932" i="37"/>
  <c r="D933" i="37"/>
  <c r="D531" i="37"/>
  <c r="D536" i="37" s="1"/>
  <c r="F986" i="37"/>
  <c r="J987" i="37"/>
  <c r="K526" i="39" l="1"/>
  <c r="F535" i="39"/>
  <c r="K871" i="37"/>
  <c r="F374" i="37"/>
  <c r="F373" i="37"/>
  <c r="J75" i="37" l="1"/>
  <c r="J899" i="37"/>
  <c r="J388" i="37"/>
  <c r="J578" i="37"/>
  <c r="F944" i="37"/>
  <c r="J958" i="37"/>
  <c r="F958" i="37"/>
  <c r="K958" i="37" s="1"/>
  <c r="J782" i="37"/>
  <c r="J276" i="37"/>
  <c r="F985" i="37"/>
  <c r="J877" i="37"/>
  <c r="F981" i="37"/>
  <c r="F984" i="37"/>
  <c r="J622" i="37"/>
  <c r="J74" i="37"/>
  <c r="D863" i="37"/>
  <c r="F862" i="37"/>
  <c r="F861" i="37"/>
  <c r="F482" i="37"/>
  <c r="J287" i="37"/>
  <c r="F852" i="37"/>
  <c r="J285" i="37"/>
  <c r="F806" i="37"/>
  <c r="F283" i="35"/>
  <c r="B13" i="9" l="1"/>
  <c r="D324" i="37" l="1"/>
  <c r="F953" i="37"/>
  <c r="K953" i="37" s="1"/>
  <c r="F982" i="37"/>
  <c r="F341" i="37"/>
  <c r="F340" i="37"/>
  <c r="F118" i="37"/>
  <c r="D596" i="37"/>
  <c r="F596" i="37" s="1"/>
  <c r="F595" i="37"/>
  <c r="F594" i="37"/>
  <c r="F573" i="35"/>
  <c r="D573" i="35"/>
  <c r="F572" i="35"/>
  <c r="F571" i="35"/>
  <c r="K485" i="35" l="1"/>
  <c r="J546" i="37" l="1"/>
  <c r="F301" i="37"/>
  <c r="J300" i="37"/>
  <c r="F106" i="37"/>
  <c r="F105" i="37"/>
  <c r="J490" i="37"/>
  <c r="K490" i="37" s="1"/>
  <c r="J803" i="37"/>
  <c r="J23" i="37"/>
  <c r="J195" i="37"/>
  <c r="K195" i="37" s="1"/>
  <c r="J364" i="37"/>
  <c r="K364" i="37" s="1"/>
  <c r="L397" i="20" l="1"/>
  <c r="F215" i="37" l="1"/>
  <c r="F214" i="37"/>
  <c r="D629" i="37" l="1"/>
  <c r="J265" i="37"/>
  <c r="J271" i="37"/>
  <c r="J943" i="37"/>
  <c r="F943" i="37"/>
  <c r="J499" i="37"/>
  <c r="J485" i="37"/>
  <c r="D492" i="37"/>
  <c r="J493" i="37"/>
  <c r="K493" i="37" s="1"/>
  <c r="J699" i="37"/>
  <c r="J290" i="37"/>
  <c r="J45" i="37"/>
  <c r="J43" i="37"/>
  <c r="J42" i="37"/>
  <c r="D778" i="37"/>
  <c r="D17" i="37"/>
  <c r="F17" i="37" s="1"/>
  <c r="F16" i="37"/>
  <c r="F12" i="37"/>
  <c r="F11" i="37"/>
  <c r="F15" i="37"/>
  <c r="F14" i="37"/>
  <c r="F13" i="37"/>
  <c r="F638" i="37"/>
  <c r="F637" i="37"/>
  <c r="F636" i="37"/>
  <c r="J945" i="37"/>
  <c r="J786" i="37"/>
  <c r="J941" i="37"/>
  <c r="K941" i="37" s="1"/>
  <c r="J454" i="37"/>
  <c r="K943" i="37" l="1"/>
  <c r="D573" i="37"/>
  <c r="J516" i="37"/>
  <c r="F877" i="37"/>
  <c r="K877" i="37" s="1"/>
  <c r="F329" i="37"/>
  <c r="D100" i="37"/>
  <c r="F499" i="37"/>
  <c r="K499" i="37" s="1"/>
  <c r="B85" i="27"/>
  <c r="F84" i="27"/>
  <c r="E84" i="27"/>
  <c r="D84" i="27"/>
  <c r="B84" i="27"/>
  <c r="E71" i="27"/>
  <c r="D71" i="27"/>
  <c r="B71" i="27"/>
  <c r="D70" i="27"/>
  <c r="D69" i="27"/>
  <c r="K606" i="37"/>
  <c r="B86" i="27"/>
  <c r="F81" i="27"/>
  <c r="E81" i="27"/>
  <c r="E80" i="27"/>
  <c r="F80" i="27" s="1"/>
  <c r="F79" i="27"/>
  <c r="E79" i="27"/>
  <c r="E78" i="27"/>
  <c r="F78" i="27" s="1"/>
  <c r="F77" i="27"/>
  <c r="E77" i="27"/>
  <c r="E76" i="27"/>
  <c r="F76" i="27" s="1"/>
  <c r="F75" i="27"/>
  <c r="E75" i="27"/>
  <c r="E74" i="27"/>
  <c r="F74" i="27" s="1"/>
  <c r="F73" i="27"/>
  <c r="E73" i="27"/>
  <c r="D73" i="27"/>
  <c r="E72" i="27"/>
  <c r="D68" i="27"/>
  <c r="J606" i="37"/>
  <c r="F72" i="27" l="1"/>
  <c r="B87" i="27" s="1"/>
  <c r="D41" i="37"/>
  <c r="F40" i="37"/>
  <c r="F39" i="37"/>
  <c r="F479" i="37"/>
  <c r="F458" i="37" l="1"/>
  <c r="F459" i="37"/>
  <c r="F457" i="37"/>
  <c r="F700" i="37"/>
  <c r="F747" i="37"/>
  <c r="D739" i="37"/>
  <c r="D746" i="37" s="1"/>
  <c r="D748" i="37" s="1"/>
  <c r="F745" i="37"/>
  <c r="F408" i="37"/>
  <c r="D708" i="35"/>
  <c r="D715" i="35" s="1"/>
  <c r="F714" i="35"/>
  <c r="J623" i="36"/>
  <c r="D409" i="37"/>
  <c r="F409" i="37" s="1"/>
  <c r="F697" i="37" l="1"/>
  <c r="J859" i="37" l="1"/>
  <c r="J931" i="37"/>
  <c r="J957" i="37"/>
  <c r="J952" i="37"/>
  <c r="F952" i="37"/>
  <c r="J980" i="37"/>
  <c r="J979" i="37"/>
  <c r="F208" i="37"/>
  <c r="J209" i="37"/>
  <c r="J856" i="37"/>
  <c r="J956" i="37"/>
  <c r="J934" i="37"/>
  <c r="J978" i="37"/>
  <c r="F978" i="37"/>
  <c r="K978" i="37" l="1"/>
  <c r="K952" i="37"/>
  <c r="C15" i="34"/>
  <c r="J539" i="37"/>
  <c r="J508" i="37"/>
  <c r="J930" i="37"/>
  <c r="J763" i="37"/>
  <c r="J731" i="37"/>
  <c r="F150" i="37"/>
  <c r="F149" i="37"/>
  <c r="J765" i="37" l="1"/>
  <c r="J384" i="37"/>
  <c r="J415" i="37"/>
  <c r="F738" i="37"/>
  <c r="J705" i="35"/>
  <c r="J704" i="35"/>
  <c r="J703" i="35"/>
  <c r="J702" i="35"/>
  <c r="C78" i="31"/>
  <c r="F784" i="37"/>
  <c r="F323" i="37"/>
  <c r="J526" i="37"/>
  <c r="J909" i="37"/>
  <c r="J405" i="37"/>
  <c r="J410" i="37"/>
  <c r="J968" i="37"/>
  <c r="D466" i="37"/>
  <c r="F968" i="37"/>
  <c r="J527" i="37"/>
  <c r="K527" i="37" s="1"/>
  <c r="F530" i="37"/>
  <c r="J311" i="35"/>
  <c r="K310" i="35"/>
  <c r="J310" i="35"/>
  <c r="J316" i="37"/>
  <c r="J313" i="37"/>
  <c r="J827" i="37"/>
  <c r="K968" i="37" l="1"/>
  <c r="F957" i="37"/>
  <c r="K957" i="37" s="1"/>
  <c r="F956" i="37"/>
  <c r="K956" i="37" s="1"/>
  <c r="F967" i="37" l="1"/>
  <c r="J176" i="37"/>
  <c r="J501" i="37"/>
  <c r="J966" i="37"/>
  <c r="K966" i="37" s="1"/>
  <c r="J331" i="37"/>
  <c r="F62" i="37"/>
  <c r="D183" i="37"/>
  <c r="D185" i="37" s="1"/>
  <c r="F185" i="37" s="1"/>
  <c r="F182" i="37"/>
  <c r="J89" i="37"/>
  <c r="K89" i="37" s="1"/>
  <c r="D88" i="35"/>
  <c r="F87" i="35"/>
  <c r="F86" i="35"/>
  <c r="F85" i="35"/>
  <c r="J85" i="35"/>
  <c r="F574" i="37"/>
  <c r="J428" i="37"/>
  <c r="J200" i="37"/>
  <c r="F60" i="37" l="1"/>
  <c r="J919" i="37"/>
  <c r="F919" i="37"/>
  <c r="F510" i="37"/>
  <c r="J922" i="37"/>
  <c r="J857" i="37"/>
  <c r="K919" i="37" l="1"/>
  <c r="F514" i="37"/>
  <c r="F694" i="37"/>
  <c r="F699" i="37"/>
  <c r="F371" i="37"/>
  <c r="F930" i="37"/>
  <c r="K930" i="37" s="1"/>
  <c r="F833" i="37"/>
  <c r="F834" i="37"/>
  <c r="F835" i="37"/>
  <c r="F49" i="37"/>
  <c r="F48" i="37"/>
  <c r="F573" i="37"/>
  <c r="F572" i="37"/>
  <c r="F571" i="37"/>
  <c r="F132" i="37"/>
  <c r="F225" i="37"/>
  <c r="F58" i="37"/>
  <c r="F59" i="37"/>
  <c r="F767" i="37" l="1"/>
  <c r="F766" i="37"/>
  <c r="F768" i="37"/>
  <c r="J433" i="37"/>
  <c r="J312" i="37"/>
  <c r="F322" i="37"/>
  <c r="F321" i="37"/>
  <c r="F324" i="37"/>
  <c r="F166" i="37"/>
  <c r="F165" i="37"/>
  <c r="F141" i="36"/>
  <c r="J142" i="36"/>
  <c r="F150" i="30"/>
  <c r="F406" i="37" l="1"/>
  <c r="F405" i="37"/>
  <c r="F394" i="37" l="1"/>
  <c r="F960" i="37"/>
  <c r="J145" i="37"/>
  <c r="J70" i="37"/>
  <c r="J153" i="37"/>
  <c r="J120" i="37"/>
  <c r="K120" i="37" s="1"/>
  <c r="F218" i="37"/>
  <c r="J798" i="37"/>
  <c r="F800" i="37"/>
  <c r="F206" i="37"/>
  <c r="K827" i="37"/>
  <c r="J785" i="37"/>
  <c r="J810" i="37"/>
  <c r="K810" i="37" s="1"/>
  <c r="J498" i="37" l="1"/>
  <c r="J605" i="37"/>
  <c r="K605" i="37" s="1"/>
  <c r="J124" i="37"/>
  <c r="J920" i="37"/>
  <c r="J893" i="37"/>
  <c r="F307" i="37"/>
  <c r="J279" i="37"/>
  <c r="J85" i="37"/>
  <c r="K85" i="37" s="1"/>
  <c r="J843" i="37"/>
  <c r="F716" i="37"/>
  <c r="F714" i="37"/>
  <c r="J921" i="37"/>
  <c r="F921" i="37"/>
  <c r="J220" i="37"/>
  <c r="J721" i="37"/>
  <c r="J407" i="37"/>
  <c r="F407" i="37"/>
  <c r="J917" i="37"/>
  <c r="F875" i="37"/>
  <c r="F148" i="37"/>
  <c r="F695" i="37"/>
  <c r="E788" i="37"/>
  <c r="J916" i="37"/>
  <c r="J752" i="37"/>
  <c r="J432" i="37"/>
  <c r="J663" i="37"/>
  <c r="J403" i="37"/>
  <c r="J122" i="37"/>
  <c r="F152" i="37"/>
  <c r="D159" i="35"/>
  <c r="F159" i="35" s="1"/>
  <c r="J927" i="37"/>
  <c r="J898" i="37"/>
  <c r="J951" i="37"/>
  <c r="J950" i="37"/>
  <c r="K407" i="37" l="1"/>
  <c r="K921" i="37"/>
  <c r="J372" i="35"/>
  <c r="F164" i="37" l="1"/>
  <c r="F172" i="35"/>
  <c r="F153" i="30"/>
  <c r="F162" i="28"/>
  <c r="F143" i="36"/>
  <c r="J86" i="37" l="1"/>
  <c r="J911" i="37"/>
  <c r="F911" i="37"/>
  <c r="K912" i="37" s="1"/>
  <c r="J808" i="37"/>
  <c r="F895" i="37"/>
  <c r="K896" i="37" s="1"/>
  <c r="J579" i="37"/>
  <c r="K579" i="37" s="1"/>
  <c r="J914" i="37"/>
  <c r="F178" i="37"/>
  <c r="K911" i="37" l="1"/>
  <c r="J895" i="37"/>
  <c r="K895" i="37" s="1"/>
  <c r="F688" i="37"/>
  <c r="F651" i="37"/>
  <c r="F631" i="37"/>
  <c r="F438" i="37"/>
  <c r="F403" i="37" l="1"/>
  <c r="K403" i="37" s="1"/>
  <c r="J359" i="35"/>
  <c r="F344" i="37"/>
  <c r="D266" i="37"/>
  <c r="F266" i="37" s="1"/>
  <c r="F265" i="37"/>
  <c r="J232" i="37"/>
  <c r="D235" i="37"/>
  <c r="F235" i="37" s="1"/>
  <c r="F232" i="37"/>
  <c r="J20" i="35"/>
  <c r="F491" i="35"/>
  <c r="J490" i="35"/>
  <c r="F650" i="37"/>
  <c r="F649" i="37"/>
  <c r="F88" i="37" l="1"/>
  <c r="D71" i="37"/>
  <c r="F71" i="37" s="1"/>
  <c r="F72" i="37"/>
  <c r="F70" i="37"/>
  <c r="J56" i="37"/>
  <c r="J955" i="37"/>
  <c r="F955" i="37"/>
  <c r="F951" i="37"/>
  <c r="K951" i="37" s="1"/>
  <c r="F950" i="37"/>
  <c r="K950" i="37" s="1"/>
  <c r="J949" i="37"/>
  <c r="F949" i="37"/>
  <c r="F948" i="37"/>
  <c r="J947" i="37"/>
  <c r="F947" i="37"/>
  <c r="K947" i="37" s="1"/>
  <c r="F945" i="37"/>
  <c r="J944" i="37"/>
  <c r="K944" i="37" s="1"/>
  <c r="J939" i="37"/>
  <c r="K939" i="37" s="1"/>
  <c r="F939" i="37"/>
  <c r="J937" i="37"/>
  <c r="E937" i="37"/>
  <c r="F934" i="37"/>
  <c r="K934" i="37" s="1"/>
  <c r="F931" i="37"/>
  <c r="K931" i="37" s="1"/>
  <c r="J929" i="37"/>
  <c r="F929" i="37"/>
  <c r="J928" i="37"/>
  <c r="F928" i="37"/>
  <c r="F927" i="37"/>
  <c r="K927" i="37" s="1"/>
  <c r="J925" i="37"/>
  <c r="F925" i="37"/>
  <c r="J924" i="37"/>
  <c r="F924" i="37"/>
  <c r="J923" i="37"/>
  <c r="F923" i="37"/>
  <c r="F922" i="37"/>
  <c r="F920" i="37"/>
  <c r="K920" i="37" s="1"/>
  <c r="J918" i="37"/>
  <c r="F916" i="37"/>
  <c r="F914" i="37"/>
  <c r="J910" i="37"/>
  <c r="F910" i="37"/>
  <c r="F909" i="37"/>
  <c r="K909" i="37" s="1"/>
  <c r="F908" i="37"/>
  <c r="F906" i="37"/>
  <c r="D907" i="37" s="1"/>
  <c r="F907" i="37" s="1"/>
  <c r="F905" i="37"/>
  <c r="F903" i="37"/>
  <c r="J902" i="37"/>
  <c r="J901" i="37"/>
  <c r="J900" i="37"/>
  <c r="F898" i="37"/>
  <c r="J894" i="37"/>
  <c r="F894" i="37"/>
  <c r="F893" i="37"/>
  <c r="K893" i="37" s="1"/>
  <c r="F892" i="37"/>
  <c r="F890" i="37"/>
  <c r="J889" i="37"/>
  <c r="F889" i="37"/>
  <c r="J888" i="37"/>
  <c r="J887" i="37"/>
  <c r="F887" i="37"/>
  <c r="F886" i="37"/>
  <c r="J885" i="37"/>
  <c r="F885" i="37"/>
  <c r="F882" i="37"/>
  <c r="J881" i="37"/>
  <c r="F881" i="37"/>
  <c r="J880" i="37"/>
  <c r="F880" i="37"/>
  <c r="J879" i="37"/>
  <c r="J878" i="37"/>
  <c r="F878" i="37"/>
  <c r="J876" i="37"/>
  <c r="F876" i="37"/>
  <c r="D874" i="37"/>
  <c r="J873" i="37"/>
  <c r="F873" i="37"/>
  <c r="F870" i="37"/>
  <c r="J869" i="37"/>
  <c r="F869" i="37"/>
  <c r="J868" i="37"/>
  <c r="K868" i="37" s="1"/>
  <c r="F867" i="37"/>
  <c r="F866" i="37"/>
  <c r="J865" i="37"/>
  <c r="K865" i="37" s="1"/>
  <c r="J864" i="37"/>
  <c r="F864" i="37"/>
  <c r="J860" i="37"/>
  <c r="F860" i="37"/>
  <c r="F858" i="37"/>
  <c r="F857" i="37"/>
  <c r="F856" i="37"/>
  <c r="F855" i="37"/>
  <c r="F854" i="37"/>
  <c r="J853" i="37"/>
  <c r="F853" i="37"/>
  <c r="J852" i="37"/>
  <c r="D850" i="37"/>
  <c r="F849" i="37"/>
  <c r="J847" i="37"/>
  <c r="K847" i="37" s="1"/>
  <c r="J846" i="37"/>
  <c r="K846" i="37" s="1"/>
  <c r="E846" i="37"/>
  <c r="J845" i="37"/>
  <c r="F845" i="37"/>
  <c r="J844" i="37"/>
  <c r="F844" i="37"/>
  <c r="F843" i="37"/>
  <c r="J842" i="37"/>
  <c r="F842" i="37"/>
  <c r="J841" i="37"/>
  <c r="F841" i="37"/>
  <c r="J840" i="37"/>
  <c r="F840" i="37"/>
  <c r="J839" i="37"/>
  <c r="F839" i="37"/>
  <c r="F832" i="37"/>
  <c r="J826" i="37"/>
  <c r="F826" i="37"/>
  <c r="J825" i="37"/>
  <c r="F825" i="37"/>
  <c r="J824" i="37"/>
  <c r="F824" i="37"/>
  <c r="J823" i="37"/>
  <c r="J822" i="37"/>
  <c r="F822" i="37"/>
  <c r="J821" i="37"/>
  <c r="F821" i="37"/>
  <c r="J819" i="37"/>
  <c r="F819" i="37"/>
  <c r="K820" i="37" s="1"/>
  <c r="J818" i="37"/>
  <c r="F818" i="37"/>
  <c r="J817" i="37"/>
  <c r="F817" i="37"/>
  <c r="J816" i="37"/>
  <c r="K816" i="37" s="1"/>
  <c r="J815" i="37"/>
  <c r="F815" i="37"/>
  <c r="J814" i="37"/>
  <c r="F814" i="37"/>
  <c r="J813" i="37"/>
  <c r="F813" i="37"/>
  <c r="F808" i="37"/>
  <c r="J807" i="37"/>
  <c r="F807" i="37"/>
  <c r="F803" i="37"/>
  <c r="J802" i="37"/>
  <c r="F802" i="37"/>
  <c r="J801" i="37"/>
  <c r="F801" i="37"/>
  <c r="D798" i="37"/>
  <c r="F798" i="37" s="1"/>
  <c r="F797" i="37"/>
  <c r="F796" i="37"/>
  <c r="J795" i="37"/>
  <c r="F795" i="37"/>
  <c r="J794" i="37"/>
  <c r="K794" i="37" s="1"/>
  <c r="J793" i="37"/>
  <c r="F793" i="37"/>
  <c r="J792" i="37"/>
  <c r="F792" i="37"/>
  <c r="J791" i="37"/>
  <c r="F791" i="37"/>
  <c r="J790" i="37"/>
  <c r="F790" i="37"/>
  <c r="J789" i="37"/>
  <c r="F789" i="37"/>
  <c r="J788" i="37"/>
  <c r="K788" i="37" s="1"/>
  <c r="J787" i="37"/>
  <c r="F787" i="37"/>
  <c r="F786" i="37"/>
  <c r="K786" i="37" s="1"/>
  <c r="F785" i="37"/>
  <c r="K785" i="37" s="1"/>
  <c r="F783" i="37"/>
  <c r="J781" i="37"/>
  <c r="F781" i="37"/>
  <c r="K782" i="37" s="1"/>
  <c r="J780" i="37"/>
  <c r="F780" i="37"/>
  <c r="J774" i="37"/>
  <c r="F774" i="37"/>
  <c r="J773" i="37"/>
  <c r="F773" i="37"/>
  <c r="J772" i="37"/>
  <c r="F772" i="37"/>
  <c r="J771" i="37"/>
  <c r="F771" i="37"/>
  <c r="J770" i="37"/>
  <c r="F770" i="37"/>
  <c r="J769" i="37"/>
  <c r="F769" i="37"/>
  <c r="F765" i="37"/>
  <c r="F764" i="37"/>
  <c r="F761" i="37"/>
  <c r="F760" i="37"/>
  <c r="F759" i="37"/>
  <c r="F758" i="37"/>
  <c r="F757" i="37"/>
  <c r="F756" i="37"/>
  <c r="J755" i="37"/>
  <c r="F755" i="37"/>
  <c r="J754" i="37"/>
  <c r="F754" i="37"/>
  <c r="J753" i="37"/>
  <c r="F753" i="37"/>
  <c r="F752" i="37"/>
  <c r="K752" i="37" s="1"/>
  <c r="F737" i="37"/>
  <c r="F736" i="37"/>
  <c r="F735" i="37"/>
  <c r="F734" i="37"/>
  <c r="F733" i="37"/>
  <c r="J732" i="37"/>
  <c r="K732" i="37" s="1"/>
  <c r="D730" i="37"/>
  <c r="F730" i="37" s="1"/>
  <c r="F729" i="37"/>
  <c r="F728" i="37"/>
  <c r="F727" i="37"/>
  <c r="F726" i="37"/>
  <c r="F725" i="37"/>
  <c r="F724" i="37"/>
  <c r="F721" i="37"/>
  <c r="J720" i="37"/>
  <c r="F720" i="37"/>
  <c r="D713" i="37"/>
  <c r="F713" i="37" s="1"/>
  <c r="F712" i="37"/>
  <c r="F711" i="37"/>
  <c r="F710" i="37"/>
  <c r="F709" i="37"/>
  <c r="K709" i="37" s="1"/>
  <c r="J701" i="37"/>
  <c r="F701" i="37"/>
  <c r="J693" i="37"/>
  <c r="F693" i="37"/>
  <c r="J691" i="37"/>
  <c r="F691" i="37"/>
  <c r="F690" i="37"/>
  <c r="J689" i="37"/>
  <c r="F689" i="37"/>
  <c r="J688" i="37"/>
  <c r="J687" i="37"/>
  <c r="K687" i="37" s="1"/>
  <c r="J686" i="37"/>
  <c r="F686" i="37"/>
  <c r="J685" i="37"/>
  <c r="F685" i="37"/>
  <c r="J684" i="37"/>
  <c r="F684" i="37"/>
  <c r="J683" i="37"/>
  <c r="F683" i="37"/>
  <c r="J682" i="37"/>
  <c r="F682" i="37"/>
  <c r="K682" i="37" s="1"/>
  <c r="J681" i="37"/>
  <c r="F681" i="37"/>
  <c r="J680" i="37"/>
  <c r="F680" i="37"/>
  <c r="D678" i="37"/>
  <c r="F677" i="37"/>
  <c r="F676" i="37"/>
  <c r="F675" i="37"/>
  <c r="F674" i="37"/>
  <c r="F673" i="37"/>
  <c r="F672" i="37"/>
  <c r="J671" i="37"/>
  <c r="F671" i="37"/>
  <c r="J670" i="37"/>
  <c r="F670" i="37"/>
  <c r="J668" i="37"/>
  <c r="F668" i="37"/>
  <c r="J667" i="37"/>
  <c r="F667" i="37"/>
  <c r="J665" i="37"/>
  <c r="K665" i="37" s="1"/>
  <c r="F665" i="37"/>
  <c r="F664" i="37"/>
  <c r="J662" i="37"/>
  <c r="F662" i="37"/>
  <c r="J661" i="37"/>
  <c r="F661" i="37"/>
  <c r="J660" i="37"/>
  <c r="F660" i="37"/>
  <c r="J659" i="37"/>
  <c r="F659" i="37"/>
  <c r="J657" i="37"/>
  <c r="F657" i="37"/>
  <c r="J655" i="37"/>
  <c r="F655" i="37"/>
  <c r="J654" i="37"/>
  <c r="K654" i="37" s="1"/>
  <c r="J653" i="37"/>
  <c r="F653" i="37"/>
  <c r="J652" i="37"/>
  <c r="F652" i="37"/>
  <c r="F647" i="37"/>
  <c r="J646" i="37"/>
  <c r="K646" i="37" s="1"/>
  <c r="F645" i="37"/>
  <c r="J644" i="37"/>
  <c r="F644" i="37"/>
  <c r="J643" i="37"/>
  <c r="J642" i="37"/>
  <c r="F642" i="37"/>
  <c r="J640" i="37"/>
  <c r="F640" i="37"/>
  <c r="K641" i="37" s="1"/>
  <c r="F635" i="37"/>
  <c r="F634" i="37"/>
  <c r="F633" i="37"/>
  <c r="J632" i="37"/>
  <c r="F632" i="37"/>
  <c r="J631" i="37"/>
  <c r="J630" i="37"/>
  <c r="F630" i="37"/>
  <c r="J621" i="37"/>
  <c r="F621" i="37"/>
  <c r="J619" i="37"/>
  <c r="K619" i="37" s="1"/>
  <c r="J618" i="37"/>
  <c r="K618" i="37" s="1"/>
  <c r="J617" i="37"/>
  <c r="K617" i="37" s="1"/>
  <c r="J616" i="37"/>
  <c r="F616" i="37"/>
  <c r="F604" i="37"/>
  <c r="J603" i="37"/>
  <c r="F603" i="37"/>
  <c r="J601" i="37"/>
  <c r="K601" i="37" s="1"/>
  <c r="J600" i="37"/>
  <c r="K600" i="37" s="1"/>
  <c r="F598" i="37"/>
  <c r="J597" i="37"/>
  <c r="F597" i="37"/>
  <c r="J593" i="37"/>
  <c r="F593" i="37"/>
  <c r="J592" i="37"/>
  <c r="F592" i="37"/>
  <c r="J591" i="37"/>
  <c r="F591" i="37"/>
  <c r="J590" i="37"/>
  <c r="F590" i="37"/>
  <c r="J589" i="37"/>
  <c r="F589" i="37"/>
  <c r="J588" i="37"/>
  <c r="K588" i="37" s="1"/>
  <c r="J587" i="37"/>
  <c r="F587" i="37"/>
  <c r="J586" i="37"/>
  <c r="F586" i="37"/>
  <c r="J585" i="37"/>
  <c r="F585" i="37"/>
  <c r="J584" i="37"/>
  <c r="K584" i="37" s="1"/>
  <c r="F584" i="37"/>
  <c r="J583" i="37"/>
  <c r="K583" i="37" s="1"/>
  <c r="J582" i="37"/>
  <c r="F582" i="37"/>
  <c r="J581" i="37"/>
  <c r="F581" i="37"/>
  <c r="E579" i="37"/>
  <c r="F578" i="37"/>
  <c r="F577" i="37"/>
  <c r="J569" i="37"/>
  <c r="F569" i="37"/>
  <c r="F567" i="37"/>
  <c r="F566" i="37"/>
  <c r="F564" i="37"/>
  <c r="F563" i="37"/>
  <c r="F562" i="37"/>
  <c r="F561" i="37"/>
  <c r="D559" i="37"/>
  <c r="D560" i="37" s="1"/>
  <c r="D565" i="37" s="1"/>
  <c r="D568" i="37" s="1"/>
  <c r="D570" i="37" s="1"/>
  <c r="D575" i="37" s="1"/>
  <c r="D576" i="37" s="1"/>
  <c r="F558" i="37"/>
  <c r="F557" i="37"/>
  <c r="F556" i="37"/>
  <c r="F555" i="37"/>
  <c r="F554" i="37"/>
  <c r="F552" i="37"/>
  <c r="F551" i="37"/>
  <c r="J550" i="37"/>
  <c r="F550" i="37"/>
  <c r="J549" i="37"/>
  <c r="F549" i="37"/>
  <c r="F548" i="37"/>
  <c r="J547" i="37"/>
  <c r="F547" i="37"/>
  <c r="J545" i="37"/>
  <c r="F545" i="37"/>
  <c r="J544" i="37"/>
  <c r="F544" i="37"/>
  <c r="J543" i="37"/>
  <c r="K543" i="37" s="1"/>
  <c r="E543" i="37"/>
  <c r="F542" i="37"/>
  <c r="K542" i="37" s="1"/>
  <c r="J541" i="37"/>
  <c r="J540" i="37"/>
  <c r="F540" i="37"/>
  <c r="F539" i="37"/>
  <c r="K539" i="37" s="1"/>
  <c r="F529" i="37"/>
  <c r="F526" i="37"/>
  <c r="J525" i="37"/>
  <c r="F525" i="37"/>
  <c r="J524" i="37"/>
  <c r="F524" i="37"/>
  <c r="J523" i="37"/>
  <c r="F523" i="37"/>
  <c r="F522" i="37"/>
  <c r="J521" i="37"/>
  <c r="J519" i="37"/>
  <c r="F519" i="37"/>
  <c r="F517" i="37"/>
  <c r="F516" i="37"/>
  <c r="F513" i="37"/>
  <c r="F512" i="37"/>
  <c r="J511" i="37"/>
  <c r="F511" i="37"/>
  <c r="K509" i="37"/>
  <c r="J507" i="37"/>
  <c r="F507" i="37"/>
  <c r="J506" i="37"/>
  <c r="F506" i="37"/>
  <c r="F505" i="37"/>
  <c r="J504" i="37"/>
  <c r="F504" i="37"/>
  <c r="J503" i="37"/>
  <c r="F503" i="37"/>
  <c r="F501" i="37"/>
  <c r="K501" i="37" s="1"/>
  <c r="J500" i="37"/>
  <c r="F500" i="37"/>
  <c r="J497" i="37"/>
  <c r="F497" i="37"/>
  <c r="F486" i="37"/>
  <c r="F485" i="37"/>
  <c r="J484" i="37"/>
  <c r="F484" i="37"/>
  <c r="J483" i="37"/>
  <c r="K483" i="37" s="1"/>
  <c r="J481" i="37"/>
  <c r="K481" i="37" s="1"/>
  <c r="J480" i="37"/>
  <c r="F480" i="37"/>
  <c r="F478" i="37"/>
  <c r="J477" i="37"/>
  <c r="F477" i="37"/>
  <c r="J476" i="37"/>
  <c r="F476" i="37"/>
  <c r="J475" i="37"/>
  <c r="F475" i="37"/>
  <c r="J474" i="37"/>
  <c r="F474" i="37"/>
  <c r="J473" i="37"/>
  <c r="F473" i="37"/>
  <c r="J472" i="37"/>
  <c r="F472" i="37"/>
  <c r="J471" i="37"/>
  <c r="F471" i="37"/>
  <c r="F470" i="37"/>
  <c r="J469" i="37"/>
  <c r="F469" i="37"/>
  <c r="J468" i="37"/>
  <c r="K468" i="37" s="1"/>
  <c r="J466" i="37"/>
  <c r="F465" i="37"/>
  <c r="F464" i="37"/>
  <c r="F463" i="37"/>
  <c r="F462" i="37"/>
  <c r="J461" i="37"/>
  <c r="F461" i="37"/>
  <c r="D456" i="37"/>
  <c r="F455" i="37"/>
  <c r="F454" i="37"/>
  <c r="J453" i="37"/>
  <c r="F453" i="37"/>
  <c r="J452" i="37"/>
  <c r="F452" i="37"/>
  <c r="J451" i="37"/>
  <c r="F451" i="37"/>
  <c r="J450" i="37"/>
  <c r="K450" i="37" s="1"/>
  <c r="J449" i="37"/>
  <c r="F449" i="37"/>
  <c r="J448" i="37"/>
  <c r="F448" i="37"/>
  <c r="J447" i="37"/>
  <c r="F447" i="37"/>
  <c r="F446" i="37"/>
  <c r="J445" i="37"/>
  <c r="F445" i="37"/>
  <c r="J443" i="37"/>
  <c r="D443" i="37"/>
  <c r="F441" i="37"/>
  <c r="F440" i="37"/>
  <c r="F439" i="37"/>
  <c r="F437" i="37"/>
  <c r="J436" i="37"/>
  <c r="F436" i="37"/>
  <c r="J435" i="37"/>
  <c r="F435" i="37"/>
  <c r="J434" i="37"/>
  <c r="F434" i="37"/>
  <c r="F433" i="37"/>
  <c r="K433" i="37" s="1"/>
  <c r="F432" i="37"/>
  <c r="J430" i="37"/>
  <c r="F430" i="37"/>
  <c r="J429" i="37"/>
  <c r="F429" i="37"/>
  <c r="F428" i="37"/>
  <c r="J427" i="37"/>
  <c r="K427" i="37" s="1"/>
  <c r="E427" i="37"/>
  <c r="J426" i="37"/>
  <c r="K426" i="37" s="1"/>
  <c r="F424" i="37"/>
  <c r="F423" i="37"/>
  <c r="J422" i="37"/>
  <c r="F422" i="37"/>
  <c r="F421" i="37"/>
  <c r="J420" i="37"/>
  <c r="F420" i="37"/>
  <c r="J419" i="37"/>
  <c r="F419" i="37"/>
  <c r="J418" i="37"/>
  <c r="F418" i="37"/>
  <c r="J417" i="37"/>
  <c r="F417" i="37"/>
  <c r="F416" i="37"/>
  <c r="F415" i="37"/>
  <c r="F413" i="37"/>
  <c r="J412" i="37"/>
  <c r="F412" i="37"/>
  <c r="F411" i="37"/>
  <c r="F410" i="37"/>
  <c r="F402" i="37"/>
  <c r="F401" i="37"/>
  <c r="J400" i="37"/>
  <c r="F400" i="37"/>
  <c r="F399" i="37"/>
  <c r="J398" i="37"/>
  <c r="F398" i="37"/>
  <c r="J397" i="37"/>
  <c r="F397" i="37"/>
  <c r="J396" i="37"/>
  <c r="K396" i="37" s="1"/>
  <c r="J395" i="37"/>
  <c r="F395" i="37"/>
  <c r="J393" i="37"/>
  <c r="F393" i="37"/>
  <c r="J392" i="37"/>
  <c r="F392" i="37"/>
  <c r="J391" i="37"/>
  <c r="F391" i="37"/>
  <c r="F390" i="37"/>
  <c r="J389" i="37"/>
  <c r="F389" i="37"/>
  <c r="J387" i="37"/>
  <c r="F387" i="37"/>
  <c r="K388" i="37" s="1"/>
  <c r="J386" i="37"/>
  <c r="F386" i="37"/>
  <c r="J385" i="37"/>
  <c r="F385" i="37"/>
  <c r="F384" i="37"/>
  <c r="K384" i="37" s="1"/>
  <c r="F383" i="37"/>
  <c r="J382" i="37"/>
  <c r="F382" i="37"/>
  <c r="J381" i="37"/>
  <c r="F381" i="37"/>
  <c r="J379" i="37"/>
  <c r="F379" i="37"/>
  <c r="J378" i="37"/>
  <c r="K378" i="37" s="1"/>
  <c r="E378" i="37"/>
  <c r="J377" i="37"/>
  <c r="F377" i="37"/>
  <c r="J376" i="37"/>
  <c r="F376" i="37"/>
  <c r="J375" i="37"/>
  <c r="F375" i="37"/>
  <c r="K375" i="37" s="1"/>
  <c r="J372" i="37"/>
  <c r="F372" i="37"/>
  <c r="J370" i="37"/>
  <c r="F370" i="37"/>
  <c r="J369" i="37"/>
  <c r="F369" i="37"/>
  <c r="F368" i="37"/>
  <c r="J367" i="37"/>
  <c r="F367" i="37"/>
  <c r="J366" i="37"/>
  <c r="F366" i="37"/>
  <c r="J363" i="37"/>
  <c r="F363" i="37"/>
  <c r="J360" i="37"/>
  <c r="F360" i="37"/>
  <c r="J359" i="37"/>
  <c r="F359" i="37"/>
  <c r="J358" i="37"/>
  <c r="F358" i="37"/>
  <c r="F357" i="37"/>
  <c r="K357" i="37" s="1"/>
  <c r="J356" i="37"/>
  <c r="J355" i="37"/>
  <c r="F355" i="37"/>
  <c r="J354" i="37"/>
  <c r="F354" i="37"/>
  <c r="F350" i="37"/>
  <c r="J349" i="37"/>
  <c r="F349" i="37"/>
  <c r="J348" i="37"/>
  <c r="K348" i="37" s="1"/>
  <c r="F347" i="37"/>
  <c r="J346" i="37"/>
  <c r="F346" i="37"/>
  <c r="J345" i="37"/>
  <c r="F345" i="37"/>
  <c r="J344" i="37"/>
  <c r="K344" i="37" s="1"/>
  <c r="J343" i="37"/>
  <c r="F343" i="37"/>
  <c r="J342" i="37"/>
  <c r="F342" i="37"/>
  <c r="F339" i="37"/>
  <c r="J338" i="37"/>
  <c r="F338" i="37"/>
  <c r="J337" i="37"/>
  <c r="F337" i="37"/>
  <c r="J336" i="37"/>
  <c r="F336" i="37"/>
  <c r="J335" i="37"/>
  <c r="F335" i="37"/>
  <c r="J334" i="37"/>
  <c r="K334" i="37" s="1"/>
  <c r="J333" i="37"/>
  <c r="F333" i="37"/>
  <c r="J332" i="37"/>
  <c r="F332" i="37"/>
  <c r="F331" i="37"/>
  <c r="K331" i="37" s="1"/>
  <c r="J330" i="37"/>
  <c r="K330" i="37" s="1"/>
  <c r="J328" i="37"/>
  <c r="F328" i="37"/>
  <c r="F327" i="37"/>
  <c r="J326" i="37"/>
  <c r="F326" i="37"/>
  <c r="J325" i="37"/>
  <c r="F325" i="37"/>
  <c r="F320" i="37"/>
  <c r="J319" i="37"/>
  <c r="F319" i="37"/>
  <c r="F313" i="37"/>
  <c r="K312" i="37"/>
  <c r="J311" i="37"/>
  <c r="F311" i="37"/>
  <c r="F310" i="37"/>
  <c r="J309" i="37"/>
  <c r="F309" i="37"/>
  <c r="J306" i="37"/>
  <c r="K306" i="37" s="1"/>
  <c r="F306" i="37"/>
  <c r="J304" i="37"/>
  <c r="F304" i="37"/>
  <c r="K305" i="37" s="1"/>
  <c r="J303" i="37"/>
  <c r="F303" i="37"/>
  <c r="J302" i="37"/>
  <c r="F302" i="37"/>
  <c r="J299" i="37"/>
  <c r="F299" i="37"/>
  <c r="J297" i="37"/>
  <c r="F297" i="37"/>
  <c r="J296" i="37"/>
  <c r="F296" i="37"/>
  <c r="J295" i="37"/>
  <c r="K295" i="37" s="1"/>
  <c r="J294" i="37"/>
  <c r="F294" i="37"/>
  <c r="J293" i="37"/>
  <c r="K293" i="37" s="1"/>
  <c r="J292" i="37"/>
  <c r="F292" i="37"/>
  <c r="J291" i="37"/>
  <c r="F291" i="37"/>
  <c r="F290" i="37"/>
  <c r="K290" i="37" s="1"/>
  <c r="F288" i="37"/>
  <c r="F285" i="37"/>
  <c r="J284" i="37"/>
  <c r="F284" i="37"/>
  <c r="J283" i="37"/>
  <c r="F283" i="37"/>
  <c r="J282" i="37"/>
  <c r="F282" i="37"/>
  <c r="J281" i="37"/>
  <c r="F281" i="37"/>
  <c r="F279" i="37"/>
  <c r="K279" i="37" s="1"/>
  <c r="J278" i="37"/>
  <c r="F278" i="37"/>
  <c r="J277" i="37"/>
  <c r="F277" i="37"/>
  <c r="J275" i="37"/>
  <c r="F275" i="37"/>
  <c r="J274" i="37"/>
  <c r="F274" i="37"/>
  <c r="F273" i="37"/>
  <c r="F272" i="37"/>
  <c r="F271" i="37"/>
  <c r="J270" i="37"/>
  <c r="F270" i="37"/>
  <c r="J269" i="37"/>
  <c r="F269" i="37"/>
  <c r="J268" i="37"/>
  <c r="F268" i="37"/>
  <c r="J267" i="37"/>
  <c r="F267" i="37"/>
  <c r="K265" i="37"/>
  <c r="J264" i="37"/>
  <c r="F264" i="37"/>
  <c r="J263" i="37"/>
  <c r="F263" i="37"/>
  <c r="F262" i="37"/>
  <c r="K262" i="37" s="1"/>
  <c r="J261" i="37"/>
  <c r="F261" i="37"/>
  <c r="J260" i="37"/>
  <c r="F260" i="37"/>
  <c r="J259" i="37"/>
  <c r="F259" i="37"/>
  <c r="J258" i="37"/>
  <c r="F258" i="37"/>
  <c r="J257" i="37"/>
  <c r="F257" i="37"/>
  <c r="J256" i="37"/>
  <c r="F256" i="37"/>
  <c r="F255" i="37"/>
  <c r="J254" i="37"/>
  <c r="F254" i="37"/>
  <c r="F253" i="37"/>
  <c r="K253" i="37" s="1"/>
  <c r="J252" i="37"/>
  <c r="F252" i="37"/>
  <c r="J251" i="37"/>
  <c r="F251" i="37"/>
  <c r="J250" i="37"/>
  <c r="F250" i="37"/>
  <c r="F240" i="37"/>
  <c r="J239" i="37"/>
  <c r="F239" i="37"/>
  <c r="J238" i="37"/>
  <c r="F238" i="37"/>
  <c r="J237" i="37"/>
  <c r="F237" i="37"/>
  <c r="J236" i="37"/>
  <c r="F236" i="37"/>
  <c r="F231" i="37"/>
  <c r="J230" i="37"/>
  <c r="F230" i="37"/>
  <c r="J229" i="37"/>
  <c r="F229" i="37"/>
  <c r="J227" i="37"/>
  <c r="J226" i="37"/>
  <c r="F226" i="37"/>
  <c r="J223" i="37"/>
  <c r="F223" i="37"/>
  <c r="J222" i="37"/>
  <c r="F222" i="37"/>
  <c r="J221" i="37"/>
  <c r="F221" i="37"/>
  <c r="F220" i="37"/>
  <c r="J218" i="37"/>
  <c r="J217" i="37"/>
  <c r="F217" i="37"/>
  <c r="J213" i="37"/>
  <c r="F213" i="37"/>
  <c r="J212" i="37"/>
  <c r="F212" i="37"/>
  <c r="J211" i="37"/>
  <c r="F211" i="37"/>
  <c r="J207" i="37"/>
  <c r="K207" i="37" s="1"/>
  <c r="J205" i="37"/>
  <c r="F205" i="37"/>
  <c r="F204" i="37"/>
  <c r="F203" i="37"/>
  <c r="J202" i="37"/>
  <c r="F202" i="37"/>
  <c r="J201" i="37"/>
  <c r="F201" i="37"/>
  <c r="K200" i="37"/>
  <c r="J198" i="37"/>
  <c r="F198" i="37"/>
  <c r="J197" i="37"/>
  <c r="K197" i="37" s="1"/>
  <c r="J194" i="37"/>
  <c r="F194" i="37"/>
  <c r="J193" i="37"/>
  <c r="F193" i="37"/>
  <c r="J192" i="37"/>
  <c r="F192" i="37"/>
  <c r="F190" i="37"/>
  <c r="J189" i="37"/>
  <c r="F189" i="37"/>
  <c r="J188" i="37"/>
  <c r="K188" i="37" s="1"/>
  <c r="J187" i="37"/>
  <c r="J186" i="37"/>
  <c r="F186" i="37"/>
  <c r="F183" i="37"/>
  <c r="F181" i="37"/>
  <c r="F180" i="37"/>
  <c r="J179" i="37"/>
  <c r="F179" i="37"/>
  <c r="J177" i="37"/>
  <c r="F177" i="37"/>
  <c r="J175" i="37"/>
  <c r="K175" i="37" s="1"/>
  <c r="J173" i="37"/>
  <c r="F173" i="37"/>
  <c r="J172" i="37"/>
  <c r="K172" i="37" s="1"/>
  <c r="J171" i="37"/>
  <c r="F171" i="37"/>
  <c r="J170" i="37"/>
  <c r="F170" i="37"/>
  <c r="F169" i="37"/>
  <c r="J168" i="37"/>
  <c r="J167" i="37"/>
  <c r="F167" i="37"/>
  <c r="F163" i="37"/>
  <c r="J162" i="37"/>
  <c r="E162" i="37"/>
  <c r="J161" i="37"/>
  <c r="F160" i="37"/>
  <c r="F159" i="37"/>
  <c r="J158" i="37"/>
  <c r="F158" i="37"/>
  <c r="J156" i="37"/>
  <c r="F156" i="37"/>
  <c r="F155" i="37"/>
  <c r="K153" i="37" s="1"/>
  <c r="F154" i="37"/>
  <c r="J152" i="37"/>
  <c r="K152" i="37" s="1"/>
  <c r="J147" i="37"/>
  <c r="F147" i="37"/>
  <c r="K145" i="37"/>
  <c r="E145" i="37"/>
  <c r="J144" i="37"/>
  <c r="F144" i="37"/>
  <c r="J143" i="37"/>
  <c r="F143" i="37"/>
  <c r="J142" i="37"/>
  <c r="F142" i="37"/>
  <c r="J141" i="37"/>
  <c r="F141" i="37"/>
  <c r="J140" i="37"/>
  <c r="K140" i="37" s="1"/>
  <c r="J139" i="37"/>
  <c r="F139" i="37"/>
  <c r="J138" i="37"/>
  <c r="K138" i="37" s="1"/>
  <c r="F137" i="37"/>
  <c r="J136" i="37"/>
  <c r="F136" i="37"/>
  <c r="J135" i="37"/>
  <c r="F135" i="37"/>
  <c r="J134" i="37"/>
  <c r="F134" i="37"/>
  <c r="J133" i="37"/>
  <c r="F133" i="37"/>
  <c r="F131" i="37"/>
  <c r="J130" i="37"/>
  <c r="F130" i="37"/>
  <c r="J129" i="37"/>
  <c r="F129" i="37"/>
  <c r="J127" i="37"/>
  <c r="F127" i="37"/>
  <c r="F126" i="37"/>
  <c r="J125" i="37"/>
  <c r="F125" i="37"/>
  <c r="J123" i="37"/>
  <c r="F123" i="37"/>
  <c r="K122" i="37"/>
  <c r="E122" i="37"/>
  <c r="J121" i="37"/>
  <c r="F121" i="37"/>
  <c r="E120" i="37"/>
  <c r="J119" i="37"/>
  <c r="F119" i="37"/>
  <c r="F117" i="37"/>
  <c r="J116" i="37"/>
  <c r="F116" i="37"/>
  <c r="J115" i="37"/>
  <c r="F115" i="37"/>
  <c r="J114" i="37"/>
  <c r="F114" i="37"/>
  <c r="J113" i="37"/>
  <c r="F113" i="37"/>
  <c r="J109" i="37"/>
  <c r="F109" i="37"/>
  <c r="F108" i="37"/>
  <c r="J107" i="37"/>
  <c r="F103" i="37"/>
  <c r="F100" i="37"/>
  <c r="K100" i="37" s="1"/>
  <c r="J96" i="37"/>
  <c r="K96" i="37" s="1"/>
  <c r="F95" i="37"/>
  <c r="D94" i="37"/>
  <c r="J91" i="37"/>
  <c r="K91" i="37" s="1"/>
  <c r="F87" i="37"/>
  <c r="F86" i="37"/>
  <c r="J84" i="37"/>
  <c r="K84" i="37" s="1"/>
  <c r="E84" i="37"/>
  <c r="J83" i="37"/>
  <c r="F82" i="37"/>
  <c r="J81" i="37"/>
  <c r="F81" i="37"/>
  <c r="J80" i="37"/>
  <c r="F80" i="37"/>
  <c r="J78" i="37"/>
  <c r="F78" i="37"/>
  <c r="K79" i="37" s="1"/>
  <c r="F74" i="37"/>
  <c r="J69" i="37"/>
  <c r="F69" i="37"/>
  <c r="F68" i="37"/>
  <c r="J67" i="37"/>
  <c r="F67" i="37"/>
  <c r="K66" i="37"/>
  <c r="J65" i="37"/>
  <c r="F65" i="37"/>
  <c r="K64" i="37"/>
  <c r="K63" i="37"/>
  <c r="J57" i="37"/>
  <c r="F57" i="37"/>
  <c r="F56" i="37"/>
  <c r="J55" i="37"/>
  <c r="F55" i="37"/>
  <c r="J54" i="37"/>
  <c r="K54" i="37" s="1"/>
  <c r="F53" i="37"/>
  <c r="F52" i="37"/>
  <c r="J51" i="37"/>
  <c r="F51" i="37"/>
  <c r="J50" i="37"/>
  <c r="F50" i="37"/>
  <c r="J47" i="37"/>
  <c r="F47" i="37"/>
  <c r="J46" i="37"/>
  <c r="F46" i="37"/>
  <c r="F42" i="37"/>
  <c r="J38" i="37"/>
  <c r="F38" i="37"/>
  <c r="F41" i="37" s="1"/>
  <c r="J37" i="37"/>
  <c r="F37" i="37"/>
  <c r="K36" i="37"/>
  <c r="J36" i="37"/>
  <c r="J34" i="37"/>
  <c r="F34" i="37"/>
  <c r="J33" i="37"/>
  <c r="F33" i="37"/>
  <c r="K33" i="37" s="1"/>
  <c r="J31" i="37"/>
  <c r="F31" i="37"/>
  <c r="F30" i="37"/>
  <c r="K28" i="37" s="1"/>
  <c r="J28" i="37"/>
  <c r="E28" i="37"/>
  <c r="J27" i="37"/>
  <c r="F27" i="37"/>
  <c r="J26" i="37"/>
  <c r="F26" i="37"/>
  <c r="J25" i="37"/>
  <c r="F25" i="37"/>
  <c r="J24" i="37"/>
  <c r="F24" i="37"/>
  <c r="F23" i="37"/>
  <c r="K23" i="37" s="1"/>
  <c r="J22" i="37"/>
  <c r="F22" i="37"/>
  <c r="J21" i="37"/>
  <c r="F21" i="37"/>
  <c r="J20" i="37"/>
  <c r="K20" i="37" s="1"/>
  <c r="E20" i="37"/>
  <c r="F19" i="37"/>
  <c r="J18" i="37"/>
  <c r="F18" i="37"/>
  <c r="J10" i="37"/>
  <c r="F10" i="37"/>
  <c r="J9" i="37"/>
  <c r="F9" i="37"/>
  <c r="J7" i="37"/>
  <c r="F7" i="37"/>
  <c r="J6" i="37"/>
  <c r="F6" i="37"/>
  <c r="J5" i="37"/>
  <c r="F5" i="37"/>
  <c r="J4" i="37"/>
  <c r="F4" i="37"/>
  <c r="J3" i="37"/>
  <c r="K3" i="37" s="1"/>
  <c r="F2" i="37"/>
  <c r="K205" i="37" l="1"/>
  <c r="K271" i="37"/>
  <c r="K808" i="37"/>
  <c r="K809" i="37"/>
  <c r="K914" i="37"/>
  <c r="K915" i="37"/>
  <c r="K328" i="37"/>
  <c r="K898" i="37"/>
  <c r="K899" i="37"/>
  <c r="K38" i="37"/>
  <c r="K42" i="37"/>
  <c r="K43" i="37"/>
  <c r="K477" i="37"/>
  <c r="K795" i="37"/>
  <c r="K736" i="37"/>
  <c r="K516" i="37"/>
  <c r="K733" i="37"/>
  <c r="F456" i="37"/>
  <c r="K454" i="37" s="1"/>
  <c r="D460" i="37"/>
  <c r="F460" i="37" s="1"/>
  <c r="F739" i="37"/>
  <c r="F746" i="37" s="1"/>
  <c r="F748" i="37" s="1"/>
  <c r="K263" i="37"/>
  <c r="K500" i="37"/>
  <c r="K929" i="37"/>
  <c r="K410" i="37"/>
  <c r="K400" i="37"/>
  <c r="K644" i="37"/>
  <c r="K313" i="37"/>
  <c r="F762" i="37"/>
  <c r="K762" i="37" s="1"/>
  <c r="K158" i="37"/>
  <c r="K504" i="37"/>
  <c r="K916" i="37"/>
  <c r="K917" i="37"/>
  <c r="K130" i="37"/>
  <c r="K869" i="37"/>
  <c r="K845" i="37"/>
  <c r="K801" i="37"/>
  <c r="K825" i="37"/>
  <c r="K878" i="37"/>
  <c r="K381" i="37"/>
  <c r="K367" i="37"/>
  <c r="K170" i="37"/>
  <c r="K162" i="37"/>
  <c r="K142" i="37"/>
  <c r="K147" i="37"/>
  <c r="K369" i="37"/>
  <c r="K134" i="37"/>
  <c r="K125" i="37"/>
  <c r="K37" i="37"/>
  <c r="K449" i="37"/>
  <c r="K924" i="37"/>
  <c r="K46" i="37"/>
  <c r="K213" i="37"/>
  <c r="K237" i="37"/>
  <c r="K250" i="37"/>
  <c r="K304" i="37"/>
  <c r="K397" i="37"/>
  <c r="K541" i="37"/>
  <c r="K549" i="37"/>
  <c r="K114" i="37"/>
  <c r="K109" i="37"/>
  <c r="K93" i="37"/>
  <c r="K107" i="37"/>
  <c r="K342" i="37"/>
  <c r="K653" i="37"/>
  <c r="K657" i="37"/>
  <c r="K660" i="37"/>
  <c r="K680" i="37"/>
  <c r="K754" i="37"/>
  <c r="K769" i="37"/>
  <c r="K771" i="37"/>
  <c r="K773" i="37"/>
  <c r="K780" i="37"/>
  <c r="K5" i="37"/>
  <c r="K56" i="37"/>
  <c r="K447" i="37"/>
  <c r="K202" i="37"/>
  <c r="K283" i="37"/>
  <c r="K296" i="37"/>
  <c r="K419" i="37"/>
  <c r="K803" i="37"/>
  <c r="K115" i="37"/>
  <c r="K121" i="37"/>
  <c r="K123" i="37"/>
  <c r="K133" i="37"/>
  <c r="K135" i="37"/>
  <c r="K141" i="37"/>
  <c r="K143" i="37"/>
  <c r="K171" i="37"/>
  <c r="K179" i="37"/>
  <c r="K338" i="37"/>
  <c r="K343" i="37"/>
  <c r="K432" i="37"/>
  <c r="K434" i="37"/>
  <c r="K445" i="37"/>
  <c r="K652" i="37"/>
  <c r="K655" i="37"/>
  <c r="K668" i="37"/>
  <c r="K671" i="37"/>
  <c r="K685" i="37"/>
  <c r="K792" i="37"/>
  <c r="K818" i="37"/>
  <c r="K821" i="37"/>
  <c r="D73" i="37"/>
  <c r="F73" i="37" s="1"/>
  <c r="K70" i="37" s="1"/>
  <c r="K417" i="37"/>
  <c r="K116" i="37"/>
  <c r="K524" i="37"/>
  <c r="K616" i="37"/>
  <c r="K631" i="37"/>
  <c r="K212" i="37"/>
  <c r="K217" i="37"/>
  <c r="K220" i="37"/>
  <c r="K222" i="37"/>
  <c r="K226" i="37"/>
  <c r="K236" i="37"/>
  <c r="K238" i="37"/>
  <c r="K251" i="37"/>
  <c r="K269" i="37"/>
  <c r="K294" i="37"/>
  <c r="K497" i="37"/>
  <c r="K550" i="37"/>
  <c r="K585" i="37"/>
  <c r="K587" i="37"/>
  <c r="K591" i="37"/>
  <c r="K949" i="37"/>
  <c r="K955" i="37"/>
  <c r="K177" i="37"/>
  <c r="K198" i="37"/>
  <c r="K376" i="37"/>
  <c r="K256" i="37"/>
  <c r="K260" i="37"/>
  <c r="K303" i="37"/>
  <c r="K333" i="37"/>
  <c r="K507" i="37"/>
  <c r="K592" i="37"/>
  <c r="K640" i="37"/>
  <c r="K512" i="37"/>
  <c r="K793" i="37"/>
  <c r="K873" i="37"/>
  <c r="K880" i="37"/>
  <c r="K889" i="37"/>
  <c r="K319" i="37"/>
  <c r="K67" i="37"/>
  <c r="K65" i="37"/>
  <c r="K144" i="37"/>
  <c r="K223" i="37"/>
  <c r="K252" i="37"/>
  <c r="K311" i="37"/>
  <c r="K320" i="37"/>
  <c r="K335" i="37"/>
  <c r="K379" i="37"/>
  <c r="K418" i="37"/>
  <c r="F425" i="37"/>
  <c r="F443" i="37"/>
  <c r="K439" i="37" s="1"/>
  <c r="K461" i="37"/>
  <c r="K472" i="37"/>
  <c r="K474" i="37"/>
  <c r="K476" i="37"/>
  <c r="K593" i="37"/>
  <c r="K632" i="37"/>
  <c r="K701" i="37"/>
  <c r="K790" i="37"/>
  <c r="K815" i="37"/>
  <c r="K864" i="37"/>
  <c r="K412" i="37"/>
  <c r="K420" i="37"/>
  <c r="K136" i="37"/>
  <c r="K309" i="37"/>
  <c r="K81" i="37"/>
  <c r="K119" i="37"/>
  <c r="K139" i="37"/>
  <c r="K156" i="37"/>
  <c r="K167" i="37"/>
  <c r="K190" i="37"/>
  <c r="K193" i="37"/>
  <c r="K201" i="37"/>
  <c r="K230" i="37"/>
  <c r="K274" i="37"/>
  <c r="K277" i="37"/>
  <c r="K282" i="37"/>
  <c r="K284" i="37"/>
  <c r="K292" i="37"/>
  <c r="K297" i="37"/>
  <c r="K345" i="37"/>
  <c r="K350" i="37"/>
  <c r="K366" i="37"/>
  <c r="K448" i="37"/>
  <c r="K451" i="37"/>
  <c r="K453" i="37"/>
  <c r="K484" i="37"/>
  <c r="K523" i="37"/>
  <c r="K659" i="37"/>
  <c r="K661" i="37"/>
  <c r="K681" i="37"/>
  <c r="K683" i="37"/>
  <c r="K753" i="37"/>
  <c r="K755" i="37"/>
  <c r="K770" i="37"/>
  <c r="K772" i="37"/>
  <c r="K774" i="37"/>
  <c r="K781" i="37"/>
  <c r="K787" i="37"/>
  <c r="K789" i="37"/>
  <c r="K802" i="37"/>
  <c r="K807" i="37"/>
  <c r="K826" i="37"/>
  <c r="K842" i="37"/>
  <c r="K844" i="37"/>
  <c r="K876" i="37"/>
  <c r="K894" i="37"/>
  <c r="K910" i="37"/>
  <c r="K31" i="37"/>
  <c r="K27" i="37"/>
  <c r="K26" i="37"/>
  <c r="K24" i="37"/>
  <c r="K21" i="37"/>
  <c r="K10" i="37"/>
  <c r="K7" i="37"/>
  <c r="K6" i="37"/>
  <c r="K50" i="37"/>
  <c r="K398" i="37"/>
  <c r="K521" i="37"/>
  <c r="K51" i="37"/>
  <c r="K221" i="37"/>
  <c r="K268" i="37"/>
  <c r="K270" i="37"/>
  <c r="K358" i="37"/>
  <c r="K395" i="37"/>
  <c r="K429" i="37"/>
  <c r="F466" i="37"/>
  <c r="K466" i="37" s="1"/>
  <c r="K480" i="37"/>
  <c r="K503" i="37"/>
  <c r="K581" i="37"/>
  <c r="K589" i="37"/>
  <c r="K603" i="37"/>
  <c r="K684" i="37"/>
  <c r="K814" i="37"/>
  <c r="K446" i="37"/>
  <c r="K857" i="37"/>
  <c r="K925" i="37"/>
  <c r="K69" i="37"/>
  <c r="K129" i="37"/>
  <c r="K168" i="37"/>
  <c r="K173" i="37"/>
  <c r="K186" i="37"/>
  <c r="K192" i="37"/>
  <c r="K281" i="37"/>
  <c r="K291" i="37"/>
  <c r="K299" i="37"/>
  <c r="K332" i="37"/>
  <c r="K346" i="37"/>
  <c r="K349" i="37"/>
  <c r="K359" i="37"/>
  <c r="K363" i="37"/>
  <c r="K385" i="37"/>
  <c r="K387" i="37"/>
  <c r="K389" i="37"/>
  <c r="K391" i="37"/>
  <c r="K428" i="37"/>
  <c r="K430" i="37"/>
  <c r="K435" i="37"/>
  <c r="K452" i="37"/>
  <c r="K471" i="37"/>
  <c r="K475" i="37"/>
  <c r="K506" i="37"/>
  <c r="K525" i="37"/>
  <c r="K540" i="37"/>
  <c r="K544" i="37"/>
  <c r="K582" i="37"/>
  <c r="K586" i="37"/>
  <c r="K590" i="37"/>
  <c r="K662" i="37"/>
  <c r="K667" i="37"/>
  <c r="K686" i="37"/>
  <c r="K689" i="37"/>
  <c r="K817" i="37"/>
  <c r="K819" i="37"/>
  <c r="K822" i="37"/>
  <c r="K4" i="37"/>
  <c r="K78" i="37"/>
  <c r="K80" i="37"/>
  <c r="K113" i="37"/>
  <c r="K194" i="37"/>
  <c r="K229" i="37"/>
  <c r="K257" i="37"/>
  <c r="K275" i="37"/>
  <c r="K519" i="37"/>
  <c r="K545" i="37"/>
  <c r="F559" i="37"/>
  <c r="F560" i="37" s="1"/>
  <c r="F565" i="37" s="1"/>
  <c r="F568" i="37" s="1"/>
  <c r="F570" i="37" s="1"/>
  <c r="F575" i="37" s="1"/>
  <c r="F678" i="37"/>
  <c r="K678" i="37" s="1"/>
  <c r="K839" i="37"/>
  <c r="K928" i="37"/>
  <c r="K9" i="37"/>
  <c r="K22" i="37"/>
  <c r="K55" i="37"/>
  <c r="K239" i="37"/>
  <c r="K258" i="37"/>
  <c r="K261" i="37"/>
  <c r="K267" i="37"/>
  <c r="K302" i="37"/>
  <c r="K325" i="37"/>
  <c r="K336" i="37"/>
  <c r="K354" i="37"/>
  <c r="K392" i="37"/>
  <c r="K597" i="37"/>
  <c r="K840" i="37"/>
  <c r="K852" i="37"/>
  <c r="K25" i="37"/>
  <c r="K211" i="37"/>
  <c r="K278" i="37"/>
  <c r="K469" i="37"/>
  <c r="K923" i="37"/>
  <c r="K127" i="37"/>
  <c r="J169" i="37"/>
  <c r="K169" i="37" s="1"/>
  <c r="K189" i="37"/>
  <c r="K218" i="37"/>
  <c r="K259" i="37"/>
  <c r="K264" i="37"/>
  <c r="K436" i="37"/>
  <c r="K887" i="37"/>
  <c r="K360" i="37"/>
  <c r="K368" i="37"/>
  <c r="K370" i="37"/>
  <c r="K382" i="37"/>
  <c r="K547" i="37"/>
  <c r="K630" i="37"/>
  <c r="K691" i="37"/>
  <c r="K791" i="37"/>
  <c r="K813" i="37"/>
  <c r="K860" i="37"/>
  <c r="E487" i="37"/>
  <c r="K285" i="37"/>
  <c r="K326" i="37"/>
  <c r="K337" i="37"/>
  <c r="K355" i="37"/>
  <c r="K377" i="37"/>
  <c r="K386" i="37"/>
  <c r="K393" i="37"/>
  <c r="K473" i="37"/>
  <c r="K511" i="37"/>
  <c r="K621" i="37"/>
  <c r="K670" i="37"/>
  <c r="K841" i="37"/>
  <c r="K853" i="37"/>
  <c r="K881" i="37"/>
  <c r="K642" i="37"/>
  <c r="F553" i="35"/>
  <c r="F554" i="35"/>
  <c r="F552" i="35"/>
  <c r="D555" i="35"/>
  <c r="F555" i="35" s="1"/>
  <c r="F398" i="35"/>
  <c r="D608" i="35"/>
  <c r="F683" i="35"/>
  <c r="D686" i="35"/>
  <c r="F685" i="35"/>
  <c r="F684" i="35"/>
  <c r="F742" i="37" l="1"/>
  <c r="F757" i="35"/>
  <c r="F744" i="37" l="1"/>
  <c r="J50" i="35"/>
  <c r="J889" i="35"/>
  <c r="J881" i="35"/>
  <c r="K881" i="35" s="1"/>
  <c r="J71" i="35"/>
  <c r="J618" i="35"/>
  <c r="J601" i="35"/>
  <c r="K601" i="35" s="1"/>
  <c r="J378" i="35"/>
  <c r="F379" i="35"/>
  <c r="F378" i="35"/>
  <c r="K378" i="35" l="1"/>
  <c r="J769" i="35"/>
  <c r="F769" i="35"/>
  <c r="J299" i="35"/>
  <c r="J836" i="35"/>
  <c r="F836" i="35"/>
  <c r="J895" i="35"/>
  <c r="J832" i="35"/>
  <c r="J856" i="35"/>
  <c r="F856" i="35"/>
  <c r="J753" i="35"/>
  <c r="J894" i="35"/>
  <c r="F894" i="35"/>
  <c r="J871" i="35"/>
  <c r="F835" i="35"/>
  <c r="J835" i="35"/>
  <c r="K856" i="35" l="1"/>
  <c r="K769" i="35"/>
  <c r="K835" i="35"/>
  <c r="K894" i="35"/>
  <c r="K836" i="35"/>
  <c r="F62" i="35"/>
  <c r="F78" i="35" l="1"/>
  <c r="F79" i="35"/>
  <c r="F80" i="35"/>
  <c r="F81" i="35"/>
  <c r="F82" i="35"/>
  <c r="F674" i="35"/>
  <c r="F673" i="35"/>
  <c r="F672" i="35"/>
  <c r="F671" i="35"/>
  <c r="F595" i="36"/>
  <c r="F594" i="36"/>
  <c r="F643" i="30"/>
  <c r="J640" i="30"/>
  <c r="F686" i="35"/>
  <c r="D606" i="36"/>
  <c r="F606" i="36" s="1"/>
  <c r="F604" i="36"/>
  <c r="F603" i="36"/>
  <c r="F653" i="30"/>
  <c r="F652" i="30"/>
  <c r="F20" i="35" l="1"/>
  <c r="K20" i="35" s="1"/>
  <c r="F34" i="36"/>
  <c r="F33" i="36"/>
  <c r="F32" i="36"/>
  <c r="F30" i="36"/>
  <c r="F723" i="35"/>
  <c r="F724" i="35"/>
  <c r="F725" i="35"/>
  <c r="F726" i="35"/>
  <c r="F727" i="35"/>
  <c r="J479" i="35"/>
  <c r="K479" i="35" s="1"/>
  <c r="D473" i="35"/>
  <c r="D474" i="35" s="1"/>
  <c r="D475" i="35" s="1"/>
  <c r="D476" i="35" s="1"/>
  <c r="D477" i="35" s="1"/>
  <c r="D478" i="35" s="1"/>
  <c r="E478" i="35" s="1"/>
  <c r="J485" i="35"/>
  <c r="F489" i="35"/>
  <c r="J489" i="35"/>
  <c r="F492" i="35"/>
  <c r="J492" i="35"/>
  <c r="F493" i="35"/>
  <c r="F494" i="35"/>
  <c r="J494" i="35"/>
  <c r="D431" i="36"/>
  <c r="D432" i="36" s="1"/>
  <c r="D433" i="36" s="1"/>
  <c r="D434" i="36" s="1"/>
  <c r="K492" i="35" l="1"/>
  <c r="K494" i="35"/>
  <c r="K489" i="35"/>
  <c r="D482" i="35"/>
  <c r="E482" i="35" s="1"/>
  <c r="F730" i="35"/>
  <c r="D699" i="35"/>
  <c r="F698" i="35"/>
  <c r="J689" i="35"/>
  <c r="F689" i="35"/>
  <c r="F807" i="35" l="1"/>
  <c r="F753" i="35"/>
  <c r="K753" i="35" s="1"/>
  <c r="F749" i="35"/>
  <c r="F748" i="35"/>
  <c r="F881" i="35"/>
  <c r="F851" i="35"/>
  <c r="F850" i="35"/>
  <c r="F754" i="36"/>
  <c r="F890" i="35" l="1"/>
  <c r="F891" i="35"/>
  <c r="F889" i="35"/>
  <c r="K889" i="35" s="1"/>
  <c r="F425" i="3"/>
  <c r="J521" i="35"/>
  <c r="F521" i="35"/>
  <c r="F888" i="35"/>
  <c r="F762" i="36"/>
  <c r="F697" i="35"/>
  <c r="F162" i="35"/>
  <c r="F121" i="35"/>
  <c r="F122" i="35"/>
  <c r="F120" i="35"/>
  <c r="F119" i="35"/>
  <c r="F118" i="35"/>
  <c r="F117" i="35"/>
  <c r="K521" i="35" l="1"/>
  <c r="F188" i="35"/>
  <c r="F187" i="35"/>
  <c r="F390" i="35" l="1"/>
  <c r="F357" i="36"/>
  <c r="J389" i="35"/>
  <c r="F389" i="35"/>
  <c r="F646" i="35"/>
  <c r="K389" i="35" l="1"/>
  <c r="F83" i="35"/>
  <c r="F84" i="35"/>
  <c r="F832" i="35" l="1"/>
  <c r="K832" i="35" s="1"/>
  <c r="F831" i="35"/>
  <c r="F736" i="36"/>
  <c r="F735" i="36"/>
  <c r="J453" i="35" l="1"/>
  <c r="F272" i="35"/>
  <c r="J271" i="35"/>
  <c r="F591" i="36"/>
  <c r="F637" i="30"/>
  <c r="F668" i="35"/>
  <c r="D264" i="35" l="1"/>
  <c r="F264" i="35" s="1"/>
  <c r="F263" i="35"/>
  <c r="J210" i="36" l="1"/>
  <c r="J227" i="30"/>
  <c r="F271" i="35" l="1"/>
  <c r="K271" i="35" s="1"/>
  <c r="F504" i="35" l="1"/>
  <c r="F729" i="35"/>
  <c r="F611" i="35"/>
  <c r="J641" i="35" l="1"/>
  <c r="J510" i="35"/>
  <c r="F440" i="36"/>
  <c r="F471" i="35"/>
  <c r="F659" i="35"/>
  <c r="D660" i="35"/>
  <c r="J760" i="36"/>
  <c r="J566" i="36"/>
  <c r="J761" i="36"/>
  <c r="K761" i="36" s="1"/>
  <c r="F855" i="35"/>
  <c r="J647" i="35"/>
  <c r="K647" i="35" s="1"/>
  <c r="J255" i="36"/>
  <c r="J887" i="35" l="1"/>
  <c r="F887" i="35"/>
  <c r="K887" i="35" s="1"/>
  <c r="J681" i="35"/>
  <c r="F699" i="35"/>
  <c r="F696" i="35"/>
  <c r="J438" i="35"/>
  <c r="J463" i="35"/>
  <c r="F464" i="35"/>
  <c r="J841" i="35"/>
  <c r="F841" i="35"/>
  <c r="F886" i="35"/>
  <c r="J885" i="35"/>
  <c r="K841" i="35" l="1"/>
  <c r="F320" i="35"/>
  <c r="B48" i="8" l="1"/>
  <c r="B37" i="8"/>
  <c r="B29" i="8"/>
  <c r="B30" i="8" s="1"/>
  <c r="B31" i="8" s="1"/>
  <c r="B38" i="8" s="1"/>
  <c r="B39" i="8" l="1"/>
  <c r="B40" i="8" s="1"/>
  <c r="B49" i="8" s="1"/>
  <c r="J171" i="35"/>
  <c r="J169" i="35"/>
  <c r="J870" i="35"/>
  <c r="J4" i="35"/>
  <c r="K4" i="35" s="1"/>
  <c r="J583" i="35"/>
  <c r="J94" i="35"/>
  <c r="B50" i="8" l="1"/>
  <c r="B51" i="8" s="1"/>
  <c r="F502" i="35"/>
  <c r="F251" i="35"/>
  <c r="G879" i="35" l="1"/>
  <c r="J878" i="35"/>
  <c r="F808" i="35"/>
  <c r="J593" i="35"/>
  <c r="F593" i="35"/>
  <c r="J27" i="35"/>
  <c r="K593" i="35" l="1"/>
  <c r="E878" i="35"/>
  <c r="J827" i="35"/>
  <c r="F827" i="35"/>
  <c r="F516" i="35"/>
  <c r="J799" i="35"/>
  <c r="J435" i="35"/>
  <c r="J37" i="35"/>
  <c r="D445" i="35"/>
  <c r="F445" i="35" s="1"/>
  <c r="F444" i="35"/>
  <c r="K827" i="35" l="1"/>
  <c r="F621" i="35"/>
  <c r="F876" i="35"/>
  <c r="F877" i="35"/>
  <c r="F760" i="35"/>
  <c r="F761" i="35"/>
  <c r="F642" i="35" l="1"/>
  <c r="J638" i="35"/>
  <c r="K638" i="35" s="1"/>
  <c r="J514" i="35"/>
  <c r="F167" i="35"/>
  <c r="J873" i="35"/>
  <c r="J134" i="35"/>
  <c r="J874" i="35"/>
  <c r="F874" i="35"/>
  <c r="J18" i="35"/>
  <c r="F18" i="35"/>
  <c r="F695" i="35"/>
  <c r="K18" i="35" l="1"/>
  <c r="F27" i="35"/>
  <c r="F731" i="30" l="1"/>
  <c r="F701" i="36"/>
  <c r="J797" i="35"/>
  <c r="F797" i="35"/>
  <c r="J209" i="35"/>
  <c r="K209" i="35" s="1"/>
  <c r="J8" i="35"/>
  <c r="J151" i="35"/>
  <c r="J335" i="35"/>
  <c r="J190" i="35" l="1"/>
  <c r="F873" i="35" l="1"/>
  <c r="K873" i="35" s="1"/>
  <c r="F872" i="35"/>
  <c r="F394" i="35" l="1"/>
  <c r="J411" i="35"/>
  <c r="J777" i="35"/>
  <c r="F801" i="35"/>
  <c r="D802" i="35"/>
  <c r="J370" i="35"/>
  <c r="J137" i="35"/>
  <c r="J363" i="35"/>
  <c r="J869" i="35"/>
  <c r="F869" i="35"/>
  <c r="J868" i="35"/>
  <c r="F868" i="35"/>
  <c r="J867" i="35"/>
  <c r="F867" i="35"/>
  <c r="J302" i="35"/>
  <c r="J623" i="35"/>
  <c r="K867" i="35" l="1"/>
  <c r="K869" i="35"/>
  <c r="K868" i="35"/>
  <c r="F866" i="35"/>
  <c r="J520" i="35"/>
  <c r="F520" i="35"/>
  <c r="F322" i="35"/>
  <c r="J612" i="35"/>
  <c r="F615" i="35"/>
  <c r="J333" i="35"/>
  <c r="F531" i="35"/>
  <c r="J219" i="35"/>
  <c r="J768" i="35"/>
  <c r="F768" i="35"/>
  <c r="J135" i="35"/>
  <c r="F135" i="35"/>
  <c r="J547" i="35"/>
  <c r="F547" i="35"/>
  <c r="F864" i="35"/>
  <c r="F852" i="35"/>
  <c r="J862" i="35"/>
  <c r="J91" i="35"/>
  <c r="F785" i="35"/>
  <c r="J716" i="35"/>
  <c r="K135" i="35" l="1"/>
  <c r="K520" i="35"/>
  <c r="K768" i="35"/>
  <c r="F353" i="36"/>
  <c r="K353" i="36" s="1"/>
  <c r="F387" i="35"/>
  <c r="J446" i="35"/>
  <c r="J60" i="35"/>
  <c r="J771" i="35"/>
  <c r="J755" i="36"/>
  <c r="J752" i="36"/>
  <c r="F752" i="36"/>
  <c r="J751" i="36"/>
  <c r="J750" i="36"/>
  <c r="J749" i="36"/>
  <c r="F748" i="36"/>
  <c r="F744" i="36"/>
  <c r="F743" i="36"/>
  <c r="F741" i="36"/>
  <c r="F740" i="36"/>
  <c r="J739" i="36"/>
  <c r="J738" i="36"/>
  <c r="J737" i="36"/>
  <c r="F737" i="36"/>
  <c r="J734" i="36"/>
  <c r="J732" i="36"/>
  <c r="K732" i="36" s="1"/>
  <c r="E731" i="36"/>
  <c r="J729" i="36"/>
  <c r="F728" i="36"/>
  <c r="J727" i="36"/>
  <c r="F727" i="36"/>
  <c r="J725" i="36"/>
  <c r="J724" i="36"/>
  <c r="F724" i="36"/>
  <c r="J723" i="36"/>
  <c r="F723" i="36"/>
  <c r="D722" i="36"/>
  <c r="J721" i="36"/>
  <c r="F721" i="36"/>
  <c r="J720" i="36"/>
  <c r="J719" i="36"/>
  <c r="F718" i="36"/>
  <c r="F717" i="36"/>
  <c r="J716" i="36"/>
  <c r="K716" i="36" s="1"/>
  <c r="F715" i="36"/>
  <c r="F714" i="36"/>
  <c r="J713" i="36"/>
  <c r="K713" i="36" s="1"/>
  <c r="J712" i="36"/>
  <c r="F712" i="36"/>
  <c r="J710" i="36"/>
  <c r="F710" i="36"/>
  <c r="F709" i="36"/>
  <c r="J708" i="36"/>
  <c r="F708" i="36"/>
  <c r="J707" i="36"/>
  <c r="F707" i="36"/>
  <c r="J706" i="36"/>
  <c r="F706" i="36"/>
  <c r="J704" i="36"/>
  <c r="F704" i="36"/>
  <c r="J703" i="36"/>
  <c r="K703" i="36" s="1"/>
  <c r="J702" i="36"/>
  <c r="K702" i="36" s="1"/>
  <c r="E702" i="36"/>
  <c r="J700" i="36"/>
  <c r="F700" i="36"/>
  <c r="F699" i="36"/>
  <c r="J698" i="36"/>
  <c r="F698" i="36"/>
  <c r="J697" i="36"/>
  <c r="F697" i="36"/>
  <c r="J696" i="36"/>
  <c r="F696" i="36"/>
  <c r="J695" i="36"/>
  <c r="F695" i="36"/>
  <c r="F694" i="36"/>
  <c r="J693" i="36"/>
  <c r="F693" i="36"/>
  <c r="J692" i="36"/>
  <c r="F692" i="36"/>
  <c r="J691" i="36"/>
  <c r="F691" i="36"/>
  <c r="J690" i="36"/>
  <c r="J689" i="36"/>
  <c r="K689" i="36" s="1"/>
  <c r="J688" i="36"/>
  <c r="F688" i="36"/>
  <c r="J687" i="36"/>
  <c r="F687" i="36"/>
  <c r="J686" i="36"/>
  <c r="F685" i="36"/>
  <c r="J684" i="36"/>
  <c r="F684" i="36"/>
  <c r="J683" i="36"/>
  <c r="F683" i="36"/>
  <c r="J682" i="36"/>
  <c r="F682" i="36"/>
  <c r="F681" i="36"/>
  <c r="J680" i="36"/>
  <c r="K680" i="36" s="1"/>
  <c r="J679" i="36"/>
  <c r="F679" i="36"/>
  <c r="F678" i="36"/>
  <c r="J677" i="36"/>
  <c r="F677" i="36"/>
  <c r="J675" i="36"/>
  <c r="F673" i="36"/>
  <c r="J672" i="36"/>
  <c r="F672" i="36"/>
  <c r="J670" i="36"/>
  <c r="F670" i="36"/>
  <c r="J669" i="36"/>
  <c r="F669" i="36"/>
  <c r="D668" i="36"/>
  <c r="F668" i="36" s="1"/>
  <c r="G668" i="36" s="1"/>
  <c r="J668" i="36" s="1"/>
  <c r="J667" i="36"/>
  <c r="F667" i="36"/>
  <c r="J662" i="36"/>
  <c r="K662" i="36" s="1"/>
  <c r="J661" i="36"/>
  <c r="J660" i="36"/>
  <c r="J659" i="36"/>
  <c r="K659" i="36" s="1"/>
  <c r="J658" i="36"/>
  <c r="K658" i="36" s="1"/>
  <c r="J657" i="36"/>
  <c r="K657" i="36" s="1"/>
  <c r="J656" i="36"/>
  <c r="K656" i="36" s="1"/>
  <c r="J655" i="36"/>
  <c r="F655" i="36"/>
  <c r="J654" i="36"/>
  <c r="F654" i="36"/>
  <c r="J653" i="36"/>
  <c r="F653" i="36"/>
  <c r="J652" i="36"/>
  <c r="K652" i="36" s="1"/>
  <c r="J650" i="36"/>
  <c r="F650" i="36"/>
  <c r="F649" i="36"/>
  <c r="J645" i="36"/>
  <c r="F645" i="36"/>
  <c r="J644" i="36"/>
  <c r="K644" i="36" s="1"/>
  <c r="F644" i="36"/>
  <c r="J643" i="36"/>
  <c r="F643" i="36"/>
  <c r="J642" i="36"/>
  <c r="F642" i="36"/>
  <c r="J639" i="36"/>
  <c r="F639" i="36"/>
  <c r="J638" i="36"/>
  <c r="F638" i="36"/>
  <c r="J637" i="36"/>
  <c r="F637" i="36"/>
  <c r="J636" i="36"/>
  <c r="F636" i="36"/>
  <c r="J635" i="36"/>
  <c r="F635" i="36"/>
  <c r="J634" i="36"/>
  <c r="F634" i="36"/>
  <c r="J633" i="36"/>
  <c r="J632" i="36"/>
  <c r="F632" i="36"/>
  <c r="J631" i="36"/>
  <c r="F631" i="36"/>
  <c r="J630" i="36"/>
  <c r="F630" i="36"/>
  <c r="J629" i="36"/>
  <c r="F629" i="36"/>
  <c r="F628" i="36"/>
  <c r="F627" i="36"/>
  <c r="J626" i="36"/>
  <c r="F626" i="36"/>
  <c r="F624" i="36"/>
  <c r="D622" i="36"/>
  <c r="D625" i="36" s="1"/>
  <c r="F621" i="36"/>
  <c r="F620" i="36"/>
  <c r="F619" i="36"/>
  <c r="F618" i="36"/>
  <c r="J617" i="36"/>
  <c r="F617" i="36"/>
  <c r="J616" i="36"/>
  <c r="K616" i="36" s="1"/>
  <c r="F615" i="36"/>
  <c r="J611" i="36"/>
  <c r="J610" i="36"/>
  <c r="J609" i="36"/>
  <c r="F609" i="36"/>
  <c r="K610" i="36" s="1"/>
  <c r="F602" i="36"/>
  <c r="K602" i="36" s="1"/>
  <c r="J601" i="36"/>
  <c r="F601" i="36"/>
  <c r="G601" i="36" s="1"/>
  <c r="J600" i="36"/>
  <c r="F600" i="36"/>
  <c r="J598" i="36"/>
  <c r="F598" i="36"/>
  <c r="F597" i="36"/>
  <c r="J596" i="36"/>
  <c r="F596" i="36"/>
  <c r="J594" i="36"/>
  <c r="K594" i="36" s="1"/>
  <c r="J593" i="36"/>
  <c r="K593" i="36" s="1"/>
  <c r="J592" i="36"/>
  <c r="F592" i="36"/>
  <c r="J591" i="36"/>
  <c r="K591" i="36" s="1"/>
  <c r="J590" i="36"/>
  <c r="J589" i="36"/>
  <c r="F589" i="36"/>
  <c r="J588" i="36"/>
  <c r="F588" i="36"/>
  <c r="J587" i="36"/>
  <c r="F587" i="36"/>
  <c r="K587" i="36" s="1"/>
  <c r="J586" i="36"/>
  <c r="F586" i="36"/>
  <c r="J585" i="36"/>
  <c r="F585" i="36"/>
  <c r="J583" i="36"/>
  <c r="D583" i="36"/>
  <c r="F582" i="36"/>
  <c r="F581" i="36"/>
  <c r="F580" i="36"/>
  <c r="F579" i="36"/>
  <c r="F578" i="36"/>
  <c r="J577" i="36"/>
  <c r="F577" i="36"/>
  <c r="J572" i="36"/>
  <c r="K572" i="36" s="1"/>
  <c r="E572" i="36"/>
  <c r="J571" i="36"/>
  <c r="F571" i="36"/>
  <c r="J569" i="36"/>
  <c r="F569" i="36"/>
  <c r="J568" i="36"/>
  <c r="F568" i="36"/>
  <c r="F566" i="36"/>
  <c r="K566" i="36" s="1"/>
  <c r="J565" i="36"/>
  <c r="F565" i="36"/>
  <c r="J564" i="36"/>
  <c r="F564" i="36"/>
  <c r="J563" i="36"/>
  <c r="F563" i="36"/>
  <c r="J562" i="36"/>
  <c r="F562" i="36"/>
  <c r="J561" i="36"/>
  <c r="F561" i="36"/>
  <c r="J559" i="36"/>
  <c r="F559" i="36"/>
  <c r="J558" i="36"/>
  <c r="J557" i="36"/>
  <c r="F557" i="36"/>
  <c r="J555" i="36"/>
  <c r="F555" i="36"/>
  <c r="J554" i="36"/>
  <c r="K554" i="36" s="1"/>
  <c r="J553" i="36"/>
  <c r="F553" i="36"/>
  <c r="J552" i="36"/>
  <c r="F552" i="36"/>
  <c r="J551" i="36"/>
  <c r="F551" i="36"/>
  <c r="J550" i="36"/>
  <c r="K550" i="36" s="1"/>
  <c r="J549" i="36"/>
  <c r="F549" i="36"/>
  <c r="J548" i="36"/>
  <c r="J547" i="36"/>
  <c r="J546" i="36"/>
  <c r="F546" i="36"/>
  <c r="J545" i="36"/>
  <c r="F545" i="36"/>
  <c r="F544" i="36"/>
  <c r="F543" i="36"/>
  <c r="F542" i="36"/>
  <c r="F541" i="36"/>
  <c r="J539" i="36"/>
  <c r="F539" i="36"/>
  <c r="J538" i="36"/>
  <c r="F538" i="36"/>
  <c r="J537" i="36"/>
  <c r="K537" i="36" s="1"/>
  <c r="J536" i="36"/>
  <c r="F536" i="36"/>
  <c r="J535" i="36"/>
  <c r="K535" i="36" s="1"/>
  <c r="J534" i="36"/>
  <c r="K534" i="36" s="1"/>
  <c r="J533" i="36"/>
  <c r="K533" i="36" s="1"/>
  <c r="D530" i="36"/>
  <c r="J520" i="36"/>
  <c r="K520" i="36" s="1"/>
  <c r="F519" i="36"/>
  <c r="J518" i="36"/>
  <c r="F518" i="36"/>
  <c r="J516" i="36"/>
  <c r="K516" i="36" s="1"/>
  <c r="J515" i="36"/>
  <c r="K515" i="36" s="1"/>
  <c r="F513" i="36"/>
  <c r="J512" i="36"/>
  <c r="F512" i="36"/>
  <c r="J511" i="36"/>
  <c r="F511" i="36"/>
  <c r="J510" i="36"/>
  <c r="F510" i="36"/>
  <c r="J509" i="36"/>
  <c r="F509" i="36"/>
  <c r="J508" i="36"/>
  <c r="F508" i="36"/>
  <c r="J507" i="36"/>
  <c r="F507" i="36"/>
  <c r="J506" i="36"/>
  <c r="K506" i="36" s="1"/>
  <c r="J502" i="36"/>
  <c r="F502" i="36"/>
  <c r="J501" i="36"/>
  <c r="F501" i="36"/>
  <c r="J500" i="36"/>
  <c r="F500" i="36"/>
  <c r="J499" i="36"/>
  <c r="F499" i="36"/>
  <c r="J498" i="36"/>
  <c r="K498" i="36" s="1"/>
  <c r="F498" i="36"/>
  <c r="J497" i="36"/>
  <c r="K497" i="36" s="1"/>
  <c r="J496" i="36"/>
  <c r="F496" i="36"/>
  <c r="J495" i="36"/>
  <c r="F495" i="36"/>
  <c r="J494" i="36"/>
  <c r="F494" i="36"/>
  <c r="J491" i="36"/>
  <c r="F491" i="36"/>
  <c r="F490" i="36"/>
  <c r="J489" i="36"/>
  <c r="F487" i="36"/>
  <c r="F486" i="36"/>
  <c r="F484" i="36"/>
  <c r="F483" i="36"/>
  <c r="F482" i="36"/>
  <c r="F481" i="36"/>
  <c r="D479" i="36"/>
  <c r="D480" i="36" s="1"/>
  <c r="D485" i="36" s="1"/>
  <c r="D488" i="36" s="1"/>
  <c r="F478" i="36"/>
  <c r="F477" i="36"/>
  <c r="F476" i="36"/>
  <c r="F475" i="36"/>
  <c r="F474" i="36"/>
  <c r="J473" i="36"/>
  <c r="K473" i="36" s="1"/>
  <c r="F473" i="36"/>
  <c r="J472" i="36"/>
  <c r="F472" i="36"/>
  <c r="J471" i="36"/>
  <c r="F471" i="36"/>
  <c r="F470" i="36"/>
  <c r="J469" i="36"/>
  <c r="F469" i="36"/>
  <c r="J468" i="36"/>
  <c r="F468" i="36"/>
  <c r="J467" i="36"/>
  <c r="F467" i="36"/>
  <c r="J466" i="36"/>
  <c r="K466" i="36" s="1"/>
  <c r="E466" i="36"/>
  <c r="F465" i="36"/>
  <c r="K465" i="36" s="1"/>
  <c r="F464" i="36"/>
  <c r="J463" i="36"/>
  <c r="F463" i="36"/>
  <c r="F462" i="36"/>
  <c r="K462" i="36" s="1"/>
  <c r="J460" i="36"/>
  <c r="K460" i="36" s="1"/>
  <c r="F459" i="36"/>
  <c r="J458" i="36"/>
  <c r="F458" i="36"/>
  <c r="J457" i="36"/>
  <c r="F457" i="36"/>
  <c r="J456" i="36"/>
  <c r="F456" i="36"/>
  <c r="J455" i="36"/>
  <c r="F455" i="36"/>
  <c r="F454" i="36"/>
  <c r="J453" i="36"/>
  <c r="J452" i="36"/>
  <c r="F452" i="36"/>
  <c r="J451" i="36"/>
  <c r="F451" i="36"/>
  <c r="J450" i="36"/>
  <c r="K450" i="36" s="1"/>
  <c r="F450" i="36"/>
  <c r="J449" i="36"/>
  <c r="F449" i="36"/>
  <c r="J448" i="36"/>
  <c r="F448" i="36"/>
  <c r="J447" i="36"/>
  <c r="K447" i="36" s="1"/>
  <c r="J446" i="36"/>
  <c r="F446" i="36"/>
  <c r="J445" i="36"/>
  <c r="F445" i="36"/>
  <c r="F444" i="36"/>
  <c r="J443" i="36"/>
  <c r="F443" i="36"/>
  <c r="F442" i="36"/>
  <c r="J441" i="36"/>
  <c r="F441" i="36"/>
  <c r="J439" i="36"/>
  <c r="F439" i="36"/>
  <c r="J435" i="36"/>
  <c r="K435" i="36" s="1"/>
  <c r="J428" i="36"/>
  <c r="F428" i="36"/>
  <c r="J427" i="36"/>
  <c r="F427" i="36"/>
  <c r="J426" i="36"/>
  <c r="K426" i="36" s="1"/>
  <c r="J425" i="36"/>
  <c r="K425" i="36" s="1"/>
  <c r="J424" i="36"/>
  <c r="F424" i="36"/>
  <c r="F423" i="36"/>
  <c r="J422" i="36"/>
  <c r="F422" i="36"/>
  <c r="J421" i="36"/>
  <c r="F421" i="36"/>
  <c r="J420" i="36"/>
  <c r="F420" i="36"/>
  <c r="J419" i="36"/>
  <c r="F419" i="36"/>
  <c r="J418" i="36"/>
  <c r="F418" i="36"/>
  <c r="J417" i="36"/>
  <c r="F417" i="36"/>
  <c r="F416" i="36"/>
  <c r="J415" i="36"/>
  <c r="F415" i="36"/>
  <c r="J414" i="36"/>
  <c r="K414" i="36" s="1"/>
  <c r="J413" i="36"/>
  <c r="F413" i="36"/>
  <c r="J412" i="36"/>
  <c r="F411" i="36"/>
  <c r="F410" i="36"/>
  <c r="F409" i="36"/>
  <c r="F408" i="36"/>
  <c r="F407" i="36"/>
  <c r="J405" i="36"/>
  <c r="D405" i="36"/>
  <c r="F405" i="36" s="1"/>
  <c r="J404" i="36"/>
  <c r="F404" i="36"/>
  <c r="J403" i="36"/>
  <c r="F403" i="36"/>
  <c r="J402" i="36"/>
  <c r="F402" i="36"/>
  <c r="J401" i="36"/>
  <c r="K401" i="36" s="1"/>
  <c r="F400" i="36"/>
  <c r="J399" i="36"/>
  <c r="J397" i="36"/>
  <c r="K397" i="36" s="1"/>
  <c r="F397" i="36"/>
  <c r="J396" i="36"/>
  <c r="F396" i="36"/>
  <c r="J394" i="36"/>
  <c r="K394" i="36" s="1"/>
  <c r="J393" i="36"/>
  <c r="F393" i="36"/>
  <c r="F392" i="36"/>
  <c r="F391" i="36"/>
  <c r="J390" i="36"/>
  <c r="F390" i="36"/>
  <c r="J388" i="36"/>
  <c r="D388" i="36"/>
  <c r="F386" i="36"/>
  <c r="F385" i="36"/>
  <c r="F384" i="36"/>
  <c r="F383" i="36"/>
  <c r="J382" i="36"/>
  <c r="F382" i="36"/>
  <c r="J381" i="36"/>
  <c r="F381" i="36"/>
  <c r="J380" i="36"/>
  <c r="F380" i="36"/>
  <c r="J379" i="36"/>
  <c r="F379" i="36"/>
  <c r="J378" i="36"/>
  <c r="F378" i="36"/>
  <c r="J376" i="36"/>
  <c r="F376" i="36"/>
  <c r="J375" i="36"/>
  <c r="F375" i="36"/>
  <c r="J373" i="36"/>
  <c r="F373" i="36"/>
  <c r="J372" i="36"/>
  <c r="K372" i="36" s="1"/>
  <c r="E372" i="36"/>
  <c r="J371" i="36"/>
  <c r="K371" i="36" s="1"/>
  <c r="J370" i="36"/>
  <c r="J369" i="36"/>
  <c r="F369" i="36"/>
  <c r="J368" i="36"/>
  <c r="F368" i="36"/>
  <c r="J367" i="36"/>
  <c r="F367" i="36"/>
  <c r="F366" i="36"/>
  <c r="J365" i="36"/>
  <c r="F365" i="36"/>
  <c r="J364" i="36"/>
  <c r="F364" i="36"/>
  <c r="J363" i="36"/>
  <c r="F363" i="36"/>
  <c r="J362" i="36"/>
  <c r="F362" i="36"/>
  <c r="J361" i="36"/>
  <c r="F361" i="36"/>
  <c r="F360" i="36"/>
  <c r="J359" i="36"/>
  <c r="F359" i="36"/>
  <c r="J358" i="36"/>
  <c r="F358" i="36"/>
  <c r="J356" i="36"/>
  <c r="F356" i="36"/>
  <c r="F352" i="36"/>
  <c r="J351" i="36"/>
  <c r="F351" i="36"/>
  <c r="J350" i="36"/>
  <c r="K350" i="36" s="1"/>
  <c r="J349" i="36"/>
  <c r="F349" i="36"/>
  <c r="J348" i="36"/>
  <c r="F348" i="36"/>
  <c r="J347" i="36"/>
  <c r="F347" i="36"/>
  <c r="J346" i="36"/>
  <c r="F346" i="36"/>
  <c r="F345" i="36"/>
  <c r="J344" i="36"/>
  <c r="F344" i="36"/>
  <c r="J343" i="36"/>
  <c r="F343" i="36"/>
  <c r="J342" i="36"/>
  <c r="F342" i="36"/>
  <c r="J341" i="36"/>
  <c r="F341" i="36"/>
  <c r="F340" i="36"/>
  <c r="F339" i="36"/>
  <c r="F338" i="36"/>
  <c r="F337" i="36"/>
  <c r="F336" i="36"/>
  <c r="J335" i="36"/>
  <c r="F335" i="36"/>
  <c r="J334" i="36"/>
  <c r="F334" i="36"/>
  <c r="J332" i="36"/>
  <c r="F332" i="36"/>
  <c r="J331" i="36"/>
  <c r="K331" i="36" s="1"/>
  <c r="E331" i="36"/>
  <c r="F330" i="36"/>
  <c r="J329" i="36"/>
  <c r="F329" i="36"/>
  <c r="K329" i="36" s="1"/>
  <c r="F328" i="36"/>
  <c r="J327" i="36"/>
  <c r="F327" i="36"/>
  <c r="F326" i="36"/>
  <c r="F325" i="36"/>
  <c r="J324" i="36"/>
  <c r="F324" i="36"/>
  <c r="J323" i="36"/>
  <c r="F323" i="36"/>
  <c r="J322" i="36"/>
  <c r="F322" i="36"/>
  <c r="J321" i="36"/>
  <c r="F321" i="36"/>
  <c r="J320" i="36"/>
  <c r="F320" i="36"/>
  <c r="J319" i="36"/>
  <c r="F319" i="36"/>
  <c r="J318" i="36"/>
  <c r="J317" i="36"/>
  <c r="F317" i="36"/>
  <c r="J316" i="36"/>
  <c r="F316" i="36"/>
  <c r="J313" i="36"/>
  <c r="F313" i="36"/>
  <c r="K313" i="36" s="1"/>
  <c r="J312" i="36"/>
  <c r="F312" i="36"/>
  <c r="J311" i="36"/>
  <c r="F311" i="36"/>
  <c r="K311" i="36" s="1"/>
  <c r="F310" i="36"/>
  <c r="K310" i="36" s="1"/>
  <c r="J309" i="36"/>
  <c r="J308" i="36"/>
  <c r="F308" i="36"/>
  <c r="J307" i="36"/>
  <c r="F307" i="36"/>
  <c r="J306" i="36"/>
  <c r="F306" i="36"/>
  <c r="J305" i="36"/>
  <c r="F305" i="36"/>
  <c r="J304" i="36"/>
  <c r="K304" i="36" s="1"/>
  <c r="J303" i="36"/>
  <c r="F303" i="36"/>
  <c r="J302" i="36"/>
  <c r="F302" i="36"/>
  <c r="J301" i="36"/>
  <c r="F301" i="36"/>
  <c r="J300" i="36"/>
  <c r="F300" i="36"/>
  <c r="J299" i="36"/>
  <c r="F299" i="36"/>
  <c r="F298" i="36"/>
  <c r="J297" i="36"/>
  <c r="F297" i="36"/>
  <c r="J296" i="36"/>
  <c r="F296" i="36"/>
  <c r="J295" i="36"/>
  <c r="F295" i="36"/>
  <c r="J294" i="36"/>
  <c r="F294" i="36"/>
  <c r="J293" i="36"/>
  <c r="F293" i="36"/>
  <c r="J292" i="36"/>
  <c r="K292" i="36" s="1"/>
  <c r="J291" i="36"/>
  <c r="F291" i="36"/>
  <c r="J290" i="36"/>
  <c r="F290" i="36"/>
  <c r="J289" i="36"/>
  <c r="K289" i="36" s="1"/>
  <c r="J288" i="36"/>
  <c r="F288" i="36"/>
  <c r="J287" i="36"/>
  <c r="F287" i="36"/>
  <c r="F286" i="36"/>
  <c r="J285" i="36"/>
  <c r="F285" i="36"/>
  <c r="J284" i="36"/>
  <c r="F284" i="36"/>
  <c r="J283" i="36"/>
  <c r="F283" i="36"/>
  <c r="J282" i="36"/>
  <c r="F282" i="36"/>
  <c r="J276" i="36"/>
  <c r="K276" i="36" s="1"/>
  <c r="F276" i="36"/>
  <c r="J274" i="36"/>
  <c r="K274" i="36" s="1"/>
  <c r="J273" i="36"/>
  <c r="F273" i="36"/>
  <c r="F272" i="36"/>
  <c r="J271" i="36"/>
  <c r="F271" i="36"/>
  <c r="J270" i="36"/>
  <c r="F270" i="36"/>
  <c r="J269" i="36"/>
  <c r="F269" i="36"/>
  <c r="F268" i="36"/>
  <c r="K268" i="36" s="1"/>
  <c r="J267" i="36"/>
  <c r="F267" i="36"/>
  <c r="J266" i="36"/>
  <c r="F266" i="36"/>
  <c r="J265" i="36"/>
  <c r="F265" i="36"/>
  <c r="J264" i="36"/>
  <c r="F264" i="36"/>
  <c r="J262" i="36"/>
  <c r="F262" i="36"/>
  <c r="J261" i="36"/>
  <c r="F261" i="36"/>
  <c r="K261" i="36" s="1"/>
  <c r="J260" i="36"/>
  <c r="K260" i="36" s="1"/>
  <c r="J259" i="36"/>
  <c r="F259" i="36"/>
  <c r="J258" i="36"/>
  <c r="K258" i="36" s="1"/>
  <c r="J257" i="36"/>
  <c r="F257" i="36"/>
  <c r="J256" i="36"/>
  <c r="F256" i="36"/>
  <c r="K256" i="36" s="1"/>
  <c r="J254" i="36"/>
  <c r="F254" i="36"/>
  <c r="K255" i="36" s="1"/>
  <c r="F249" i="36"/>
  <c r="J248" i="36"/>
  <c r="F248" i="36"/>
  <c r="J247" i="36"/>
  <c r="F247" i="36"/>
  <c r="J246" i="36"/>
  <c r="F246" i="36"/>
  <c r="J245" i="36"/>
  <c r="F245" i="36"/>
  <c r="J244" i="36"/>
  <c r="F244" i="36"/>
  <c r="J243" i="36"/>
  <c r="F243" i="36"/>
  <c r="J242" i="36"/>
  <c r="F242" i="36"/>
  <c r="J241" i="36"/>
  <c r="F241" i="36"/>
  <c r="J240" i="36"/>
  <c r="F240" i="36"/>
  <c r="J239" i="36"/>
  <c r="F239" i="36"/>
  <c r="J238" i="36"/>
  <c r="F238" i="36"/>
  <c r="J237" i="36"/>
  <c r="F237" i="36"/>
  <c r="J236" i="36"/>
  <c r="F236" i="36"/>
  <c r="J235" i="36"/>
  <c r="F235" i="36"/>
  <c r="J234" i="36"/>
  <c r="F234" i="36"/>
  <c r="J232" i="36"/>
  <c r="F232" i="36"/>
  <c r="J231" i="36"/>
  <c r="F231" i="36"/>
  <c r="J230" i="36"/>
  <c r="F230" i="36"/>
  <c r="K230" i="36" s="1"/>
  <c r="F229" i="36"/>
  <c r="K229" i="36" s="1"/>
  <c r="J228" i="36"/>
  <c r="F228" i="36"/>
  <c r="J227" i="36"/>
  <c r="F227" i="36"/>
  <c r="J225" i="36"/>
  <c r="K225" i="36" s="1"/>
  <c r="J224" i="36"/>
  <c r="F224" i="36"/>
  <c r="J223" i="36"/>
  <c r="F223" i="36"/>
  <c r="J222" i="36"/>
  <c r="F222" i="36"/>
  <c r="J221" i="36"/>
  <c r="F221" i="36"/>
  <c r="J220" i="36"/>
  <c r="F220" i="36"/>
  <c r="J219" i="36"/>
  <c r="F219" i="36"/>
  <c r="F218" i="36"/>
  <c r="K218" i="36" s="1"/>
  <c r="J217" i="36"/>
  <c r="F217" i="36"/>
  <c r="J216" i="36"/>
  <c r="F216" i="36"/>
  <c r="J215" i="36"/>
  <c r="F215" i="36"/>
  <c r="F210" i="36"/>
  <c r="J209" i="36"/>
  <c r="J208" i="36"/>
  <c r="F208" i="36"/>
  <c r="J207" i="36"/>
  <c r="F207" i="36"/>
  <c r="J206" i="36"/>
  <c r="F206" i="36"/>
  <c r="J205" i="36"/>
  <c r="F205" i="36"/>
  <c r="F204" i="36"/>
  <c r="F203" i="36"/>
  <c r="J201" i="36"/>
  <c r="F201" i="36"/>
  <c r="F200" i="36"/>
  <c r="J199" i="36"/>
  <c r="F199" i="36"/>
  <c r="J198" i="36"/>
  <c r="F198" i="36"/>
  <c r="J196" i="36"/>
  <c r="J195" i="36"/>
  <c r="F195" i="36"/>
  <c r="J193" i="36"/>
  <c r="F193" i="36"/>
  <c r="J192" i="36"/>
  <c r="F192" i="36"/>
  <c r="J191" i="36"/>
  <c r="F191" i="36"/>
  <c r="J190" i="36"/>
  <c r="J189" i="36"/>
  <c r="F189" i="36"/>
  <c r="J187" i="36"/>
  <c r="F187" i="36"/>
  <c r="J186" i="36"/>
  <c r="F186" i="36"/>
  <c r="J185" i="36"/>
  <c r="F185" i="36"/>
  <c r="J184" i="36"/>
  <c r="F184" i="36"/>
  <c r="J182" i="36"/>
  <c r="F182" i="36"/>
  <c r="J181" i="36"/>
  <c r="F181" i="36"/>
  <c r="J180" i="36"/>
  <c r="K180" i="36" s="1"/>
  <c r="J179" i="36"/>
  <c r="F179" i="36"/>
  <c r="J176" i="36"/>
  <c r="F175" i="36"/>
  <c r="F174" i="36"/>
  <c r="J173" i="36"/>
  <c r="F173" i="36"/>
  <c r="J172" i="36"/>
  <c r="F172" i="36"/>
  <c r="J170" i="36"/>
  <c r="K170" i="36" s="1"/>
  <c r="F169" i="36"/>
  <c r="J168" i="36"/>
  <c r="J167" i="36"/>
  <c r="F167" i="36"/>
  <c r="J166" i="36"/>
  <c r="K166" i="36" s="1"/>
  <c r="J165" i="36"/>
  <c r="F165" i="36"/>
  <c r="J164" i="36"/>
  <c r="F164" i="36"/>
  <c r="J163" i="36"/>
  <c r="F163" i="36"/>
  <c r="J162" i="36"/>
  <c r="F162" i="36"/>
  <c r="J161" i="36"/>
  <c r="F161" i="36"/>
  <c r="J160" i="36"/>
  <c r="K160" i="36" s="1"/>
  <c r="J159" i="36"/>
  <c r="F159" i="36"/>
  <c r="J158" i="36"/>
  <c r="F158" i="36"/>
  <c r="J157" i="36"/>
  <c r="K157" i="36" s="1"/>
  <c r="J156" i="36"/>
  <c r="J155" i="36"/>
  <c r="F155" i="36"/>
  <c r="J154" i="36"/>
  <c r="F154" i="36"/>
  <c r="J153" i="36"/>
  <c r="K153" i="36" s="1"/>
  <c r="F151" i="36"/>
  <c r="J150" i="36"/>
  <c r="K150" i="36" s="1"/>
  <c r="J149" i="36"/>
  <c r="F149" i="36"/>
  <c r="J148" i="36"/>
  <c r="F148" i="36"/>
  <c r="F147" i="36"/>
  <c r="K147" i="36" s="1"/>
  <c r="F146" i="36"/>
  <c r="J146" i="36" s="1"/>
  <c r="J145" i="36"/>
  <c r="F145" i="36"/>
  <c r="J144" i="36"/>
  <c r="F144" i="36"/>
  <c r="F140" i="36"/>
  <c r="J139" i="36"/>
  <c r="E139" i="36"/>
  <c r="J138" i="36"/>
  <c r="K138" i="36" s="1"/>
  <c r="E138" i="36"/>
  <c r="F137" i="36"/>
  <c r="J136" i="36"/>
  <c r="F136" i="36"/>
  <c r="J134" i="36"/>
  <c r="F134" i="36"/>
  <c r="F133" i="36"/>
  <c r="J132" i="36"/>
  <c r="J131" i="36"/>
  <c r="K131" i="36" s="1"/>
  <c r="J130" i="36"/>
  <c r="K130" i="36" s="1"/>
  <c r="E130" i="36"/>
  <c r="J129" i="36"/>
  <c r="F129" i="36"/>
  <c r="J127" i="36"/>
  <c r="K127" i="36" s="1"/>
  <c r="E127" i="36"/>
  <c r="J126" i="36"/>
  <c r="F126" i="36"/>
  <c r="J125" i="36"/>
  <c r="F125" i="36"/>
  <c r="J124" i="36"/>
  <c r="F124" i="36"/>
  <c r="J123" i="36"/>
  <c r="F123" i="36"/>
  <c r="J122" i="36"/>
  <c r="K122" i="36" s="1"/>
  <c r="J121" i="36"/>
  <c r="F121" i="36"/>
  <c r="J120" i="36"/>
  <c r="F120" i="36"/>
  <c r="F119" i="36"/>
  <c r="J118" i="36"/>
  <c r="F118" i="36"/>
  <c r="J117" i="36"/>
  <c r="F117" i="36"/>
  <c r="F116" i="36"/>
  <c r="F115" i="36"/>
  <c r="F114" i="36"/>
  <c r="J113" i="36"/>
  <c r="F113" i="36"/>
  <c r="J112" i="36"/>
  <c r="F112" i="36"/>
  <c r="J110" i="36"/>
  <c r="F110" i="36"/>
  <c r="F109" i="36"/>
  <c r="J108" i="36"/>
  <c r="F108" i="36"/>
  <c r="J107" i="36"/>
  <c r="F107" i="36"/>
  <c r="J106" i="36"/>
  <c r="J105" i="36"/>
  <c r="K105" i="36" s="1"/>
  <c r="E105" i="36"/>
  <c r="J104" i="36"/>
  <c r="F104" i="36"/>
  <c r="E103" i="36"/>
  <c r="J102" i="36"/>
  <c r="K102" i="36" s="1"/>
  <c r="E102" i="36"/>
  <c r="J101" i="36"/>
  <c r="F101" i="36"/>
  <c r="F100" i="36"/>
  <c r="J99" i="36"/>
  <c r="F99" i="36"/>
  <c r="J98" i="36"/>
  <c r="F98" i="36"/>
  <c r="J97" i="36"/>
  <c r="F97" i="36"/>
  <c r="J96" i="36"/>
  <c r="F96" i="36"/>
  <c r="F95" i="36"/>
  <c r="F94" i="36"/>
  <c r="J93" i="36"/>
  <c r="F93" i="36"/>
  <c r="J92" i="36"/>
  <c r="K92" i="36" s="1"/>
  <c r="F90" i="36"/>
  <c r="F88" i="36"/>
  <c r="F87" i="36"/>
  <c r="F86" i="36"/>
  <c r="F85" i="36"/>
  <c r="D84" i="36"/>
  <c r="D89" i="36" s="1"/>
  <c r="F89" i="36" s="1"/>
  <c r="F81" i="36"/>
  <c r="K79" i="36" s="1"/>
  <c r="D80" i="36"/>
  <c r="J77" i="36"/>
  <c r="K77" i="36" s="1"/>
  <c r="J76" i="36"/>
  <c r="F76" i="36"/>
  <c r="F75" i="36"/>
  <c r="J74" i="36"/>
  <c r="F74" i="36"/>
  <c r="J73" i="36"/>
  <c r="K73" i="36" s="1"/>
  <c r="E73" i="36"/>
  <c r="J72" i="36"/>
  <c r="F71" i="36"/>
  <c r="J70" i="36"/>
  <c r="J69" i="36"/>
  <c r="J68" i="36"/>
  <c r="F68" i="36"/>
  <c r="J67" i="36"/>
  <c r="F67" i="36"/>
  <c r="J66" i="36"/>
  <c r="F66" i="36"/>
  <c r="F61" i="36"/>
  <c r="D59" i="36"/>
  <c r="D60" i="36" s="1"/>
  <c r="F60" i="36" s="1"/>
  <c r="F58" i="36"/>
  <c r="J56" i="36"/>
  <c r="F56" i="36"/>
  <c r="J55" i="36"/>
  <c r="F55" i="36"/>
  <c r="F54" i="36"/>
  <c r="J53" i="36"/>
  <c r="F53" i="36"/>
  <c r="K52" i="36"/>
  <c r="J51" i="36"/>
  <c r="F51" i="36"/>
  <c r="K50" i="36"/>
  <c r="K49" i="36"/>
  <c r="J48" i="36"/>
  <c r="F48" i="36"/>
  <c r="F47" i="36"/>
  <c r="J46" i="36"/>
  <c r="F46" i="36"/>
  <c r="J45" i="36"/>
  <c r="F45" i="36"/>
  <c r="J44" i="36"/>
  <c r="K44" i="36" s="1"/>
  <c r="F43" i="36"/>
  <c r="F42" i="36"/>
  <c r="J41" i="36"/>
  <c r="F41" i="36"/>
  <c r="J40" i="36"/>
  <c r="F40" i="36"/>
  <c r="J39" i="36"/>
  <c r="F39" i="36"/>
  <c r="J37" i="36"/>
  <c r="F37" i="36"/>
  <c r="J36" i="36"/>
  <c r="J35" i="36"/>
  <c r="F35" i="36"/>
  <c r="F29" i="36"/>
  <c r="J28" i="36"/>
  <c r="F28" i="36"/>
  <c r="K27" i="36"/>
  <c r="J27" i="36"/>
  <c r="J26" i="36"/>
  <c r="F26" i="36"/>
  <c r="J25" i="36"/>
  <c r="F25" i="36"/>
  <c r="K25" i="36" s="1"/>
  <c r="J24" i="36"/>
  <c r="F24" i="36"/>
  <c r="J22" i="36"/>
  <c r="K22" i="36" s="1"/>
  <c r="E22" i="36"/>
  <c r="J21" i="36"/>
  <c r="F21" i="36"/>
  <c r="J20" i="36"/>
  <c r="F20" i="36"/>
  <c r="J19" i="36"/>
  <c r="F19" i="36"/>
  <c r="J18" i="36"/>
  <c r="F18" i="36"/>
  <c r="J17" i="36"/>
  <c r="F17" i="36"/>
  <c r="F16" i="36"/>
  <c r="F15" i="36"/>
  <c r="J14" i="36"/>
  <c r="K14" i="36" s="1"/>
  <c r="E14" i="36"/>
  <c r="F13" i="36"/>
  <c r="J12" i="36"/>
  <c r="F12" i="36"/>
  <c r="J11" i="36"/>
  <c r="F11" i="36"/>
  <c r="J10" i="36"/>
  <c r="F10" i="36"/>
  <c r="J9" i="36"/>
  <c r="F9" i="36"/>
  <c r="J8" i="36"/>
  <c r="F8" i="36"/>
  <c r="J7" i="36"/>
  <c r="F7" i="36"/>
  <c r="J6" i="36"/>
  <c r="K6" i="36" s="1"/>
  <c r="J5" i="36"/>
  <c r="F5" i="36"/>
  <c r="J4" i="36"/>
  <c r="K4" i="36" s="1"/>
  <c r="J3" i="36"/>
  <c r="F3" i="36"/>
  <c r="J2" i="36"/>
  <c r="F2" i="36"/>
  <c r="J624" i="36" l="1"/>
  <c r="J625" i="36"/>
  <c r="K215" i="36"/>
  <c r="K367" i="36"/>
  <c r="K375" i="36"/>
  <c r="K217" i="36"/>
  <c r="K227" i="36"/>
  <c r="K262" i="36"/>
  <c r="K265" i="36"/>
  <c r="K287" i="36"/>
  <c r="K305" i="36"/>
  <c r="K655" i="36"/>
  <c r="K247" i="36"/>
  <c r="K307" i="36"/>
  <c r="K161" i="36"/>
  <c r="K45" i="36"/>
  <c r="K104" i="36"/>
  <c r="K120" i="36"/>
  <c r="K163" i="36"/>
  <c r="K209" i="36"/>
  <c r="K19" i="36"/>
  <c r="K21" i="36"/>
  <c r="K24" i="36"/>
  <c r="K28" i="36"/>
  <c r="K66" i="36"/>
  <c r="K113" i="36"/>
  <c r="K121" i="36"/>
  <c r="K134" i="36"/>
  <c r="K181" i="36"/>
  <c r="K704" i="36"/>
  <c r="K707" i="36"/>
  <c r="K695" i="36"/>
  <c r="K380" i="36"/>
  <c r="K697" i="36"/>
  <c r="K283" i="36"/>
  <c r="K737" i="36"/>
  <c r="K299" i="36"/>
  <c r="K364" i="36"/>
  <c r="K417" i="36"/>
  <c r="K419" i="36"/>
  <c r="K421" i="36"/>
  <c r="K538" i="36"/>
  <c r="K626" i="36"/>
  <c r="K723" i="36"/>
  <c r="K752" i="36"/>
  <c r="K428" i="36"/>
  <c r="K231" i="36"/>
  <c r="K327" i="36"/>
  <c r="K363" i="36"/>
  <c r="K393" i="36"/>
  <c r="K405" i="36"/>
  <c r="K471" i="36"/>
  <c r="K577" i="36"/>
  <c r="K598" i="36"/>
  <c r="K9" i="36"/>
  <c r="K11" i="36"/>
  <c r="K37" i="36"/>
  <c r="K40" i="36"/>
  <c r="K98" i="36"/>
  <c r="K206" i="36"/>
  <c r="K219" i="36"/>
  <c r="K221" i="36"/>
  <c r="K301" i="36"/>
  <c r="K341" i="36"/>
  <c r="K358" i="36"/>
  <c r="K369" i="36"/>
  <c r="K463" i="36"/>
  <c r="K499" i="36"/>
  <c r="K562" i="36"/>
  <c r="K564" i="36"/>
  <c r="K636" i="36"/>
  <c r="K684" i="36"/>
  <c r="K558" i="36"/>
  <c r="K158" i="36"/>
  <c r="K167" i="36"/>
  <c r="K179" i="36"/>
  <c r="K308" i="36"/>
  <c r="K342" i="36"/>
  <c r="K552" i="36"/>
  <c r="K561" i="36"/>
  <c r="K585" i="36"/>
  <c r="K592" i="36"/>
  <c r="K637" i="36"/>
  <c r="K643" i="36"/>
  <c r="K654" i="36"/>
  <c r="K670" i="36"/>
  <c r="K129" i="36"/>
  <c r="K185" i="36"/>
  <c r="K187" i="36"/>
  <c r="K420" i="36"/>
  <c r="K7" i="36"/>
  <c r="K8" i="36"/>
  <c r="K112" i="36"/>
  <c r="K223" i="36"/>
  <c r="K346" i="36"/>
  <c r="K362" i="36"/>
  <c r="K67" i="36"/>
  <c r="K248" i="36"/>
  <c r="K453" i="36"/>
  <c r="K467" i="36"/>
  <c r="K390" i="36"/>
  <c r="K631" i="36"/>
  <c r="K496" i="36"/>
  <c r="K5" i="36"/>
  <c r="K35" i="36"/>
  <c r="K110" i="36"/>
  <c r="K144" i="36"/>
  <c r="K228" i="36"/>
  <c r="K232" i="36"/>
  <c r="K235" i="36"/>
  <c r="K239" i="36"/>
  <c r="K254" i="36"/>
  <c r="K321" i="36"/>
  <c r="K332" i="36"/>
  <c r="K335" i="36"/>
  <c r="K396" i="36"/>
  <c r="K427" i="36"/>
  <c r="K452" i="36"/>
  <c r="K455" i="36"/>
  <c r="K494" i="36"/>
  <c r="K545" i="36"/>
  <c r="K634" i="36"/>
  <c r="K688" i="36"/>
  <c r="K691" i="36"/>
  <c r="K46" i="36"/>
  <c r="K155" i="36"/>
  <c r="K193" i="36"/>
  <c r="K518" i="36"/>
  <c r="K2" i="36"/>
  <c r="K18" i="36"/>
  <c r="K39" i="36"/>
  <c r="K68" i="36"/>
  <c r="K101" i="36"/>
  <c r="K118" i="36"/>
  <c r="K124" i="36"/>
  <c r="K126" i="36"/>
  <c r="K154" i="36"/>
  <c r="K195" i="36"/>
  <c r="K201" i="36"/>
  <c r="K207" i="36"/>
  <c r="K240" i="36"/>
  <c r="K244" i="36"/>
  <c r="K246" i="36"/>
  <c r="K269" i="36"/>
  <c r="K271" i="36"/>
  <c r="K284" i="36"/>
  <c r="K291" i="36"/>
  <c r="K293" i="36"/>
  <c r="K295" i="36"/>
  <c r="K347" i="36"/>
  <c r="K379" i="36"/>
  <c r="F388" i="36"/>
  <c r="K384" i="36" s="1"/>
  <c r="K391" i="36"/>
  <c r="K439" i="36"/>
  <c r="K451" i="36"/>
  <c r="K456" i="36"/>
  <c r="K500" i="36"/>
  <c r="K502" i="36"/>
  <c r="K507" i="36"/>
  <c r="K509" i="36"/>
  <c r="K568" i="36"/>
  <c r="K571" i="36"/>
  <c r="K600" i="36"/>
  <c r="K15" i="36"/>
  <c r="K164" i="36"/>
  <c r="K708" i="36"/>
  <c r="K108" i="36"/>
  <c r="K159" i="36"/>
  <c r="K165" i="36"/>
  <c r="K182" i="36"/>
  <c r="K224" i="36"/>
  <c r="K316" i="36"/>
  <c r="K322" i="36"/>
  <c r="K344" i="36"/>
  <c r="K373" i="36"/>
  <c r="K445" i="36"/>
  <c r="G544" i="36"/>
  <c r="K555" i="36"/>
  <c r="K589" i="36"/>
  <c r="K596" i="36"/>
  <c r="K682" i="36"/>
  <c r="K710" i="36"/>
  <c r="K41" i="36"/>
  <c r="K48" i="36"/>
  <c r="K51" i="36"/>
  <c r="K56" i="36"/>
  <c r="K93" i="36"/>
  <c r="K97" i="36"/>
  <c r="K123" i="36"/>
  <c r="K125" i="36"/>
  <c r="K136" i="36"/>
  <c r="K162" i="36"/>
  <c r="K184" i="36"/>
  <c r="K186" i="36"/>
  <c r="K189" i="36"/>
  <c r="K198" i="36"/>
  <c r="K236" i="36"/>
  <c r="K238" i="36"/>
  <c r="K241" i="36"/>
  <c r="K243" i="36"/>
  <c r="K266" i="36"/>
  <c r="K296" i="36"/>
  <c r="K302" i="36"/>
  <c r="K319" i="36"/>
  <c r="K334" i="36"/>
  <c r="K376" i="36"/>
  <c r="K404" i="36"/>
  <c r="K457" i="36"/>
  <c r="K459" i="36"/>
  <c r="K469" i="36"/>
  <c r="K510" i="36"/>
  <c r="K547" i="36"/>
  <c r="K549" i="36"/>
  <c r="K553" i="36"/>
  <c r="K559" i="36"/>
  <c r="K565" i="36"/>
  <c r="K586" i="36"/>
  <c r="K588" i="36"/>
  <c r="K630" i="36"/>
  <c r="K642" i="36"/>
  <c r="K667" i="36"/>
  <c r="K677" i="36"/>
  <c r="K692" i="36"/>
  <c r="K698" i="36"/>
  <c r="K700" i="36"/>
  <c r="F59" i="36"/>
  <c r="K69" i="36"/>
  <c r="K139" i="36"/>
  <c r="K145" i="36"/>
  <c r="K149" i="36"/>
  <c r="K173" i="36"/>
  <c r="K191" i="36"/>
  <c r="K208" i="36"/>
  <c r="K285" i="36"/>
  <c r="K356" i="36"/>
  <c r="K365" i="36"/>
  <c r="K382" i="36"/>
  <c r="F479" i="36"/>
  <c r="F480" i="36" s="1"/>
  <c r="F485" i="36" s="1"/>
  <c r="K489" i="36" s="1"/>
  <c r="K512" i="36"/>
  <c r="K539" i="36"/>
  <c r="K557" i="36"/>
  <c r="F583" i="36"/>
  <c r="K583" i="36" s="1"/>
  <c r="F622" i="36"/>
  <c r="F625" i="36" s="1"/>
  <c r="K639" i="36"/>
  <c r="K3" i="36"/>
  <c r="K10" i="36"/>
  <c r="K55" i="36"/>
  <c r="F84" i="36"/>
  <c r="K96" i="36"/>
  <c r="K99" i="36"/>
  <c r="K237" i="36"/>
  <c r="K245" i="36"/>
  <c r="K259" i="36"/>
  <c r="K270" i="36"/>
  <c r="K290" i="36"/>
  <c r="K297" i="36"/>
  <c r="K306" i="36"/>
  <c r="K317" i="36"/>
  <c r="F412" i="36"/>
  <c r="K412" i="36" s="1"/>
  <c r="K422" i="36"/>
  <c r="K441" i="36"/>
  <c r="K443" i="36"/>
  <c r="K464" i="36"/>
  <c r="K491" i="36"/>
  <c r="K536" i="36"/>
  <c r="K546" i="36"/>
  <c r="K633" i="36"/>
  <c r="K653" i="36"/>
  <c r="K712" i="36"/>
  <c r="K17" i="36"/>
  <c r="K20" i="36"/>
  <c r="K29" i="36"/>
  <c r="K53" i="36"/>
  <c r="K74" i="36"/>
  <c r="K107" i="36"/>
  <c r="K117" i="36"/>
  <c r="K146" i="36"/>
  <c r="K148" i="36"/>
  <c r="K172" i="36"/>
  <c r="K192" i="36"/>
  <c r="K199" i="36"/>
  <c r="K267" i="36"/>
  <c r="K303" i="36"/>
  <c r="K348" i="36"/>
  <c r="K361" i="36"/>
  <c r="K381" i="36"/>
  <c r="K402" i="36"/>
  <c r="K413" i="36"/>
  <c r="K415" i="36"/>
  <c r="K446" i="36"/>
  <c r="K448" i="36"/>
  <c r="K468" i="36"/>
  <c r="K472" i="36"/>
  <c r="K501" i="36"/>
  <c r="K511" i="36"/>
  <c r="K569" i="36"/>
  <c r="K638" i="36"/>
  <c r="K669" i="36"/>
  <c r="K351" i="36"/>
  <c r="K359" i="36"/>
  <c r="K205" i="36"/>
  <c r="K282" i="36"/>
  <c r="K349" i="36"/>
  <c r="K403" i="36"/>
  <c r="K418" i="36"/>
  <c r="K627" i="36"/>
  <c r="K216" i="36"/>
  <c r="K222" i="36"/>
  <c r="K234" i="36"/>
  <c r="K242" i="36"/>
  <c r="K257" i="36"/>
  <c r="K288" i="36"/>
  <c r="K294" i="36"/>
  <c r="K312" i="36"/>
  <c r="K378" i="36"/>
  <c r="K424" i="36"/>
  <c r="K449" i="36"/>
  <c r="K508" i="36"/>
  <c r="G543" i="36"/>
  <c r="K629" i="36"/>
  <c r="K650" i="36"/>
  <c r="K727" i="36"/>
  <c r="K264" i="36"/>
  <c r="K273" i="36"/>
  <c r="K300" i="36"/>
  <c r="K320" i="36"/>
  <c r="K343" i="36"/>
  <c r="K352" i="36"/>
  <c r="K458" i="36"/>
  <c r="K551" i="36"/>
  <c r="K563" i="36"/>
  <c r="K635" i="36"/>
  <c r="K645" i="36"/>
  <c r="K679" i="36"/>
  <c r="K696" i="36"/>
  <c r="K706" i="36"/>
  <c r="K724" i="36"/>
  <c r="D406" i="36"/>
  <c r="F406" i="36" s="1"/>
  <c r="K617" i="36" l="1"/>
  <c r="K625" i="36" s="1"/>
  <c r="K623" i="36"/>
  <c r="F488" i="36"/>
  <c r="F861" i="35"/>
  <c r="E556" i="35"/>
  <c r="F557" i="35"/>
  <c r="F338" i="35"/>
  <c r="J212" i="35"/>
  <c r="J564" i="35"/>
  <c r="J774" i="35"/>
  <c r="J179" i="35"/>
  <c r="J860" i="35"/>
  <c r="J818" i="35"/>
  <c r="J781" i="35"/>
  <c r="F859" i="35"/>
  <c r="J580" i="35"/>
  <c r="F694" i="35"/>
  <c r="F693" i="35"/>
  <c r="F137" i="35"/>
  <c r="F138" i="35"/>
  <c r="F139" i="35"/>
  <c r="F140" i="35"/>
  <c r="F141" i="35"/>
  <c r="F420" i="35" l="1"/>
  <c r="J506" i="30"/>
  <c r="F107" i="35"/>
  <c r="F438" i="35" l="1"/>
  <c r="K438" i="35" s="1"/>
  <c r="F363" i="35"/>
  <c r="K363" i="35" s="1"/>
  <c r="F198" i="35" l="1"/>
  <c r="F114" i="35"/>
  <c r="F98" i="35"/>
  <c r="D61" i="35"/>
  <c r="F60" i="35"/>
  <c r="J853" i="35"/>
  <c r="F848" i="35"/>
  <c r="J847" i="35"/>
  <c r="J846" i="35"/>
  <c r="J845" i="35"/>
  <c r="F844" i="35"/>
  <c r="F840" i="35"/>
  <c r="F839" i="35"/>
  <c r="F837" i="35"/>
  <c r="J834" i="35"/>
  <c r="J833" i="35"/>
  <c r="F833" i="35"/>
  <c r="J831" i="35"/>
  <c r="K831" i="35" s="1"/>
  <c r="F829" i="35"/>
  <c r="J828" i="35"/>
  <c r="F828" i="35"/>
  <c r="J826" i="35"/>
  <c r="J825" i="35"/>
  <c r="F825" i="35"/>
  <c r="J824" i="35"/>
  <c r="F824" i="35"/>
  <c r="D823" i="35"/>
  <c r="J822" i="35"/>
  <c r="F822" i="35"/>
  <c r="J821" i="35"/>
  <c r="J820" i="35"/>
  <c r="F819" i="35"/>
  <c r="F818" i="35"/>
  <c r="K818" i="35" s="1"/>
  <c r="J817" i="35"/>
  <c r="K817" i="35" s="1"/>
  <c r="F816" i="35"/>
  <c r="F815" i="35"/>
  <c r="J814" i="35"/>
  <c r="K814" i="35" s="1"/>
  <c r="J813" i="35"/>
  <c r="F813" i="35"/>
  <c r="J811" i="35"/>
  <c r="F811" i="35"/>
  <c r="F810" i="35"/>
  <c r="J809" i="35"/>
  <c r="F809" i="35"/>
  <c r="J806" i="35"/>
  <c r="F806" i="35"/>
  <c r="J805" i="35"/>
  <c r="F805" i="35"/>
  <c r="J803" i="35"/>
  <c r="F803" i="35"/>
  <c r="K799" i="35"/>
  <c r="J798" i="35"/>
  <c r="K798" i="35" s="1"/>
  <c r="E798" i="35"/>
  <c r="K797" i="35"/>
  <c r="J796" i="35"/>
  <c r="F796" i="35"/>
  <c r="F795" i="35"/>
  <c r="J794" i="35"/>
  <c r="F794" i="35"/>
  <c r="J793" i="35"/>
  <c r="F793" i="35"/>
  <c r="J792" i="35"/>
  <c r="F792" i="35"/>
  <c r="J791" i="35"/>
  <c r="F791" i="35"/>
  <c r="F790" i="35"/>
  <c r="J789" i="35"/>
  <c r="F789" i="35"/>
  <c r="J788" i="35"/>
  <c r="F788" i="35"/>
  <c r="J787" i="35"/>
  <c r="F787" i="35"/>
  <c r="J786" i="35"/>
  <c r="J785" i="35"/>
  <c r="K785" i="35" s="1"/>
  <c r="J784" i="35"/>
  <c r="F784" i="35"/>
  <c r="J783" i="35"/>
  <c r="F783" i="35"/>
  <c r="J782" i="35"/>
  <c r="F781" i="35"/>
  <c r="K781" i="35" s="1"/>
  <c r="J780" i="35"/>
  <c r="F780" i="35"/>
  <c r="J779" i="35"/>
  <c r="F779" i="35"/>
  <c r="J778" i="35"/>
  <c r="F778" i="35"/>
  <c r="F777" i="35"/>
  <c r="K777" i="35" s="1"/>
  <c r="J776" i="35"/>
  <c r="K776" i="35" s="1"/>
  <c r="J775" i="35"/>
  <c r="F775" i="35"/>
  <c r="F774" i="35"/>
  <c r="K774" i="35" s="1"/>
  <c r="J773" i="35"/>
  <c r="F773" i="35"/>
  <c r="F770" i="35"/>
  <c r="J766" i="35"/>
  <c r="F766" i="35"/>
  <c r="J764" i="35"/>
  <c r="F764" i="35"/>
  <c r="J763" i="35"/>
  <c r="F763" i="35"/>
  <c r="D762" i="35"/>
  <c r="F762" i="35" s="1"/>
  <c r="J762" i="35" s="1"/>
  <c r="J759" i="35"/>
  <c r="F759" i="35"/>
  <c r="J758" i="35"/>
  <c r="K758" i="35" s="1"/>
  <c r="J757" i="35"/>
  <c r="K757" i="35" s="1"/>
  <c r="J756" i="35"/>
  <c r="F756" i="35"/>
  <c r="J755" i="35"/>
  <c r="F755" i="35"/>
  <c r="J754" i="35"/>
  <c r="F754" i="35"/>
  <c r="J752" i="35"/>
  <c r="K752" i="35" s="1"/>
  <c r="J750" i="35"/>
  <c r="F750" i="35"/>
  <c r="F747" i="35"/>
  <c r="F743" i="35"/>
  <c r="J742" i="35"/>
  <c r="K742" i="35" s="1"/>
  <c r="F742" i="35"/>
  <c r="J741" i="35"/>
  <c r="F741" i="35"/>
  <c r="J740" i="35"/>
  <c r="F740" i="35"/>
  <c r="J737" i="35"/>
  <c r="F737" i="35"/>
  <c r="J736" i="35"/>
  <c r="F736" i="35"/>
  <c r="J735" i="35"/>
  <c r="F735" i="35"/>
  <c r="J734" i="35"/>
  <c r="F734" i="35"/>
  <c r="J733" i="35"/>
  <c r="F733" i="35"/>
  <c r="J732" i="35"/>
  <c r="F732" i="35"/>
  <c r="F722" i="35"/>
  <c r="J721" i="35"/>
  <c r="F721" i="35"/>
  <c r="J720" i="35"/>
  <c r="F720" i="35"/>
  <c r="J719" i="35"/>
  <c r="F719" i="35"/>
  <c r="F716" i="35"/>
  <c r="K716" i="35" s="1"/>
  <c r="F707" i="35"/>
  <c r="F706" i="35"/>
  <c r="F705" i="35"/>
  <c r="F704" i="35"/>
  <c r="F703" i="35"/>
  <c r="F702" i="35"/>
  <c r="J701" i="35"/>
  <c r="K701" i="35" s="1"/>
  <c r="J690" i="35"/>
  <c r="F690" i="35"/>
  <c r="F682" i="35"/>
  <c r="K682" i="35" s="1"/>
  <c r="F681" i="35"/>
  <c r="K681" i="35" s="1"/>
  <c r="J680" i="35"/>
  <c r="F680" i="35"/>
  <c r="J678" i="35"/>
  <c r="F678" i="35"/>
  <c r="F677" i="35"/>
  <c r="J676" i="35"/>
  <c r="F676" i="35"/>
  <c r="J671" i="35"/>
  <c r="J670" i="35"/>
  <c r="K670" i="35" s="1"/>
  <c r="J669" i="35"/>
  <c r="F669" i="35"/>
  <c r="J668" i="35"/>
  <c r="K668" i="35" s="1"/>
  <c r="J667" i="35"/>
  <c r="J666" i="35"/>
  <c r="F666" i="35"/>
  <c r="J665" i="35"/>
  <c r="F665" i="35"/>
  <c r="J664" i="35"/>
  <c r="F664" i="35"/>
  <c r="K664" i="35" s="1"/>
  <c r="J663" i="35"/>
  <c r="F663" i="35"/>
  <c r="J662" i="35"/>
  <c r="F662" i="35"/>
  <c r="F658" i="35"/>
  <c r="F657" i="35"/>
  <c r="F656" i="35"/>
  <c r="F655" i="35"/>
  <c r="F654" i="35"/>
  <c r="J653" i="35"/>
  <c r="F653" i="35"/>
  <c r="J652" i="35"/>
  <c r="F652" i="35"/>
  <c r="J650" i="35"/>
  <c r="F650" i="35"/>
  <c r="J649" i="35"/>
  <c r="F649" i="35"/>
  <c r="F647" i="35"/>
  <c r="F643" i="35"/>
  <c r="J637" i="35"/>
  <c r="F637" i="35"/>
  <c r="J636" i="35"/>
  <c r="F636" i="35"/>
  <c r="J635" i="35"/>
  <c r="F635" i="35"/>
  <c r="J634" i="35"/>
  <c r="F634" i="35"/>
  <c r="J632" i="35"/>
  <c r="F632" i="35"/>
  <c r="J631" i="35"/>
  <c r="J630" i="35"/>
  <c r="F630" i="35"/>
  <c r="J628" i="35"/>
  <c r="F628" i="35"/>
  <c r="J627" i="35"/>
  <c r="K627" i="35" s="1"/>
  <c r="J626" i="35"/>
  <c r="F626" i="35"/>
  <c r="J625" i="35"/>
  <c r="F625" i="35"/>
  <c r="F623" i="35"/>
  <c r="J622" i="35"/>
  <c r="K622" i="35" s="1"/>
  <c r="J620" i="35"/>
  <c r="F620" i="35"/>
  <c r="J619" i="35"/>
  <c r="J617" i="35"/>
  <c r="F617" i="35"/>
  <c r="K618" i="35" s="1"/>
  <c r="J616" i="35"/>
  <c r="F616" i="35"/>
  <c r="F614" i="35"/>
  <c r="F613" i="35"/>
  <c r="F612" i="35"/>
  <c r="J610" i="35"/>
  <c r="F610" i="35"/>
  <c r="J609" i="35"/>
  <c r="F609" i="35"/>
  <c r="J600" i="35"/>
  <c r="K600" i="35" s="1"/>
  <c r="J599" i="35"/>
  <c r="F599" i="35"/>
  <c r="J598" i="35"/>
  <c r="K598" i="35" s="1"/>
  <c r="J597" i="35"/>
  <c r="K597" i="35" s="1"/>
  <c r="J596" i="35"/>
  <c r="K596" i="35" s="1"/>
  <c r="K583" i="35"/>
  <c r="F581" i="35"/>
  <c r="F580" i="35"/>
  <c r="J578" i="35"/>
  <c r="K578" i="35" s="1"/>
  <c r="J577" i="35"/>
  <c r="K577" i="35" s="1"/>
  <c r="F575" i="35"/>
  <c r="J574" i="35"/>
  <c r="F574" i="35"/>
  <c r="J570" i="35"/>
  <c r="F570" i="35"/>
  <c r="J569" i="35"/>
  <c r="F569" i="35"/>
  <c r="J568" i="35"/>
  <c r="F568" i="35"/>
  <c r="J567" i="35"/>
  <c r="F567" i="35"/>
  <c r="J566" i="35"/>
  <c r="F566" i="35"/>
  <c r="J565" i="35"/>
  <c r="K565" i="35" s="1"/>
  <c r="J563" i="35"/>
  <c r="F563" i="35"/>
  <c r="J562" i="35"/>
  <c r="F562" i="35"/>
  <c r="J561" i="35"/>
  <c r="F561" i="35"/>
  <c r="J560" i="35"/>
  <c r="K560" i="35" s="1"/>
  <c r="F560" i="35"/>
  <c r="J559" i="35"/>
  <c r="K559" i="35" s="1"/>
  <c r="J558" i="35"/>
  <c r="F558" i="35"/>
  <c r="J557" i="35"/>
  <c r="J556" i="35"/>
  <c r="K556" i="35" s="1"/>
  <c r="J551" i="35"/>
  <c r="F551" i="35"/>
  <c r="F550" i="35"/>
  <c r="J549" i="35"/>
  <c r="F545" i="35"/>
  <c r="F544" i="35"/>
  <c r="F542" i="35"/>
  <c r="F541" i="35"/>
  <c r="F540" i="35"/>
  <c r="F539" i="35"/>
  <c r="D537" i="35"/>
  <c r="D538" i="35" s="1"/>
  <c r="D543" i="35" s="1"/>
  <c r="D546" i="35" s="1"/>
  <c r="D548" i="35" s="1"/>
  <c r="F536" i="35"/>
  <c r="F535" i="35"/>
  <c r="F534" i="35"/>
  <c r="F533" i="35"/>
  <c r="F532" i="35"/>
  <c r="J530" i="35"/>
  <c r="K530" i="35" s="1"/>
  <c r="F530" i="35"/>
  <c r="J529" i="35"/>
  <c r="F529" i="35"/>
  <c r="J528" i="35"/>
  <c r="F528" i="35"/>
  <c r="F527" i="35"/>
  <c r="J526" i="35"/>
  <c r="F526" i="35"/>
  <c r="J525" i="35"/>
  <c r="F525" i="35"/>
  <c r="J524" i="35"/>
  <c r="F524" i="35"/>
  <c r="J523" i="35"/>
  <c r="K523" i="35" s="1"/>
  <c r="E523" i="35"/>
  <c r="F522" i="35"/>
  <c r="K522" i="35" s="1"/>
  <c r="J519" i="35"/>
  <c r="F519" i="35"/>
  <c r="J518" i="35"/>
  <c r="F518" i="35"/>
  <c r="F517" i="35"/>
  <c r="K517" i="35" s="1"/>
  <c r="K514" i="35"/>
  <c r="F513" i="35"/>
  <c r="J512" i="35"/>
  <c r="F512" i="35"/>
  <c r="J511" i="35"/>
  <c r="F511" i="35"/>
  <c r="J509" i="35"/>
  <c r="F509" i="35"/>
  <c r="K510" i="35" s="1"/>
  <c r="F508" i="35"/>
  <c r="J507" i="35"/>
  <c r="J506" i="35"/>
  <c r="F506" i="35"/>
  <c r="J505" i="35"/>
  <c r="F505" i="35"/>
  <c r="F503" i="35"/>
  <c r="J501" i="35"/>
  <c r="F501" i="35"/>
  <c r="J500" i="35"/>
  <c r="F500" i="35"/>
  <c r="J499" i="35"/>
  <c r="K499" i="35" s="1"/>
  <c r="J498" i="35"/>
  <c r="F498" i="35"/>
  <c r="J497" i="35"/>
  <c r="F497" i="35"/>
  <c r="F496" i="35"/>
  <c r="J495" i="35"/>
  <c r="F495" i="35"/>
  <c r="F470" i="35"/>
  <c r="J469" i="35"/>
  <c r="F469" i="35"/>
  <c r="J468" i="35"/>
  <c r="K468" i="35" s="1"/>
  <c r="J467" i="35"/>
  <c r="K467" i="35" s="1"/>
  <c r="J466" i="35"/>
  <c r="F466" i="35"/>
  <c r="F463" i="35"/>
  <c r="K463" i="35" s="1"/>
  <c r="J462" i="35"/>
  <c r="F462" i="35"/>
  <c r="J461" i="35"/>
  <c r="F461" i="35"/>
  <c r="J460" i="35"/>
  <c r="F460" i="35"/>
  <c r="J459" i="35"/>
  <c r="F459" i="35"/>
  <c r="J458" i="35"/>
  <c r="F458" i="35"/>
  <c r="J457" i="35"/>
  <c r="F457" i="35"/>
  <c r="F456" i="35"/>
  <c r="J455" i="35"/>
  <c r="F455" i="35"/>
  <c r="J454" i="35"/>
  <c r="K454" i="35" s="1"/>
  <c r="J452" i="35"/>
  <c r="F452" i="35"/>
  <c r="J451" i="35"/>
  <c r="F450" i="35"/>
  <c r="F449" i="35"/>
  <c r="F448" i="35"/>
  <c r="F447" i="35"/>
  <c r="F446" i="35"/>
  <c r="K446" i="35" s="1"/>
  <c r="J443" i="35"/>
  <c r="J442" i="35"/>
  <c r="F442" i="35"/>
  <c r="J441" i="35"/>
  <c r="F441" i="35"/>
  <c r="J440" i="35"/>
  <c r="F440" i="35"/>
  <c r="J439" i="35"/>
  <c r="K439" i="35" s="1"/>
  <c r="J437" i="35"/>
  <c r="F437" i="35"/>
  <c r="K435" i="35"/>
  <c r="J434" i="35"/>
  <c r="F434" i="35"/>
  <c r="F433" i="35"/>
  <c r="F432" i="35"/>
  <c r="J431" i="35"/>
  <c r="F431" i="35"/>
  <c r="J429" i="35"/>
  <c r="D429" i="35"/>
  <c r="F427" i="35"/>
  <c r="F426" i="35"/>
  <c r="F425" i="35"/>
  <c r="F424" i="35"/>
  <c r="J423" i="35"/>
  <c r="F423" i="35"/>
  <c r="J422" i="35"/>
  <c r="F422" i="35"/>
  <c r="J421" i="35"/>
  <c r="F421" i="35"/>
  <c r="F417" i="35"/>
  <c r="J416" i="35"/>
  <c r="F416" i="35"/>
  <c r="J414" i="35"/>
  <c r="F414" i="35"/>
  <c r="J413" i="35"/>
  <c r="F413" i="35"/>
  <c r="F411" i="35"/>
  <c r="J410" i="35"/>
  <c r="K410" i="35" s="1"/>
  <c r="E410" i="35"/>
  <c r="J409" i="35"/>
  <c r="K409" i="35" s="1"/>
  <c r="F407" i="35"/>
  <c r="F406" i="35"/>
  <c r="J405" i="35"/>
  <c r="F405" i="35"/>
  <c r="F404" i="35"/>
  <c r="J403" i="35"/>
  <c r="F403" i="35"/>
  <c r="J402" i="35"/>
  <c r="F402" i="35"/>
  <c r="J401" i="35"/>
  <c r="F401" i="35"/>
  <c r="J400" i="35"/>
  <c r="F400" i="35"/>
  <c r="J397" i="35"/>
  <c r="F397" i="35"/>
  <c r="F396" i="35"/>
  <c r="J395" i="35"/>
  <c r="F395" i="35"/>
  <c r="F393" i="35"/>
  <c r="J388" i="35"/>
  <c r="F388" i="35"/>
  <c r="J386" i="35"/>
  <c r="F386" i="35"/>
  <c r="J385" i="35"/>
  <c r="F385" i="35"/>
  <c r="J384" i="35"/>
  <c r="K384" i="35" s="1"/>
  <c r="J383" i="35"/>
  <c r="F383" i="35"/>
  <c r="J382" i="35"/>
  <c r="F382" i="35"/>
  <c r="J381" i="35"/>
  <c r="F381" i="35"/>
  <c r="J380" i="35"/>
  <c r="F380" i="35"/>
  <c r="F377" i="35"/>
  <c r="J376" i="35"/>
  <c r="F376" i="35"/>
  <c r="J375" i="35"/>
  <c r="F375" i="35"/>
  <c r="J374" i="35"/>
  <c r="F374" i="35"/>
  <c r="J373" i="35"/>
  <c r="F373" i="35"/>
  <c r="F372" i="35"/>
  <c r="K372" i="35" s="1"/>
  <c r="F371" i="35"/>
  <c r="F370" i="35"/>
  <c r="J369" i="35"/>
  <c r="F369" i="35"/>
  <c r="J367" i="35"/>
  <c r="F367" i="35"/>
  <c r="J366" i="35"/>
  <c r="K366" i="35" s="1"/>
  <c r="E366" i="35"/>
  <c r="F365" i="35"/>
  <c r="J364" i="35"/>
  <c r="F364" i="35"/>
  <c r="F362" i="35"/>
  <c r="F361" i="35"/>
  <c r="F360" i="35"/>
  <c r="F359" i="35"/>
  <c r="J358" i="35"/>
  <c r="F358" i="35"/>
  <c r="J357" i="35"/>
  <c r="F357" i="35"/>
  <c r="J355" i="35"/>
  <c r="F355" i="35"/>
  <c r="K356" i="35" s="1"/>
  <c r="J354" i="35"/>
  <c r="F354" i="35"/>
  <c r="J353" i="35"/>
  <c r="J352" i="35"/>
  <c r="F352" i="35"/>
  <c r="J351" i="35"/>
  <c r="F351" i="35"/>
  <c r="J348" i="35"/>
  <c r="F348" i="35"/>
  <c r="J347" i="35"/>
  <c r="F347" i="35"/>
  <c r="J346" i="35"/>
  <c r="F346" i="35"/>
  <c r="F345" i="35"/>
  <c r="K345" i="35" s="1"/>
  <c r="J344" i="35"/>
  <c r="J343" i="35"/>
  <c r="F343" i="35"/>
  <c r="J342" i="35"/>
  <c r="F342" i="35"/>
  <c r="J341" i="35"/>
  <c r="F341" i="35"/>
  <c r="J340" i="35"/>
  <c r="F340" i="35"/>
  <c r="J339" i="35"/>
  <c r="K339" i="35" s="1"/>
  <c r="J337" i="35"/>
  <c r="F337" i="35"/>
  <c r="J336" i="35"/>
  <c r="F336" i="35"/>
  <c r="J334" i="35"/>
  <c r="F334" i="35"/>
  <c r="J332" i="35"/>
  <c r="F332" i="35"/>
  <c r="J331" i="35"/>
  <c r="F331" i="35"/>
  <c r="F330" i="35"/>
  <c r="J329" i="35"/>
  <c r="F329" i="35"/>
  <c r="J328" i="35"/>
  <c r="F328" i="35"/>
  <c r="J327" i="35"/>
  <c r="F327" i="35"/>
  <c r="J326" i="35"/>
  <c r="F326" i="35"/>
  <c r="J325" i="35"/>
  <c r="K325" i="35" s="1"/>
  <c r="J324" i="35"/>
  <c r="F324" i="35"/>
  <c r="J323" i="35"/>
  <c r="F323" i="35"/>
  <c r="J321" i="35"/>
  <c r="K321" i="35" s="1"/>
  <c r="J320" i="35"/>
  <c r="F319" i="35"/>
  <c r="J318" i="35"/>
  <c r="F318" i="35"/>
  <c r="J317" i="35"/>
  <c r="F317" i="35"/>
  <c r="J316" i="35"/>
  <c r="F316" i="35"/>
  <c r="J315" i="35"/>
  <c r="F315" i="35"/>
  <c r="F310" i="35"/>
  <c r="J308" i="35"/>
  <c r="K308" i="35" s="1"/>
  <c r="J307" i="35"/>
  <c r="F307" i="35"/>
  <c r="F306" i="35"/>
  <c r="J305" i="35"/>
  <c r="F305" i="35"/>
  <c r="J304" i="35"/>
  <c r="F304" i="35"/>
  <c r="F303" i="35"/>
  <c r="F302" i="35"/>
  <c r="K302" i="35" s="1"/>
  <c r="J301" i="35"/>
  <c r="F301" i="35"/>
  <c r="J300" i="35"/>
  <c r="F300" i="35"/>
  <c r="J298" i="35"/>
  <c r="F298" i="35"/>
  <c r="J296" i="35"/>
  <c r="F296" i="35"/>
  <c r="J295" i="35"/>
  <c r="F295" i="35"/>
  <c r="J294" i="35"/>
  <c r="K294" i="35" s="1"/>
  <c r="J293" i="35"/>
  <c r="F293" i="35"/>
  <c r="J292" i="35"/>
  <c r="K292" i="35" s="1"/>
  <c r="J291" i="35"/>
  <c r="F291" i="35"/>
  <c r="J290" i="35"/>
  <c r="F290" i="35"/>
  <c r="F289" i="35"/>
  <c r="F284" i="35"/>
  <c r="J282" i="35"/>
  <c r="F282" i="35"/>
  <c r="J281" i="35"/>
  <c r="F281" i="35"/>
  <c r="J280" i="35"/>
  <c r="F280" i="35"/>
  <c r="J279" i="35"/>
  <c r="F279" i="35"/>
  <c r="J278" i="35"/>
  <c r="F278" i="35"/>
  <c r="J277" i="35"/>
  <c r="F277" i="35"/>
  <c r="J276" i="35"/>
  <c r="F276" i="35"/>
  <c r="J275" i="35"/>
  <c r="F275" i="35"/>
  <c r="J274" i="35"/>
  <c r="F274" i="35"/>
  <c r="J273" i="35"/>
  <c r="F273" i="35"/>
  <c r="J270" i="35"/>
  <c r="F270" i="35"/>
  <c r="J269" i="35"/>
  <c r="F269" i="35"/>
  <c r="J268" i="35"/>
  <c r="F268" i="35"/>
  <c r="J267" i="35"/>
  <c r="F267" i="35"/>
  <c r="J265" i="35"/>
  <c r="F265" i="35"/>
  <c r="F261" i="35"/>
  <c r="J260" i="35"/>
  <c r="F260" i="35"/>
  <c r="J259" i="35"/>
  <c r="F259" i="35"/>
  <c r="K259" i="35" s="1"/>
  <c r="F258" i="35"/>
  <c r="K258" i="35" s="1"/>
  <c r="J257" i="35"/>
  <c r="F257" i="35"/>
  <c r="J256" i="35"/>
  <c r="F256" i="35"/>
  <c r="J255" i="35"/>
  <c r="F255" i="35"/>
  <c r="J254" i="35"/>
  <c r="F254" i="35"/>
  <c r="J253" i="35"/>
  <c r="F253" i="35"/>
  <c r="J252" i="35"/>
  <c r="F252" i="35"/>
  <c r="J250" i="35"/>
  <c r="F250" i="35"/>
  <c r="F249" i="35"/>
  <c r="K249" i="35" s="1"/>
  <c r="J248" i="35"/>
  <c r="F248" i="35"/>
  <c r="J247" i="35"/>
  <c r="F247" i="35"/>
  <c r="J246" i="35"/>
  <c r="F246" i="35"/>
  <c r="F240" i="35"/>
  <c r="J239" i="35"/>
  <c r="J238" i="35"/>
  <c r="F238" i="35"/>
  <c r="J237" i="35"/>
  <c r="F237" i="35"/>
  <c r="J236" i="35"/>
  <c r="F236" i="35"/>
  <c r="J235" i="35"/>
  <c r="F235" i="35"/>
  <c r="F234" i="35"/>
  <c r="F233" i="35"/>
  <c r="J231" i="35"/>
  <c r="F231" i="35"/>
  <c r="F230" i="35"/>
  <c r="J229" i="35"/>
  <c r="F229" i="35"/>
  <c r="J228" i="35"/>
  <c r="F228" i="35"/>
  <c r="J226" i="35"/>
  <c r="J225" i="35"/>
  <c r="F225" i="35"/>
  <c r="J223" i="35"/>
  <c r="F223" i="35"/>
  <c r="J222" i="35"/>
  <c r="F222" i="35"/>
  <c r="J221" i="35"/>
  <c r="F221" i="35"/>
  <c r="F219" i="35"/>
  <c r="K219" i="35" s="1"/>
  <c r="J217" i="35"/>
  <c r="F217" i="35"/>
  <c r="J215" i="35"/>
  <c r="F215" i="35"/>
  <c r="J214" i="35"/>
  <c r="F214" i="35"/>
  <c r="J213" i="35"/>
  <c r="F213" i="35"/>
  <c r="F212" i="35"/>
  <c r="J208" i="35"/>
  <c r="F208" i="35"/>
  <c r="J207" i="35"/>
  <c r="K207" i="35" s="1"/>
  <c r="J206" i="35"/>
  <c r="F206" i="35"/>
  <c r="F205" i="35"/>
  <c r="F204" i="35"/>
  <c r="J203" i="35"/>
  <c r="F203" i="35"/>
  <c r="J202" i="35"/>
  <c r="F202" i="35"/>
  <c r="J200" i="35"/>
  <c r="K200" i="35" s="1"/>
  <c r="J198" i="35"/>
  <c r="J197" i="35"/>
  <c r="K197" i="35" s="1"/>
  <c r="J196" i="35"/>
  <c r="F196" i="35"/>
  <c r="J195" i="35"/>
  <c r="F195" i="35"/>
  <c r="J194" i="35"/>
  <c r="F194" i="35"/>
  <c r="J193" i="35"/>
  <c r="F193" i="35"/>
  <c r="J192" i="35"/>
  <c r="F192" i="35"/>
  <c r="J191" i="35"/>
  <c r="K191" i="35" s="1"/>
  <c r="J189" i="35"/>
  <c r="F189" i="35"/>
  <c r="F186" i="35"/>
  <c r="J185" i="35"/>
  <c r="K185" i="35" s="1"/>
  <c r="J184" i="35"/>
  <c r="J183" i="35"/>
  <c r="F183" i="35"/>
  <c r="J182" i="35"/>
  <c r="F182" i="35"/>
  <c r="J181" i="35"/>
  <c r="K181" i="35" s="1"/>
  <c r="F179" i="35"/>
  <c r="K179" i="35" s="1"/>
  <c r="J178" i="35"/>
  <c r="K178" i="35" s="1"/>
  <c r="J177" i="35"/>
  <c r="F177" i="35"/>
  <c r="J176" i="35"/>
  <c r="F176" i="35"/>
  <c r="F175" i="35"/>
  <c r="J174" i="35"/>
  <c r="F174" i="35"/>
  <c r="J173" i="35"/>
  <c r="F173" i="35"/>
  <c r="F170" i="35"/>
  <c r="E169" i="35"/>
  <c r="J168" i="35"/>
  <c r="K168" i="35" s="1"/>
  <c r="E168" i="35"/>
  <c r="F166" i="35"/>
  <c r="J165" i="35"/>
  <c r="F165" i="35"/>
  <c r="J163" i="35"/>
  <c r="F163" i="35"/>
  <c r="F161" i="35"/>
  <c r="K155" i="35"/>
  <c r="J153" i="35"/>
  <c r="K153" i="35" s="1"/>
  <c r="E153" i="35"/>
  <c r="J152" i="35"/>
  <c r="F152" i="35"/>
  <c r="K151" i="35"/>
  <c r="E151" i="35"/>
  <c r="J150" i="35"/>
  <c r="F150" i="35"/>
  <c r="J149" i="35"/>
  <c r="F149" i="35"/>
  <c r="J148" i="35"/>
  <c r="F148" i="35"/>
  <c r="J147" i="35"/>
  <c r="F147" i="35"/>
  <c r="J146" i="35"/>
  <c r="K146" i="35" s="1"/>
  <c r="J145" i="35"/>
  <c r="F145" i="35"/>
  <c r="J144" i="35"/>
  <c r="F143" i="35"/>
  <c r="J142" i="35"/>
  <c r="F142" i="35"/>
  <c r="J136" i="35"/>
  <c r="F136" i="35"/>
  <c r="F134" i="35"/>
  <c r="K134" i="35" s="1"/>
  <c r="F133" i="35"/>
  <c r="J132" i="35"/>
  <c r="F132" i="35"/>
  <c r="J131" i="35"/>
  <c r="F131" i="35"/>
  <c r="J129" i="35"/>
  <c r="F129" i="35"/>
  <c r="F128" i="35"/>
  <c r="J127" i="35"/>
  <c r="F127" i="35"/>
  <c r="J126" i="35"/>
  <c r="F126" i="35"/>
  <c r="K125" i="35"/>
  <c r="E125" i="35"/>
  <c r="J124" i="35"/>
  <c r="F124" i="35"/>
  <c r="E123" i="35"/>
  <c r="J117" i="35"/>
  <c r="K117" i="35" s="1"/>
  <c r="J116" i="35"/>
  <c r="F116" i="35"/>
  <c r="F115" i="35"/>
  <c r="J114" i="35"/>
  <c r="J113" i="35"/>
  <c r="F113" i="35"/>
  <c r="J112" i="35"/>
  <c r="F112" i="35"/>
  <c r="J111" i="35"/>
  <c r="F111" i="35"/>
  <c r="J108" i="35"/>
  <c r="F108" i="35"/>
  <c r="J106" i="35"/>
  <c r="K106" i="35" s="1"/>
  <c r="F104" i="35"/>
  <c r="F93" i="35"/>
  <c r="K91" i="35" s="1"/>
  <c r="D92" i="35"/>
  <c r="J89" i="35"/>
  <c r="K89" i="35" s="1"/>
  <c r="F77" i="35"/>
  <c r="F76" i="35"/>
  <c r="J75" i="35"/>
  <c r="K75" i="35" s="1"/>
  <c r="E75" i="35"/>
  <c r="J74" i="35"/>
  <c r="F73" i="35"/>
  <c r="J72" i="35"/>
  <c r="F72" i="35"/>
  <c r="J70" i="35"/>
  <c r="F70" i="35"/>
  <c r="K71" i="35" s="1"/>
  <c r="J69" i="35"/>
  <c r="F69" i="35"/>
  <c r="F64" i="35"/>
  <c r="J59" i="35"/>
  <c r="F59" i="35"/>
  <c r="F58" i="35"/>
  <c r="J57" i="35"/>
  <c r="F57" i="35"/>
  <c r="K56" i="35"/>
  <c r="J55" i="35"/>
  <c r="F55" i="35"/>
  <c r="K54" i="35"/>
  <c r="K53" i="35"/>
  <c r="J51" i="35"/>
  <c r="F51" i="35"/>
  <c r="F49" i="35"/>
  <c r="J48" i="35"/>
  <c r="F48" i="35"/>
  <c r="J47" i="35"/>
  <c r="F47" i="35"/>
  <c r="J46" i="35"/>
  <c r="K46" i="35" s="1"/>
  <c r="F45" i="35"/>
  <c r="F44" i="35"/>
  <c r="J43" i="35"/>
  <c r="F43" i="35"/>
  <c r="J42" i="35"/>
  <c r="F42" i="35"/>
  <c r="J41" i="35"/>
  <c r="F41" i="35"/>
  <c r="J39" i="35"/>
  <c r="F39" i="35"/>
  <c r="F37" i="35"/>
  <c r="K37" i="35" s="1"/>
  <c r="J34" i="35"/>
  <c r="F34" i="35"/>
  <c r="J33" i="35"/>
  <c r="F33" i="35"/>
  <c r="K32" i="35"/>
  <c r="J32" i="35"/>
  <c r="J30" i="35"/>
  <c r="F30" i="35"/>
  <c r="J29" i="35"/>
  <c r="F29" i="35"/>
  <c r="K29" i="35" s="1"/>
  <c r="J28" i="35"/>
  <c r="F28" i="35"/>
  <c r="J25" i="35"/>
  <c r="K25" i="35" s="1"/>
  <c r="E25" i="35"/>
  <c r="J24" i="35"/>
  <c r="F24" i="35"/>
  <c r="J23" i="35"/>
  <c r="F23" i="35"/>
  <c r="J22" i="35"/>
  <c r="F22" i="35"/>
  <c r="J21" i="35"/>
  <c r="F21" i="35"/>
  <c r="J19" i="35"/>
  <c r="F19" i="35"/>
  <c r="J17" i="35"/>
  <c r="K17" i="35" s="1"/>
  <c r="E17" i="35"/>
  <c r="F16" i="35"/>
  <c r="J15" i="35"/>
  <c r="F15" i="35"/>
  <c r="J14" i="35"/>
  <c r="F14" i="35"/>
  <c r="J13" i="35"/>
  <c r="F13" i="35"/>
  <c r="J12" i="35"/>
  <c r="F12" i="35"/>
  <c r="J11" i="35"/>
  <c r="F11" i="35"/>
  <c r="J10" i="35"/>
  <c r="F10" i="35"/>
  <c r="J9" i="35"/>
  <c r="K9" i="35" s="1"/>
  <c r="F8" i="35"/>
  <c r="J7" i="35"/>
  <c r="K7" i="35" s="1"/>
  <c r="J3" i="35"/>
  <c r="F3" i="35"/>
  <c r="J2" i="35"/>
  <c r="F2" i="35"/>
  <c r="F708" i="35" l="1"/>
  <c r="K359" i="35"/>
  <c r="K766" i="35"/>
  <c r="H79" i="35"/>
  <c r="G79" i="35" s="1"/>
  <c r="F61" i="35"/>
  <c r="D63" i="35"/>
  <c r="F63" i="35" s="1"/>
  <c r="F408" i="35"/>
  <c r="K743" i="35"/>
  <c r="K822" i="35"/>
  <c r="F660" i="35"/>
  <c r="K660" i="35" s="1"/>
  <c r="K462" i="35"/>
  <c r="K779" i="35"/>
  <c r="K108" i="35"/>
  <c r="K370" i="35"/>
  <c r="K203" i="35"/>
  <c r="K252" i="35"/>
  <c r="K789" i="35"/>
  <c r="K386" i="35"/>
  <c r="K612" i="35"/>
  <c r="K337" i="35"/>
  <c r="K580" i="35"/>
  <c r="K669" i="35"/>
  <c r="K634" i="35"/>
  <c r="K803" i="35"/>
  <c r="K824" i="35"/>
  <c r="K616" i="35"/>
  <c r="K784" i="35"/>
  <c r="K411" i="35"/>
  <c r="K374" i="35"/>
  <c r="K343" i="35"/>
  <c r="K354" i="35"/>
  <c r="K357" i="35"/>
  <c r="K334" i="35"/>
  <c r="K328" i="35"/>
  <c r="K260" i="35"/>
  <c r="K268" i="35"/>
  <c r="K278" i="35"/>
  <c r="K626" i="35"/>
  <c r="K248" i="35"/>
  <c r="K236" i="35"/>
  <c r="K778" i="35"/>
  <c r="K274" i="35"/>
  <c r="K432" i="35"/>
  <c r="K507" i="35"/>
  <c r="K511" i="35"/>
  <c r="K562" i="35"/>
  <c r="K719" i="35"/>
  <c r="K775" i="35"/>
  <c r="K144" i="35"/>
  <c r="K440" i="35"/>
  <c r="K442" i="35"/>
  <c r="K680" i="35"/>
  <c r="K754" i="35"/>
  <c r="K756" i="35"/>
  <c r="K763" i="35"/>
  <c r="K792" i="35"/>
  <c r="K794" i="35"/>
  <c r="K195" i="35"/>
  <c r="K289" i="35"/>
  <c r="K300" i="35"/>
  <c r="K340" i="35"/>
  <c r="K351" i="35"/>
  <c r="K401" i="35"/>
  <c r="K625" i="35"/>
  <c r="K649" i="35"/>
  <c r="K652" i="35"/>
  <c r="K653" i="35"/>
  <c r="K733" i="35"/>
  <c r="K737" i="35"/>
  <c r="K741" i="35"/>
  <c r="K791" i="35"/>
  <c r="K813" i="35"/>
  <c r="K163" i="35"/>
  <c r="K519" i="35"/>
  <c r="K3" i="35"/>
  <c r="K13" i="35"/>
  <c r="K19" i="35"/>
  <c r="K173" i="35"/>
  <c r="K196" i="35"/>
  <c r="K206" i="35"/>
  <c r="K225" i="35"/>
  <c r="K261" i="35"/>
  <c r="K273" i="35"/>
  <c r="K402" i="35"/>
  <c r="F429" i="35"/>
  <c r="K425" i="35" s="1"/>
  <c r="K457" i="35"/>
  <c r="K497" i="35"/>
  <c r="K609" i="35"/>
  <c r="K773" i="35"/>
  <c r="K811" i="35"/>
  <c r="K279" i="35"/>
  <c r="K303" i="35"/>
  <c r="K315" i="35"/>
  <c r="K317" i="35"/>
  <c r="K358" i="35"/>
  <c r="K393" i="35"/>
  <c r="K413" i="35"/>
  <c r="K421" i="35"/>
  <c r="K437" i="35"/>
  <c r="K469" i="35"/>
  <c r="K495" i="35"/>
  <c r="K513" i="35"/>
  <c r="K518" i="35"/>
  <c r="K127" i="35"/>
  <c r="K39" i="35"/>
  <c r="K42" i="35"/>
  <c r="K129" i="35"/>
  <c r="K148" i="35"/>
  <c r="K152" i="35"/>
  <c r="K169" i="35"/>
  <c r="K183" i="35"/>
  <c r="K193" i="35"/>
  <c r="K202" i="35"/>
  <c r="K212" i="35"/>
  <c r="K247" i="35"/>
  <c r="K257" i="35"/>
  <c r="K281" i="35"/>
  <c r="K365" i="35"/>
  <c r="K367" i="35"/>
  <c r="K380" i="35"/>
  <c r="K417" i="35"/>
  <c r="K459" i="35"/>
  <c r="K505" i="35"/>
  <c r="K764" i="35"/>
  <c r="K239" i="35"/>
  <c r="K376" i="35"/>
  <c r="K623" i="35"/>
  <c r="K666" i="35"/>
  <c r="K14" i="35"/>
  <c r="K213" i="35"/>
  <c r="K215" i="35"/>
  <c r="K221" i="35"/>
  <c r="K228" i="35"/>
  <c r="K254" i="35"/>
  <c r="K256" i="35"/>
  <c r="K301" i="35"/>
  <c r="K355" i="35"/>
  <c r="K364" i="35"/>
  <c r="K381" i="35"/>
  <c r="K383" i="35"/>
  <c r="K388" i="35"/>
  <c r="K395" i="35"/>
  <c r="K434" i="35"/>
  <c r="K441" i="35"/>
  <c r="K460" i="35"/>
  <c r="K509" i="35"/>
  <c r="K526" i="35"/>
  <c r="K561" i="35"/>
  <c r="K599" i="35"/>
  <c r="K637" i="35"/>
  <c r="K663" i="35"/>
  <c r="K665" i="35"/>
  <c r="K750" i="35"/>
  <c r="K116" i="35"/>
  <c r="K114" i="35"/>
  <c r="K112" i="35"/>
  <c r="K12" i="35"/>
  <c r="K23" i="35"/>
  <c r="K48" i="35"/>
  <c r="K55" i="35"/>
  <c r="K277" i="35"/>
  <c r="K635" i="35"/>
  <c r="K809" i="35"/>
  <c r="K24" i="35"/>
  <c r="K59" i="35"/>
  <c r="K124" i="35"/>
  <c r="K131" i="35"/>
  <c r="K142" i="35"/>
  <c r="K147" i="35"/>
  <c r="K149" i="35"/>
  <c r="K182" i="35"/>
  <c r="K214" i="35"/>
  <c r="K217" i="35"/>
  <c r="K293" i="35"/>
  <c r="K295" i="35"/>
  <c r="K316" i="35"/>
  <c r="K369" i="35"/>
  <c r="K382" i="35"/>
  <c r="K431" i="35"/>
  <c r="K461" i="35"/>
  <c r="K557" i="35"/>
  <c r="K558" i="35"/>
  <c r="K568" i="35"/>
  <c r="K628" i="35"/>
  <c r="K636" i="35"/>
  <c r="K643" i="35"/>
  <c r="K732" i="35"/>
  <c r="K70" i="35"/>
  <c r="K76" i="35"/>
  <c r="K111" i="35"/>
  <c r="K113" i="35"/>
  <c r="K126" i="35"/>
  <c r="K145" i="35"/>
  <c r="K165" i="35"/>
  <c r="K174" i="35"/>
  <c r="K176" i="35"/>
  <c r="K192" i="35"/>
  <c r="K194" i="35"/>
  <c r="K198" i="35"/>
  <c r="K208" i="35"/>
  <c r="K223" i="35"/>
  <c r="K231" i="35"/>
  <c r="K235" i="35"/>
  <c r="K255" i="35"/>
  <c r="K269" i="35"/>
  <c r="K282" i="35"/>
  <c r="K336" i="35"/>
  <c r="K346" i="35"/>
  <c r="K373" i="35"/>
  <c r="K385" i="35"/>
  <c r="K458" i="35"/>
  <c r="K470" i="35"/>
  <c r="K528" i="35"/>
  <c r="K551" i="35"/>
  <c r="K569" i="35"/>
  <c r="K617" i="35"/>
  <c r="K620" i="35"/>
  <c r="K632" i="35"/>
  <c r="K650" i="35"/>
  <c r="K662" i="35"/>
  <c r="K720" i="35"/>
  <c r="K734" i="35"/>
  <c r="K736" i="35"/>
  <c r="K755" i="35"/>
  <c r="K788" i="35"/>
  <c r="K805" i="35"/>
  <c r="K828" i="35"/>
  <c r="K833" i="35"/>
  <c r="K69" i="35"/>
  <c r="K2" i="35"/>
  <c r="K10" i="35"/>
  <c r="K22" i="35"/>
  <c r="K43" i="35"/>
  <c r="K132" i="35"/>
  <c r="K136" i="35"/>
  <c r="K189" i="35"/>
  <c r="K229" i="35"/>
  <c r="K237" i="35"/>
  <c r="K253" i="35"/>
  <c r="K275" i="35"/>
  <c r="K296" i="35"/>
  <c r="K323" i="35"/>
  <c r="K332" i="35"/>
  <c r="K348" i="35"/>
  <c r="K352" i="35"/>
  <c r="K397" i="35"/>
  <c r="K422" i="35"/>
  <c r="K455" i="35"/>
  <c r="K500" i="35"/>
  <c r="K529" i="35"/>
  <c r="K563" i="35"/>
  <c r="K570" i="35"/>
  <c r="K735" i="35"/>
  <c r="K740" i="35"/>
  <c r="K825" i="35"/>
  <c r="K11" i="35"/>
  <c r="K47" i="35"/>
  <c r="K267" i="35"/>
  <c r="K320" i="35"/>
  <c r="K326" i="35"/>
  <c r="K331" i="35"/>
  <c r="K341" i="35"/>
  <c r="K403" i="35"/>
  <c r="K414" i="35"/>
  <c r="K506" i="35"/>
  <c r="K524" i="35"/>
  <c r="F537" i="35"/>
  <c r="F538" i="35" s="1"/>
  <c r="F543" i="35" s="1"/>
  <c r="K566" i="35"/>
  <c r="K610" i="35"/>
  <c r="K787" i="35"/>
  <c r="K793" i="35"/>
  <c r="K806" i="35"/>
  <c r="K150" i="35"/>
  <c r="K177" i="35"/>
  <c r="K222" i="35"/>
  <c r="K246" i="35"/>
  <c r="K290" i="35"/>
  <c r="K318" i="35"/>
  <c r="F451" i="35"/>
  <c r="K451" i="35" s="1"/>
  <c r="K676" i="35"/>
  <c r="K60" i="35"/>
  <c r="K57" i="35"/>
  <c r="K41" i="35"/>
  <c r="K33" i="35"/>
  <c r="K28" i="35"/>
  <c r="K21" i="35"/>
  <c r="K8" i="35"/>
  <c r="K72" i="35"/>
  <c r="J175" i="35"/>
  <c r="K175" i="35" s="1"/>
  <c r="K238" i="35"/>
  <c r="K265" i="35"/>
  <c r="K276" i="35"/>
  <c r="K291" i="35"/>
  <c r="K327" i="35"/>
  <c r="K329" i="35"/>
  <c r="K347" i="35"/>
  <c r="K416" i="35"/>
  <c r="K466" i="35"/>
  <c r="K501" i="35"/>
  <c r="K567" i="35"/>
  <c r="K721" i="35"/>
  <c r="K759" i="35"/>
  <c r="K780" i="35"/>
  <c r="K298" i="35"/>
  <c r="K307" i="35"/>
  <c r="K375" i="35"/>
  <c r="K512" i="35"/>
  <c r="K250" i="35"/>
  <c r="K270" i="35"/>
  <c r="K280" i="35"/>
  <c r="K305" i="35"/>
  <c r="K324" i="35"/>
  <c r="K342" i="35"/>
  <c r="K400" i="35"/>
  <c r="K423" i="35"/>
  <c r="K452" i="35"/>
  <c r="K498" i="35"/>
  <c r="K525" i="35"/>
  <c r="K574" i="35"/>
  <c r="K678" i="35"/>
  <c r="K796" i="35"/>
  <c r="F443" i="35"/>
  <c r="K443" i="35" s="1"/>
  <c r="F118" i="30"/>
  <c r="F711" i="35" l="1"/>
  <c r="F715" i="35"/>
  <c r="F546" i="35"/>
  <c r="F548" i="35" s="1"/>
  <c r="K549" i="35"/>
  <c r="F657" i="30"/>
  <c r="K705" i="35" l="1"/>
  <c r="F713" i="35"/>
  <c r="B33" i="23"/>
  <c r="F103" i="30"/>
  <c r="F543" i="30"/>
  <c r="F712" i="30"/>
  <c r="H175" i="7" l="1"/>
  <c r="F665" i="30" l="1"/>
  <c r="B55" i="27"/>
  <c r="B53" i="27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4" i="27"/>
  <c r="F44" i="27" s="1"/>
  <c r="E43" i="27"/>
  <c r="F43" i="27" s="1"/>
  <c r="E42" i="27"/>
  <c r="F42" i="27" s="1"/>
  <c r="D42" i="27"/>
  <c r="E41" i="27"/>
  <c r="F41" i="27" s="1"/>
  <c r="D40" i="27"/>
  <c r="D53" i="27" s="1"/>
  <c r="F53" i="27" l="1"/>
  <c r="B54" i="27" s="1"/>
  <c r="B56" i="27" s="1"/>
  <c r="E53" i="27"/>
  <c r="E9" i="33" l="1"/>
  <c r="D9" i="33"/>
  <c r="B9" i="33"/>
  <c r="B10" i="33"/>
  <c r="D10" i="33" s="1"/>
  <c r="B8" i="33"/>
  <c r="D8" i="33" s="1"/>
  <c r="E8" i="33" s="1"/>
  <c r="B7" i="33"/>
  <c r="D7" i="33" s="1"/>
  <c r="E7" i="33" s="1"/>
  <c r="B5" i="33"/>
  <c r="D5" i="33"/>
  <c r="E5" i="33" s="1"/>
  <c r="B6" i="33" s="1"/>
  <c r="D6" i="33" s="1"/>
  <c r="E6" i="33" s="1"/>
  <c r="D4" i="33"/>
  <c r="E4" i="33" s="1"/>
  <c r="E10" i="33" l="1"/>
  <c r="B11" i="33" s="1"/>
  <c r="D11" i="33" l="1"/>
  <c r="E11" i="33" s="1"/>
  <c r="B12" i="33" s="1"/>
  <c r="F753" i="30"/>
  <c r="D12" i="33" l="1"/>
  <c r="E12" i="33" s="1"/>
  <c r="B13" i="33" s="1"/>
  <c r="D13" i="33" l="1"/>
  <c r="E13" i="33" s="1"/>
  <c r="B14" i="33" s="1"/>
  <c r="D14" i="33" l="1"/>
  <c r="E14" i="33" s="1"/>
  <c r="B15" i="33" s="1"/>
  <c r="J204" i="30"/>
  <c r="D15" i="33" l="1"/>
  <c r="E15" i="33" s="1"/>
  <c r="F597" i="20" l="1"/>
  <c r="F723" i="30"/>
  <c r="F722" i="30"/>
  <c r="F666" i="28" l="1"/>
  <c r="F666" i="30"/>
  <c r="F730" i="30" l="1"/>
  <c r="F599" i="30"/>
  <c r="F352" i="30" l="1"/>
  <c r="J351" i="30"/>
  <c r="J67" i="30" l="1"/>
  <c r="J753" i="30"/>
  <c r="J702" i="30"/>
  <c r="F702" i="30"/>
  <c r="J125" i="30"/>
  <c r="K125" i="30" s="1"/>
  <c r="J163" i="30"/>
  <c r="F164" i="30"/>
  <c r="F165" i="30"/>
  <c r="J703" i="30"/>
  <c r="F703" i="30"/>
  <c r="J711" i="30"/>
  <c r="J52" i="30"/>
  <c r="J53" i="30"/>
  <c r="J292" i="30"/>
  <c r="J707" i="30"/>
  <c r="K703" i="30" l="1"/>
  <c r="K702" i="30"/>
  <c r="J659" i="30"/>
  <c r="J714" i="30"/>
  <c r="E10" i="15" l="1"/>
  <c r="E9" i="15"/>
  <c r="E6" i="15"/>
  <c r="E3" i="15"/>
  <c r="C12" i="15"/>
  <c r="J70" i="30" l="1"/>
  <c r="J470" i="30"/>
  <c r="J314" i="30"/>
  <c r="J466" i="30"/>
  <c r="J708" i="30"/>
  <c r="J494" i="30"/>
  <c r="J678" i="30"/>
  <c r="J394" i="30"/>
  <c r="J713" i="30"/>
  <c r="J593" i="30"/>
  <c r="F752" i="30"/>
  <c r="F385" i="30"/>
  <c r="J384" i="30"/>
  <c r="J751" i="30"/>
  <c r="K751" i="30" s="1"/>
  <c r="J694" i="30"/>
  <c r="K694" i="30" s="1"/>
  <c r="J251" i="30"/>
  <c r="J324" i="30"/>
  <c r="K324" i="30" s="1"/>
  <c r="F590" i="30"/>
  <c r="H26" i="26"/>
  <c r="F26" i="26" s="1"/>
  <c r="I26" i="26" s="1"/>
  <c r="F538" i="30"/>
  <c r="J64" i="30" l="1"/>
  <c r="E8" i="30" l="1"/>
  <c r="F244" i="30"/>
  <c r="F243" i="30"/>
  <c r="F242" i="30"/>
  <c r="F560" i="30"/>
  <c r="F559" i="30"/>
  <c r="F109" i="30" l="1"/>
  <c r="F138" i="30"/>
  <c r="F750" i="30"/>
  <c r="F749" i="30"/>
  <c r="F453" i="30" l="1"/>
  <c r="J88" i="30"/>
  <c r="K662" i="28" l="1"/>
  <c r="K661" i="28"/>
  <c r="K660" i="28"/>
  <c r="D663" i="30"/>
  <c r="F662" i="30"/>
  <c r="F661" i="30"/>
  <c r="F660" i="30"/>
  <c r="F659" i="30"/>
  <c r="D664" i="28"/>
  <c r="F661" i="28"/>
  <c r="F662" i="28"/>
  <c r="F663" i="28"/>
  <c r="F660" i="28"/>
  <c r="C55" i="31"/>
  <c r="C35" i="31"/>
  <c r="C13" i="31"/>
  <c r="F535" i="30"/>
  <c r="F536" i="30"/>
  <c r="F534" i="30"/>
  <c r="F533" i="30"/>
  <c r="D531" i="30"/>
  <c r="D532" i="30" s="1"/>
  <c r="D537" i="30" s="1"/>
  <c r="D539" i="30" s="1"/>
  <c r="F530" i="30"/>
  <c r="F529" i="30"/>
  <c r="F528" i="30"/>
  <c r="F527" i="30"/>
  <c r="F526" i="30"/>
  <c r="F541" i="30"/>
  <c r="F542" i="30"/>
  <c r="F441" i="30"/>
  <c r="F440" i="30"/>
  <c r="F439" i="30"/>
  <c r="F438" i="30"/>
  <c r="F663" i="30" l="1"/>
  <c r="K659" i="30" s="1"/>
  <c r="F664" i="28"/>
  <c r="L662" i="28" s="1"/>
  <c r="F531" i="30"/>
  <c r="F532" i="30" s="1"/>
  <c r="F537" i="30" s="1"/>
  <c r="F539" i="30" s="1"/>
  <c r="F260" i="30"/>
  <c r="J422" i="30"/>
  <c r="K466" i="30"/>
  <c r="K470" i="30"/>
  <c r="J469" i="30"/>
  <c r="J748" i="30"/>
  <c r="J700" i="30"/>
  <c r="J310" i="30"/>
  <c r="J374" i="30"/>
  <c r="J33" i="30"/>
  <c r="J430" i="30"/>
  <c r="J268" i="30"/>
  <c r="F47" i="30"/>
  <c r="J460" i="30"/>
  <c r="K460" i="30" s="1"/>
  <c r="F746" i="30"/>
  <c r="F589" i="30"/>
  <c r="J686" i="30"/>
  <c r="D107" i="24"/>
  <c r="B111" i="24" s="1"/>
  <c r="B102" i="24"/>
  <c r="B112" i="24" s="1"/>
  <c r="B113" i="24" l="1"/>
  <c r="F351" i="30"/>
  <c r="K351" i="30" s="1"/>
  <c r="J350" i="30"/>
  <c r="F350" i="30"/>
  <c r="K350" i="30" l="1"/>
  <c r="F82" i="30"/>
  <c r="J332" i="30"/>
  <c r="K332" i="30" s="1"/>
  <c r="J18" i="30"/>
  <c r="J37" i="30"/>
  <c r="K37" i="30" s="1"/>
  <c r="J284" i="30"/>
  <c r="J736" i="30"/>
  <c r="K736" i="30" s="1"/>
  <c r="J2" i="30"/>
  <c r="J615" i="30"/>
  <c r="F717" i="30" l="1"/>
  <c r="F716" i="30"/>
  <c r="J697" i="30" l="1"/>
  <c r="F697" i="30"/>
  <c r="J557" i="30"/>
  <c r="F557" i="30"/>
  <c r="J685" i="30"/>
  <c r="J286" i="30"/>
  <c r="J706" i="30"/>
  <c r="K557" i="30" l="1"/>
  <c r="K697" i="30"/>
  <c r="J207" i="30"/>
  <c r="J376" i="30"/>
  <c r="J32" i="30"/>
  <c r="F32" i="30"/>
  <c r="J249" i="30"/>
  <c r="J250" i="30"/>
  <c r="J248" i="30"/>
  <c r="J247" i="30"/>
  <c r="J433" i="30"/>
  <c r="H153" i="7" l="1"/>
  <c r="F743" i="30"/>
  <c r="F742" i="30"/>
  <c r="J341" i="30"/>
  <c r="F646" i="30" l="1"/>
  <c r="F39" i="30"/>
  <c r="F171" i="30"/>
  <c r="F146" i="30"/>
  <c r="J246" i="30"/>
  <c r="J679" i="30"/>
  <c r="K679" i="30" s="1"/>
  <c r="F679" i="30"/>
  <c r="J254" i="30"/>
  <c r="J486" i="30"/>
  <c r="D420" i="30"/>
  <c r="F418" i="30"/>
  <c r="F417" i="30"/>
  <c r="F416" i="30"/>
  <c r="F414" i="30"/>
  <c r="J391" i="30"/>
  <c r="J28" i="30"/>
  <c r="J26" i="30"/>
  <c r="K26" i="30" s="1"/>
  <c r="E26" i="30"/>
  <c r="F420" i="30" l="1"/>
  <c r="J155" i="30"/>
  <c r="F157" i="30"/>
  <c r="D434" i="30"/>
  <c r="F434" i="30" s="1"/>
  <c r="D437" i="28" l="1"/>
  <c r="F437" i="28" s="1"/>
  <c r="J253" i="30" l="1"/>
  <c r="J411" i="30"/>
  <c r="J412" i="30"/>
  <c r="K412" i="30" s="1"/>
  <c r="J734" i="30"/>
  <c r="K734" i="30" s="1"/>
  <c r="F740" i="30"/>
  <c r="J739" i="30" l="1"/>
  <c r="F17" i="15"/>
  <c r="F149" i="30"/>
  <c r="E618" i="30"/>
  <c r="J562" i="30" l="1"/>
  <c r="F738" i="30"/>
  <c r="J737" i="30"/>
  <c r="J73" i="30"/>
  <c r="J19" i="30"/>
  <c r="F360" i="30" l="1"/>
  <c r="F679" i="28"/>
  <c r="F437" i="30"/>
  <c r="F615" i="30" l="1"/>
  <c r="K615" i="30" s="1"/>
  <c r="J299" i="30" l="1"/>
  <c r="K299" i="30" s="1"/>
  <c r="J680" i="30"/>
  <c r="J298" i="30"/>
  <c r="J554" i="30"/>
  <c r="J731" i="30"/>
  <c r="K731" i="30" s="1"/>
  <c r="J634" i="30"/>
  <c r="J297" i="30"/>
  <c r="J509" i="30"/>
  <c r="J375" i="30"/>
  <c r="J245" i="30"/>
  <c r="J735" i="30"/>
  <c r="K735" i="30" s="1"/>
  <c r="E735" i="30"/>
  <c r="J368" i="30"/>
  <c r="J396" i="30"/>
  <c r="J337" i="30"/>
  <c r="J480" i="30"/>
  <c r="J379" i="30"/>
  <c r="K733" i="30"/>
  <c r="J733" i="30"/>
  <c r="J372" i="30"/>
  <c r="J677" i="30"/>
  <c r="J730" i="30"/>
  <c r="K730" i="30" s="1"/>
  <c r="J729" i="30"/>
  <c r="K729" i="30" s="1"/>
  <c r="J392" i="30"/>
  <c r="J393" i="30"/>
  <c r="J169" i="30"/>
  <c r="F728" i="30"/>
  <c r="J371" i="30"/>
  <c r="J669" i="30"/>
  <c r="J672" i="30"/>
  <c r="J173" i="30"/>
  <c r="F216" i="30"/>
  <c r="J214" i="30"/>
  <c r="K214" i="30" s="1"/>
  <c r="J215" i="30"/>
  <c r="J76" i="30"/>
  <c r="J369" i="30"/>
  <c r="J671" i="30"/>
  <c r="J673" i="30"/>
  <c r="J670" i="30"/>
  <c r="J373" i="30"/>
  <c r="J583" i="30"/>
  <c r="J517" i="30"/>
  <c r="F656" i="30" l="1"/>
  <c r="J656" i="30"/>
  <c r="J135" i="30"/>
  <c r="K135" i="30" s="1"/>
  <c r="J650" i="30"/>
  <c r="F297" i="30" l="1"/>
  <c r="K297" i="30" s="1"/>
  <c r="F359" i="30" l="1"/>
  <c r="E396" i="30" l="1"/>
  <c r="F299" i="30"/>
  <c r="F393" i="30"/>
  <c r="K393" i="30" s="1"/>
  <c r="F392" i="30"/>
  <c r="J346" i="30" l="1"/>
  <c r="J704" i="30"/>
  <c r="J111" i="30"/>
  <c r="J75" i="30"/>
  <c r="K75" i="30" s="1"/>
  <c r="K88" i="30"/>
  <c r="F727" i="30"/>
  <c r="J34" i="30"/>
  <c r="J367" i="30"/>
  <c r="J726" i="30"/>
  <c r="J377" i="30"/>
  <c r="J674" i="30"/>
  <c r="J595" i="30"/>
  <c r="F595" i="30"/>
  <c r="F725" i="30"/>
  <c r="J724" i="30"/>
  <c r="F724" i="30"/>
  <c r="F154" i="30"/>
  <c r="J151" i="30"/>
  <c r="K151" i="30" s="1"/>
  <c r="D38" i="28"/>
  <c r="F36" i="30"/>
  <c r="J35" i="30"/>
  <c r="F721" i="30"/>
  <c r="F491" i="30"/>
  <c r="F720" i="30"/>
  <c r="F478" i="30"/>
  <c r="F179" i="30"/>
  <c r="J696" i="30"/>
  <c r="K696" i="30" s="1"/>
  <c r="F505" i="30"/>
  <c r="J503" i="30"/>
  <c r="K503" i="30" s="1"/>
  <c r="J217" i="30"/>
  <c r="J629" i="30"/>
  <c r="K724" i="30" l="1"/>
  <c r="K595" i="30"/>
  <c r="F159" i="30"/>
  <c r="F160" i="30"/>
  <c r="F158" i="30"/>
  <c r="J166" i="30"/>
  <c r="K166" i="30" s="1"/>
  <c r="F155" i="30"/>
  <c r="J62" i="30"/>
  <c r="J719" i="30"/>
  <c r="J586" i="30"/>
  <c r="J688" i="30"/>
  <c r="K688" i="30" s="1"/>
  <c r="J241" i="30"/>
  <c r="J502" i="30"/>
  <c r="J718" i="30"/>
  <c r="K718" i="30" s="1"/>
  <c r="J568" i="30"/>
  <c r="K568" i="30" s="1"/>
  <c r="J569" i="30"/>
  <c r="K569" i="30" s="1"/>
  <c r="J61" i="30"/>
  <c r="J115" i="30"/>
  <c r="F161" i="30"/>
  <c r="J651" i="30"/>
  <c r="J614" i="30"/>
  <c r="J117" i="30"/>
  <c r="J112" i="30"/>
  <c r="F144" i="28" l="1"/>
  <c r="D756" i="30" l="1"/>
  <c r="J611" i="30" l="1"/>
  <c r="J610" i="30"/>
  <c r="F514" i="30"/>
  <c r="F509" i="30"/>
  <c r="K509" i="30" s="1"/>
  <c r="F433" i="30"/>
  <c r="K433" i="30" s="1"/>
  <c r="F422" i="30"/>
  <c r="K422" i="30" s="1"/>
  <c r="F415" i="30"/>
  <c r="D411" i="30"/>
  <c r="J400" i="30"/>
  <c r="F397" i="30"/>
  <c r="K407" i="28"/>
  <c r="F406" i="28"/>
  <c r="K405" i="28"/>
  <c r="K404" i="28"/>
  <c r="F403" i="28"/>
  <c r="K402" i="28"/>
  <c r="L402" i="28" s="1"/>
  <c r="K400" i="28"/>
  <c r="F400" i="28"/>
  <c r="K399" i="28"/>
  <c r="F399" i="28"/>
  <c r="F398" i="28"/>
  <c r="K397" i="28"/>
  <c r="F397" i="28"/>
  <c r="K396" i="28"/>
  <c r="F396" i="28"/>
  <c r="K395" i="28"/>
  <c r="F395" i="28"/>
  <c r="K394" i="28"/>
  <c r="F394" i="28"/>
  <c r="K393" i="28"/>
  <c r="F393" i="28"/>
  <c r="F392" i="28"/>
  <c r="K391" i="28"/>
  <c r="F391" i="28"/>
  <c r="K390" i="28"/>
  <c r="F390" i="28"/>
  <c r="K389" i="28"/>
  <c r="F389" i="28"/>
  <c r="K388" i="28"/>
  <c r="F388" i="28"/>
  <c r="K387" i="28"/>
  <c r="F387" i="28"/>
  <c r="K386" i="28"/>
  <c r="L386" i="28" s="1"/>
  <c r="K385" i="28"/>
  <c r="F385" i="28"/>
  <c r="K384" i="28"/>
  <c r="L384" i="28" s="1"/>
  <c r="K383" i="28"/>
  <c r="F383" i="28"/>
  <c r="K382" i="28"/>
  <c r="F382" i="28"/>
  <c r="L382" i="28" s="1"/>
  <c r="K381" i="28"/>
  <c r="F381" i="28"/>
  <c r="K380" i="28"/>
  <c r="F380" i="28"/>
  <c r="L380" i="28" s="1"/>
  <c r="F379" i="28"/>
  <c r="K378" i="28"/>
  <c r="F378" i="28"/>
  <c r="K377" i="28"/>
  <c r="F377" i="28"/>
  <c r="K376" i="28"/>
  <c r="F376" i="28"/>
  <c r="K375" i="28"/>
  <c r="F375" i="28"/>
  <c r="K374" i="28"/>
  <c r="F374" i="28"/>
  <c r="K373" i="28"/>
  <c r="L373" i="28" s="1"/>
  <c r="K372" i="28"/>
  <c r="F372" i="28"/>
  <c r="K371" i="28"/>
  <c r="L371" i="28" s="1"/>
  <c r="K370" i="28"/>
  <c r="F370" i="28"/>
  <c r="K369" i="28"/>
  <c r="F369" i="28"/>
  <c r="K368" i="28"/>
  <c r="F368" i="28"/>
  <c r="F367" i="28"/>
  <c r="K366" i="28"/>
  <c r="F366" i="28"/>
  <c r="K365" i="28"/>
  <c r="F365" i="28"/>
  <c r="K364" i="28"/>
  <c r="F364" i="28"/>
  <c r="K363" i="28"/>
  <c r="F363" i="28"/>
  <c r="F362" i="28"/>
  <c r="F361" i="28"/>
  <c r="L361" i="28" s="1"/>
  <c r="K360" i="28"/>
  <c r="F360" i="28"/>
  <c r="K359" i="28"/>
  <c r="F359" i="28"/>
  <c r="L359" i="28" s="1"/>
  <c r="K357" i="28"/>
  <c r="F357" i="28"/>
  <c r="K356" i="28"/>
  <c r="F356" i="28"/>
  <c r="L356" i="28" s="1"/>
  <c r="K355" i="28"/>
  <c r="F355" i="28"/>
  <c r="F354" i="28"/>
  <c r="L354" i="28" s="1"/>
  <c r="K353" i="28"/>
  <c r="F353" i="28"/>
  <c r="K352" i="28"/>
  <c r="F352" i="28"/>
  <c r="K351" i="28"/>
  <c r="F351" i="28"/>
  <c r="K350" i="28"/>
  <c r="F350" i="28"/>
  <c r="K349" i="28"/>
  <c r="F349" i="28"/>
  <c r="K348" i="28"/>
  <c r="L348" i="28" s="1"/>
  <c r="K347" i="28"/>
  <c r="F347" i="28"/>
  <c r="K346" i="28"/>
  <c r="F346" i="28"/>
  <c r="K345" i="28"/>
  <c r="F345" i="28"/>
  <c r="L345" i="28" s="1"/>
  <c r="K344" i="28"/>
  <c r="F344" i="28"/>
  <c r="K343" i="28"/>
  <c r="F343" i="28"/>
  <c r="F342" i="28"/>
  <c r="K341" i="28"/>
  <c r="F341" i="28"/>
  <c r="F340" i="28"/>
  <c r="K339" i="28"/>
  <c r="F339" i="28"/>
  <c r="K338" i="28"/>
  <c r="F338" i="28"/>
  <c r="K337" i="28"/>
  <c r="F337" i="28"/>
  <c r="K336" i="28"/>
  <c r="F336" i="28"/>
  <c r="K335" i="28"/>
  <c r="F335" i="28"/>
  <c r="K334" i="28"/>
  <c r="K333" i="28"/>
  <c r="F333" i="28"/>
  <c r="K332" i="28"/>
  <c r="L332" i="28" s="1"/>
  <c r="K331" i="28"/>
  <c r="F331" i="28"/>
  <c r="K330" i="28"/>
  <c r="F330" i="28"/>
  <c r="K329" i="28"/>
  <c r="L329" i="28" s="1"/>
  <c r="K328" i="28"/>
  <c r="F328" i="28"/>
  <c r="K327" i="28"/>
  <c r="F327" i="28"/>
  <c r="K326" i="28"/>
  <c r="F326" i="28"/>
  <c r="K325" i="28"/>
  <c r="F325" i="28"/>
  <c r="K324" i="28"/>
  <c r="F324" i="28"/>
  <c r="K323" i="28"/>
  <c r="F323" i="28"/>
  <c r="K321" i="28"/>
  <c r="D319" i="28"/>
  <c r="F317" i="28"/>
  <c r="K315" i="28"/>
  <c r="L315" i="28" s="1"/>
  <c r="F314" i="28"/>
  <c r="K313" i="28"/>
  <c r="F313" i="28"/>
  <c r="K312" i="28"/>
  <c r="F312" i="28"/>
  <c r="K311" i="28"/>
  <c r="F311" i="28"/>
  <c r="K310" i="28"/>
  <c r="K309" i="28"/>
  <c r="F309" i="28"/>
  <c r="K308" i="28"/>
  <c r="F308" i="28"/>
  <c r="K307" i="28"/>
  <c r="F307" i="28"/>
  <c r="K306" i="28"/>
  <c r="F306" i="28"/>
  <c r="K305" i="28"/>
  <c r="F305" i="28"/>
  <c r="K304" i="28"/>
  <c r="F303" i="28"/>
  <c r="F302" i="28"/>
  <c r="F301" i="28"/>
  <c r="K300" i="28"/>
  <c r="F300" i="28"/>
  <c r="K298" i="28"/>
  <c r="L298" i="28" s="1"/>
  <c r="K297" i="28"/>
  <c r="F297" i="28"/>
  <c r="K296" i="28"/>
  <c r="L296" i="28" s="1"/>
  <c r="K295" i="28"/>
  <c r="F295" i="28"/>
  <c r="K294" i="28"/>
  <c r="F294" i="28"/>
  <c r="K293" i="28"/>
  <c r="F293" i="28"/>
  <c r="F292" i="28"/>
  <c r="K287" i="28"/>
  <c r="L287" i="28" s="1"/>
  <c r="K286" i="28"/>
  <c r="F286" i="28"/>
  <c r="K284" i="28"/>
  <c r="F284" i="28"/>
  <c r="K283" i="28"/>
  <c r="L283" i="28" s="1"/>
  <c r="K282" i="28"/>
  <c r="F282" i="28"/>
  <c r="F281" i="28"/>
  <c r="F280" i="28"/>
  <c r="K279" i="28"/>
  <c r="F279" i="28"/>
  <c r="K278" i="28"/>
  <c r="F278" i="28"/>
  <c r="K277" i="28"/>
  <c r="F277" i="28"/>
  <c r="K276" i="28"/>
  <c r="F276" i="28"/>
  <c r="K275" i="28"/>
  <c r="F275" i="28"/>
  <c r="K274" i="28"/>
  <c r="F274" i="28"/>
  <c r="F273" i="28"/>
  <c r="K273" i="28" s="1"/>
  <c r="L273" i="28" s="1"/>
  <c r="K272" i="28"/>
  <c r="F272" i="28"/>
  <c r="K271" i="28"/>
  <c r="F271" i="28"/>
  <c r="K270" i="28"/>
  <c r="F270" i="28"/>
  <c r="K269" i="28"/>
  <c r="F269" i="28"/>
  <c r="K267" i="28"/>
  <c r="F267" i="28"/>
  <c r="K266" i="28"/>
  <c r="F266" i="28"/>
  <c r="K265" i="28"/>
  <c r="F265" i="28"/>
  <c r="L265" i="28" s="1"/>
  <c r="F264" i="28"/>
  <c r="L264" i="28" s="1"/>
  <c r="K263" i="28"/>
  <c r="F263" i="28"/>
  <c r="K262" i="28"/>
  <c r="F262" i="28"/>
  <c r="K261" i="28"/>
  <c r="L261" i="28" s="1"/>
  <c r="K260" i="28"/>
  <c r="F260" i="28"/>
  <c r="K259" i="28"/>
  <c r="F259" i="28"/>
  <c r="K258" i="28"/>
  <c r="F258" i="28"/>
  <c r="K257" i="28"/>
  <c r="F257" i="28"/>
  <c r="K256" i="28"/>
  <c r="F256" i="28"/>
  <c r="F255" i="28"/>
  <c r="L255" i="28" s="1"/>
  <c r="K254" i="28"/>
  <c r="F254" i="28"/>
  <c r="K253" i="28"/>
  <c r="F253" i="28"/>
  <c r="K252" i="28"/>
  <c r="F252" i="28"/>
  <c r="K242" i="28"/>
  <c r="L242" i="28" s="1"/>
  <c r="F242" i="28"/>
  <c r="K241" i="28"/>
  <c r="F241" i="28"/>
  <c r="K240" i="28"/>
  <c r="F240" i="28"/>
  <c r="K239" i="28"/>
  <c r="F239" i="28"/>
  <c r="K238" i="28"/>
  <c r="F238" i="28"/>
  <c r="K232" i="28"/>
  <c r="F232" i="28"/>
  <c r="K231" i="28"/>
  <c r="L231" i="28" s="1"/>
  <c r="E231" i="28"/>
  <c r="F230" i="28"/>
  <c r="L230" i="28" s="1"/>
  <c r="K228" i="28"/>
  <c r="F228" i="28"/>
  <c r="K226" i="28"/>
  <c r="F226" i="28"/>
  <c r="K225" i="28"/>
  <c r="F225" i="28"/>
  <c r="K224" i="28"/>
  <c r="F224" i="28"/>
  <c r="J715" i="30"/>
  <c r="F714" i="30"/>
  <c r="K714" i="30" s="1"/>
  <c r="F713" i="30"/>
  <c r="K713" i="30" s="1"/>
  <c r="J712" i="30"/>
  <c r="K712" i="30" s="1"/>
  <c r="F711" i="30"/>
  <c r="K711" i="30" s="1"/>
  <c r="F710" i="30"/>
  <c r="J709" i="30"/>
  <c r="K709" i="30" s="1"/>
  <c r="F708" i="30"/>
  <c r="K708" i="30" s="1"/>
  <c r="F707" i="30"/>
  <c r="K707" i="30" s="1"/>
  <c r="F706" i="30"/>
  <c r="K706" i="30" s="1"/>
  <c r="F700" i="30"/>
  <c r="K700" i="30" s="1"/>
  <c r="J699" i="30"/>
  <c r="F699" i="30"/>
  <c r="D698" i="30"/>
  <c r="F698" i="30" s="1"/>
  <c r="J695" i="30"/>
  <c r="K695" i="30" s="1"/>
  <c r="J693" i="30"/>
  <c r="K693" i="30" s="1"/>
  <c r="J692" i="30"/>
  <c r="K692" i="30" s="1"/>
  <c r="F690" i="30"/>
  <c r="J689" i="30"/>
  <c r="F689" i="30"/>
  <c r="F685" i="30"/>
  <c r="K685" i="30" s="1"/>
  <c r="F684" i="30"/>
  <c r="F680" i="30"/>
  <c r="F678" i="30"/>
  <c r="K678" i="30" s="1"/>
  <c r="F677" i="30"/>
  <c r="K677" i="30" s="1"/>
  <c r="F674" i="30"/>
  <c r="K674" i="30" s="1"/>
  <c r="F673" i="30"/>
  <c r="K673" i="30" s="1"/>
  <c r="F672" i="30"/>
  <c r="K672" i="30" s="1"/>
  <c r="F671" i="30"/>
  <c r="K671" i="30" s="1"/>
  <c r="F670" i="30"/>
  <c r="K670" i="30" s="1"/>
  <c r="F669" i="30"/>
  <c r="K669" i="30" s="1"/>
  <c r="J668" i="30"/>
  <c r="K668" i="30" s="1"/>
  <c r="J667" i="30"/>
  <c r="K667" i="30" s="1"/>
  <c r="J666" i="30"/>
  <c r="K666" i="30" s="1"/>
  <c r="J665" i="30"/>
  <c r="K665" i="30" s="1"/>
  <c r="J658" i="30"/>
  <c r="K658" i="30" s="1"/>
  <c r="J657" i="30"/>
  <c r="F651" i="30"/>
  <c r="K651" i="30" s="1"/>
  <c r="F648" i="30"/>
  <c r="D649" i="30" s="1"/>
  <c r="J647" i="30"/>
  <c r="F647" i="30"/>
  <c r="F645" i="30"/>
  <c r="J644" i="30"/>
  <c r="F644" i="30"/>
  <c r="J639" i="30"/>
  <c r="K639" i="30" s="1"/>
  <c r="J638" i="30"/>
  <c r="F638" i="30"/>
  <c r="J637" i="30"/>
  <c r="K637" i="30" s="1"/>
  <c r="J636" i="30"/>
  <c r="J635" i="30"/>
  <c r="F635" i="30"/>
  <c r="F634" i="30"/>
  <c r="J633" i="30"/>
  <c r="F633" i="30"/>
  <c r="K633" i="30" s="1"/>
  <c r="J632" i="30"/>
  <c r="F632" i="30"/>
  <c r="J631" i="30"/>
  <c r="F631" i="30"/>
  <c r="D629" i="30"/>
  <c r="F628" i="30"/>
  <c r="F627" i="30"/>
  <c r="F626" i="30"/>
  <c r="F625" i="30"/>
  <c r="F624" i="30"/>
  <c r="J618" i="30"/>
  <c r="K618" i="30" s="1"/>
  <c r="J617" i="30"/>
  <c r="F617" i="30"/>
  <c r="F614" i="30"/>
  <c r="F612" i="30"/>
  <c r="F611" i="30"/>
  <c r="F610" i="30"/>
  <c r="J609" i="30"/>
  <c r="F609" i="30"/>
  <c r="J608" i="30"/>
  <c r="F608" i="30"/>
  <c r="J607" i="30"/>
  <c r="F607" i="30"/>
  <c r="J605" i="30"/>
  <c r="F605" i="30"/>
  <c r="J604" i="30"/>
  <c r="F604" i="30"/>
  <c r="J602" i="30"/>
  <c r="F602" i="30"/>
  <c r="J601" i="30"/>
  <c r="K601" i="30" s="1"/>
  <c r="J600" i="30"/>
  <c r="F600" i="30"/>
  <c r="J599" i="30"/>
  <c r="K599" i="30" s="1"/>
  <c r="J598" i="30"/>
  <c r="F598" i="30"/>
  <c r="J597" i="30"/>
  <c r="K597" i="30" s="1"/>
  <c r="J594" i="30"/>
  <c r="J592" i="30"/>
  <c r="F592" i="30"/>
  <c r="K593" i="30" s="1"/>
  <c r="J591" i="30"/>
  <c r="F591" i="30"/>
  <c r="F588" i="30"/>
  <c r="F586" i="30"/>
  <c r="K586" i="30" s="1"/>
  <c r="J585" i="30"/>
  <c r="F585" i="30"/>
  <c r="J584" i="30"/>
  <c r="K584" i="30" s="1"/>
  <c r="F583" i="30"/>
  <c r="K583" i="30" s="1"/>
  <c r="J582" i="30"/>
  <c r="K582" i="30" s="1"/>
  <c r="J581" i="30"/>
  <c r="K581" i="30" s="1"/>
  <c r="J579" i="30"/>
  <c r="F579" i="30"/>
  <c r="F567" i="30"/>
  <c r="J566" i="30"/>
  <c r="F566" i="30"/>
  <c r="J564" i="30"/>
  <c r="K564" i="30" s="1"/>
  <c r="K562" i="30"/>
  <c r="J559" i="30"/>
  <c r="K559" i="30" s="1"/>
  <c r="J558" i="30"/>
  <c r="F558" i="30"/>
  <c r="J556" i="30"/>
  <c r="F556" i="30"/>
  <c r="J555" i="30"/>
  <c r="F555" i="30"/>
  <c r="F554" i="30"/>
  <c r="K554" i="30" s="1"/>
  <c r="J553" i="30"/>
  <c r="K553" i="30" s="1"/>
  <c r="F552" i="30"/>
  <c r="K552" i="30" s="1"/>
  <c r="J551" i="30"/>
  <c r="F551" i="30"/>
  <c r="J550" i="30"/>
  <c r="F550" i="30"/>
  <c r="J549" i="30"/>
  <c r="K549" i="30" s="1"/>
  <c r="J548" i="30"/>
  <c r="K548" i="30" s="1"/>
  <c r="F548" i="30"/>
  <c r="J547" i="30"/>
  <c r="K547" i="30" s="1"/>
  <c r="J546" i="30"/>
  <c r="F546" i="30"/>
  <c r="J545" i="30"/>
  <c r="F545" i="30"/>
  <c r="J544" i="30"/>
  <c r="K544" i="30" s="1"/>
  <c r="J542" i="30"/>
  <c r="F524" i="30"/>
  <c r="D522" i="30"/>
  <c r="D523" i="30" s="1"/>
  <c r="D525" i="30" s="1"/>
  <c r="F521" i="30"/>
  <c r="F520" i="30"/>
  <c r="F519" i="30"/>
  <c r="F518" i="30"/>
  <c r="F517" i="30"/>
  <c r="J516" i="30"/>
  <c r="K516" i="30" s="1"/>
  <c r="F516" i="30"/>
  <c r="J515" i="30"/>
  <c r="F515" i="30"/>
  <c r="J513" i="30"/>
  <c r="F513" i="30"/>
  <c r="F512" i="30"/>
  <c r="J511" i="30"/>
  <c r="F511" i="30"/>
  <c r="J510" i="30"/>
  <c r="F510" i="30"/>
  <c r="J508" i="30"/>
  <c r="K508" i="30" s="1"/>
  <c r="E508" i="30"/>
  <c r="F507" i="30"/>
  <c r="K507" i="30" s="1"/>
  <c r="F502" i="30"/>
  <c r="K502" i="30" s="1"/>
  <c r="J501" i="30"/>
  <c r="F501" i="30"/>
  <c r="F499" i="30"/>
  <c r="K499" i="30" s="1"/>
  <c r="J497" i="30"/>
  <c r="K497" i="30" s="1"/>
  <c r="J496" i="30"/>
  <c r="F496" i="30"/>
  <c r="J495" i="30"/>
  <c r="F495" i="30"/>
  <c r="F494" i="30"/>
  <c r="K494" i="30" s="1"/>
  <c r="J493" i="30"/>
  <c r="F493" i="30"/>
  <c r="J492" i="30"/>
  <c r="F492" i="30"/>
  <c r="J490" i="30"/>
  <c r="K490" i="30" s="1"/>
  <c r="J489" i="30"/>
  <c r="F489" i="30"/>
  <c r="J488" i="30"/>
  <c r="F488" i="30"/>
  <c r="K486" i="30"/>
  <c r="F486" i="30"/>
  <c r="J485" i="30"/>
  <c r="F485" i="30"/>
  <c r="J484" i="30"/>
  <c r="F484" i="30"/>
  <c r="J483" i="30"/>
  <c r="K483" i="30" s="1"/>
  <c r="F482" i="30"/>
  <c r="K482" i="30" s="1"/>
  <c r="F480" i="30"/>
  <c r="J479" i="30"/>
  <c r="F479" i="30"/>
  <c r="J477" i="30"/>
  <c r="F477" i="30"/>
  <c r="J476" i="30"/>
  <c r="F476" i="30"/>
  <c r="F475" i="30"/>
  <c r="J474" i="30"/>
  <c r="F474" i="30"/>
  <c r="J473" i="30"/>
  <c r="F473" i="30"/>
  <c r="K469" i="30"/>
  <c r="E463" i="30"/>
  <c r="J462" i="30"/>
  <c r="F462" i="30"/>
  <c r="J461" i="30"/>
  <c r="F461" i="30"/>
  <c r="J459" i="30"/>
  <c r="K459" i="30" s="1"/>
  <c r="J458" i="30"/>
  <c r="F458" i="30"/>
  <c r="F457" i="30"/>
  <c r="J456" i="30"/>
  <c r="F456" i="30"/>
  <c r="J455" i="30"/>
  <c r="F455" i="30"/>
  <c r="J454" i="30"/>
  <c r="F454" i="30"/>
  <c r="F448" i="30"/>
  <c r="J447" i="30"/>
  <c r="F447" i="30"/>
  <c r="J446" i="30"/>
  <c r="F446" i="30"/>
  <c r="F445" i="30"/>
  <c r="J444" i="30"/>
  <c r="F444" i="30"/>
  <c r="J443" i="30"/>
  <c r="J442" i="30"/>
  <c r="F442" i="30"/>
  <c r="F436" i="30"/>
  <c r="F435" i="30"/>
  <c r="J432" i="30"/>
  <c r="F432" i="30"/>
  <c r="J431" i="30"/>
  <c r="F431" i="30"/>
  <c r="F430" i="30"/>
  <c r="K430" i="30" s="1"/>
  <c r="J429" i="30"/>
  <c r="K429" i="30" s="1"/>
  <c r="F428" i="30"/>
  <c r="J427" i="30"/>
  <c r="F427" i="30"/>
  <c r="J426" i="30"/>
  <c r="F426" i="30"/>
  <c r="J425" i="30"/>
  <c r="K425" i="30" s="1"/>
  <c r="J424" i="30"/>
  <c r="F424" i="30"/>
  <c r="F423" i="30"/>
  <c r="J421" i="30"/>
  <c r="F421" i="30"/>
  <c r="F410" i="30"/>
  <c r="F408" i="30"/>
  <c r="F407" i="30"/>
  <c r="F406" i="30"/>
  <c r="J405" i="30"/>
  <c r="F405" i="30"/>
  <c r="J404" i="30"/>
  <c r="F404" i="30"/>
  <c r="J403" i="30"/>
  <c r="F403" i="30"/>
  <c r="J402" i="30"/>
  <c r="F402" i="30"/>
  <c r="F400" i="30"/>
  <c r="J399" i="30"/>
  <c r="F399" i="30"/>
  <c r="K396" i="30"/>
  <c r="F391" i="30"/>
  <c r="K391" i="30" s="1"/>
  <c r="F390" i="30"/>
  <c r="J389" i="30"/>
  <c r="F389" i="30"/>
  <c r="J388" i="30"/>
  <c r="F388" i="30"/>
  <c r="J387" i="30"/>
  <c r="F387" i="30"/>
  <c r="J386" i="30"/>
  <c r="F386" i="30"/>
  <c r="J383" i="30"/>
  <c r="F383" i="30"/>
  <c r="F382" i="30"/>
  <c r="J381" i="30"/>
  <c r="F381" i="30"/>
  <c r="J380" i="30"/>
  <c r="F380" i="30"/>
  <c r="F379" i="30"/>
  <c r="K379" i="30" s="1"/>
  <c r="F377" i="30"/>
  <c r="K377" i="30" s="1"/>
  <c r="F375" i="30"/>
  <c r="K375" i="30" s="1"/>
  <c r="K373" i="30"/>
  <c r="F372" i="30"/>
  <c r="K372" i="30" s="1"/>
  <c r="K371" i="30"/>
  <c r="F370" i="30"/>
  <c r="K370" i="30" s="1"/>
  <c r="F369" i="30"/>
  <c r="K369" i="30" s="1"/>
  <c r="F368" i="30"/>
  <c r="K368" i="30" s="1"/>
  <c r="F367" i="30"/>
  <c r="K367" i="30" s="1"/>
  <c r="F366" i="30"/>
  <c r="J365" i="30"/>
  <c r="F365" i="30"/>
  <c r="J364" i="30"/>
  <c r="F364" i="30"/>
  <c r="J363" i="30"/>
  <c r="F363" i="30"/>
  <c r="J362" i="30"/>
  <c r="F362" i="30"/>
  <c r="J361" i="30"/>
  <c r="F361" i="30"/>
  <c r="J360" i="30"/>
  <c r="K360" i="30" s="1"/>
  <c r="J357" i="30"/>
  <c r="F357" i="30"/>
  <c r="J356" i="30"/>
  <c r="K356" i="30" s="1"/>
  <c r="J355" i="30"/>
  <c r="F355" i="30"/>
  <c r="J354" i="30"/>
  <c r="F354" i="30"/>
  <c r="J353" i="30"/>
  <c r="F353" i="30"/>
  <c r="J349" i="30"/>
  <c r="F349" i="30"/>
  <c r="J348" i="30"/>
  <c r="F348" i="30"/>
  <c r="J347" i="30"/>
  <c r="F347" i="30"/>
  <c r="F346" i="30"/>
  <c r="K346" i="30" s="1"/>
  <c r="J345" i="30"/>
  <c r="F345" i="30"/>
  <c r="J344" i="30"/>
  <c r="F344" i="30"/>
  <c r="F341" i="30"/>
  <c r="K341" i="30" s="1"/>
  <c r="J340" i="30"/>
  <c r="F340" i="30"/>
  <c r="J339" i="30"/>
  <c r="F339" i="30"/>
  <c r="F338" i="30"/>
  <c r="K338" i="30" s="1"/>
  <c r="J336" i="30"/>
  <c r="F336" i="30"/>
  <c r="J335" i="30"/>
  <c r="F335" i="30"/>
  <c r="J334" i="30"/>
  <c r="F334" i="30"/>
  <c r="J331" i="30"/>
  <c r="F331" i="30"/>
  <c r="J330" i="30"/>
  <c r="F330" i="30"/>
  <c r="J329" i="30"/>
  <c r="K329" i="30" s="1"/>
  <c r="J328" i="30"/>
  <c r="F328" i="30"/>
  <c r="J327" i="30"/>
  <c r="F327" i="30"/>
  <c r="J326" i="30"/>
  <c r="F326" i="30"/>
  <c r="J325" i="30"/>
  <c r="F325" i="30"/>
  <c r="J323" i="30"/>
  <c r="F323" i="30"/>
  <c r="F322" i="30"/>
  <c r="J321" i="30"/>
  <c r="F321" i="30"/>
  <c r="J320" i="30"/>
  <c r="F320" i="30"/>
  <c r="J319" i="30"/>
  <c r="F319" i="30"/>
  <c r="J318" i="30"/>
  <c r="F318" i="30"/>
  <c r="J317" i="30"/>
  <c r="F317" i="30"/>
  <c r="J316" i="30"/>
  <c r="F316" i="30"/>
  <c r="J315" i="30"/>
  <c r="K315" i="30" s="1"/>
  <c r="F314" i="30"/>
  <c r="J313" i="30"/>
  <c r="F313" i="30"/>
  <c r="J312" i="30"/>
  <c r="K312" i="30" s="1"/>
  <c r="J311" i="30"/>
  <c r="F311" i="30"/>
  <c r="J309" i="30"/>
  <c r="F309" i="30"/>
  <c r="J308" i="30"/>
  <c r="F308" i="30"/>
  <c r="J307" i="30"/>
  <c r="F307" i="30"/>
  <c r="J306" i="30"/>
  <c r="F306" i="30"/>
  <c r="J305" i="30"/>
  <c r="F305" i="30"/>
  <c r="K298" i="30"/>
  <c r="F296" i="30"/>
  <c r="J295" i="30"/>
  <c r="F295" i="30"/>
  <c r="J294" i="30"/>
  <c r="F294" i="30"/>
  <c r="J293" i="30"/>
  <c r="F293" i="30"/>
  <c r="F292" i="30"/>
  <c r="K292" i="30" s="1"/>
  <c r="J291" i="30"/>
  <c r="F291" i="30"/>
  <c r="J290" i="30"/>
  <c r="F290" i="30"/>
  <c r="J289" i="30"/>
  <c r="F289" i="30"/>
  <c r="J288" i="30"/>
  <c r="F288" i="30"/>
  <c r="F286" i="30"/>
  <c r="K286" i="30" s="1"/>
  <c r="J285" i="30"/>
  <c r="F285" i="30"/>
  <c r="K284" i="30"/>
  <c r="J283" i="30"/>
  <c r="F283" i="30"/>
  <c r="J282" i="30"/>
  <c r="K282" i="30" s="1"/>
  <c r="J281" i="30"/>
  <c r="F281" i="30"/>
  <c r="J280" i="30"/>
  <c r="F280" i="30"/>
  <c r="J279" i="30"/>
  <c r="F279" i="30"/>
  <c r="F274" i="30"/>
  <c r="J273" i="30"/>
  <c r="F273" i="30"/>
  <c r="J271" i="30"/>
  <c r="F271" i="30"/>
  <c r="J270" i="30"/>
  <c r="K270" i="30" s="1"/>
  <c r="J269" i="30"/>
  <c r="F269" i="30"/>
  <c r="F268" i="30"/>
  <c r="K268" i="30" s="1"/>
  <c r="J267" i="30"/>
  <c r="F267" i="30"/>
  <c r="J266" i="30"/>
  <c r="F266" i="30"/>
  <c r="J265" i="30"/>
  <c r="F265" i="30"/>
  <c r="J264" i="30"/>
  <c r="F264" i="30"/>
  <c r="J263" i="30"/>
  <c r="F263" i="30"/>
  <c r="F262" i="30"/>
  <c r="J262" i="30" s="1"/>
  <c r="K262" i="30" s="1"/>
  <c r="J261" i="30"/>
  <c r="F261" i="30"/>
  <c r="J259" i="30"/>
  <c r="F259" i="30"/>
  <c r="J258" i="30"/>
  <c r="F258" i="30"/>
  <c r="J257" i="30"/>
  <c r="F257" i="30"/>
  <c r="J255" i="30"/>
  <c r="F255" i="30"/>
  <c r="F254" i="30"/>
  <c r="K254" i="30" s="1"/>
  <c r="F253" i="30"/>
  <c r="K253" i="30" s="1"/>
  <c r="F252" i="30"/>
  <c r="K252" i="30" s="1"/>
  <c r="F251" i="30"/>
  <c r="K251" i="30" s="1"/>
  <c r="F250" i="30"/>
  <c r="K250" i="30" s="1"/>
  <c r="K249" i="30"/>
  <c r="F248" i="30"/>
  <c r="K248" i="30" s="1"/>
  <c r="F247" i="30"/>
  <c r="K247" i="30" s="1"/>
  <c r="F246" i="30"/>
  <c r="K246" i="30" s="1"/>
  <c r="F245" i="30"/>
  <c r="K245" i="30" s="1"/>
  <c r="F241" i="30"/>
  <c r="K241" i="30" s="1"/>
  <c r="F240" i="30"/>
  <c r="K240" i="30" s="1"/>
  <c r="J239" i="30"/>
  <c r="F239" i="30"/>
  <c r="J238" i="30"/>
  <c r="F238" i="30"/>
  <c r="J237" i="30"/>
  <c r="F237" i="30"/>
  <c r="K227" i="30"/>
  <c r="F227" i="30"/>
  <c r="J226" i="30"/>
  <c r="F226" i="30"/>
  <c r="J225" i="30"/>
  <c r="F225" i="30"/>
  <c r="J224" i="30"/>
  <c r="F224" i="30"/>
  <c r="J223" i="30"/>
  <c r="F223" i="30"/>
  <c r="F217" i="30"/>
  <c r="K217" i="30" s="1"/>
  <c r="J213" i="30"/>
  <c r="K213" i="30" s="1"/>
  <c r="E213" i="30"/>
  <c r="F212" i="30"/>
  <c r="K212" i="30" s="1"/>
  <c r="J210" i="30"/>
  <c r="F210" i="30"/>
  <c r="J209" i="30"/>
  <c r="F209" i="30"/>
  <c r="J208" i="30"/>
  <c r="F208" i="30"/>
  <c r="J206" i="30"/>
  <c r="F206" i="30"/>
  <c r="J205" i="30"/>
  <c r="F205" i="30"/>
  <c r="F204" i="30"/>
  <c r="K204" i="30" s="1"/>
  <c r="J203" i="30"/>
  <c r="F203" i="30"/>
  <c r="J202" i="30"/>
  <c r="F202" i="30"/>
  <c r="J200" i="30"/>
  <c r="F200" i="30"/>
  <c r="J199" i="30"/>
  <c r="F199" i="30"/>
  <c r="J198" i="30"/>
  <c r="K198" i="30" s="1"/>
  <c r="J197" i="30"/>
  <c r="F197" i="30"/>
  <c r="F190" i="30"/>
  <c r="J189" i="30"/>
  <c r="F189" i="30"/>
  <c r="J188" i="30"/>
  <c r="F188" i="30"/>
  <c r="J186" i="30"/>
  <c r="K186" i="30" s="1"/>
  <c r="J185" i="30"/>
  <c r="F185" i="30"/>
  <c r="J184" i="30"/>
  <c r="K184" i="30" s="1"/>
  <c r="J183" i="30"/>
  <c r="F183" i="30"/>
  <c r="J182" i="30"/>
  <c r="F182" i="30"/>
  <c r="F181" i="30"/>
  <c r="J180" i="30"/>
  <c r="F180" i="30"/>
  <c r="J178" i="30"/>
  <c r="F178" i="30"/>
  <c r="J177" i="30"/>
  <c r="K177" i="30" s="1"/>
  <c r="J176" i="30"/>
  <c r="F176" i="30"/>
  <c r="F173" i="30"/>
  <c r="K173" i="30" s="1"/>
  <c r="J172" i="30"/>
  <c r="K172" i="30" s="1"/>
  <c r="F170" i="30"/>
  <c r="J170" i="30" s="1"/>
  <c r="K170" i="30" s="1"/>
  <c r="J168" i="30"/>
  <c r="F168" i="30"/>
  <c r="J167" i="30"/>
  <c r="F167" i="30"/>
  <c r="F163" i="30"/>
  <c r="K163" i="30" s="1"/>
  <c r="J162" i="30"/>
  <c r="K162" i="30" s="1"/>
  <c r="J161" i="30"/>
  <c r="K161" i="30" s="1"/>
  <c r="J160" i="30"/>
  <c r="K160" i="30" s="1"/>
  <c r="K159" i="30"/>
  <c r="J158" i="30"/>
  <c r="K158" i="30" s="1"/>
  <c r="K155" i="30"/>
  <c r="J154" i="30"/>
  <c r="K154" i="30" s="1"/>
  <c r="E148" i="30"/>
  <c r="J147" i="30"/>
  <c r="K147" i="30" s="1"/>
  <c r="J145" i="30"/>
  <c r="F145" i="30"/>
  <c r="J143" i="30"/>
  <c r="F143" i="30"/>
  <c r="F142" i="30"/>
  <c r="J140" i="30"/>
  <c r="K140" i="30" s="1"/>
  <c r="J139" i="30"/>
  <c r="K139" i="30" s="1"/>
  <c r="E139" i="30"/>
  <c r="J137" i="30"/>
  <c r="F137" i="30"/>
  <c r="E135" i="30"/>
  <c r="J134" i="30"/>
  <c r="F134" i="30"/>
  <c r="J133" i="30"/>
  <c r="F133" i="30"/>
  <c r="J132" i="30"/>
  <c r="F132" i="30"/>
  <c r="J131" i="30"/>
  <c r="F131" i="30"/>
  <c r="J130" i="30"/>
  <c r="K130" i="30" s="1"/>
  <c r="J129" i="30"/>
  <c r="F129" i="30"/>
  <c r="J128" i="30"/>
  <c r="F128" i="30"/>
  <c r="F127" i="30"/>
  <c r="J126" i="30"/>
  <c r="F126" i="30"/>
  <c r="J124" i="30"/>
  <c r="F124" i="30"/>
  <c r="J123" i="30"/>
  <c r="F123" i="30"/>
  <c r="J122" i="30"/>
  <c r="F122" i="30"/>
  <c r="J121" i="30"/>
  <c r="F121" i="30"/>
  <c r="J119" i="30"/>
  <c r="F119" i="30"/>
  <c r="F117" i="30"/>
  <c r="K117" i="30" s="1"/>
  <c r="F115" i="30"/>
  <c r="J114" i="30"/>
  <c r="K114" i="30" s="1"/>
  <c r="E114" i="30"/>
  <c r="F112" i="30"/>
  <c r="K111" i="30"/>
  <c r="J110" i="30"/>
  <c r="F110" i="30"/>
  <c r="J107" i="30"/>
  <c r="F107" i="30"/>
  <c r="J106" i="30"/>
  <c r="F106" i="30"/>
  <c r="J105" i="30"/>
  <c r="F105" i="30"/>
  <c r="J104" i="30"/>
  <c r="F104" i="30"/>
  <c r="F102" i="30"/>
  <c r="F101" i="30"/>
  <c r="J100" i="30"/>
  <c r="K100" i="30" s="1"/>
  <c r="F98" i="30"/>
  <c r="D97" i="30" s="1"/>
  <c r="F97" i="30" s="1"/>
  <c r="F87" i="30"/>
  <c r="D86" i="30"/>
  <c r="J85" i="30"/>
  <c r="J83" i="30"/>
  <c r="K83" i="30" s="1"/>
  <c r="J80" i="30"/>
  <c r="F80" i="30"/>
  <c r="F77" i="30"/>
  <c r="F76" i="30"/>
  <c r="K76" i="30" s="1"/>
  <c r="E75" i="30"/>
  <c r="F72" i="30"/>
  <c r="J71" i="30"/>
  <c r="F71" i="30"/>
  <c r="F70" i="30"/>
  <c r="K70" i="30" s="1"/>
  <c r="J69" i="30"/>
  <c r="F69" i="30"/>
  <c r="F64" i="30"/>
  <c r="K64" i="30" s="1"/>
  <c r="F62" i="30"/>
  <c r="K62" i="30" s="1"/>
  <c r="F61" i="30"/>
  <c r="K61" i="30" s="1"/>
  <c r="F60" i="30"/>
  <c r="J59" i="30"/>
  <c r="F59" i="30"/>
  <c r="K58" i="30"/>
  <c r="J57" i="30"/>
  <c r="F57" i="30"/>
  <c r="K56" i="30"/>
  <c r="K55" i="30"/>
  <c r="J54" i="30"/>
  <c r="F54" i="30"/>
  <c r="F53" i="30"/>
  <c r="K53" i="30" s="1"/>
  <c r="F52" i="30"/>
  <c r="K52" i="30" s="1"/>
  <c r="J51" i="30"/>
  <c r="F51" i="30"/>
  <c r="J50" i="30"/>
  <c r="K50" i="30" s="1"/>
  <c r="F46" i="30"/>
  <c r="J45" i="30"/>
  <c r="F45" i="30"/>
  <c r="J44" i="30"/>
  <c r="F44" i="30"/>
  <c r="J43" i="30"/>
  <c r="F43" i="30"/>
  <c r="J42" i="30"/>
  <c r="F42" i="30"/>
  <c r="J41" i="30"/>
  <c r="F41" i="30"/>
  <c r="J40" i="30"/>
  <c r="F40" i="30"/>
  <c r="F35" i="30"/>
  <c r="F34" i="30"/>
  <c r="K33" i="30"/>
  <c r="J31" i="30"/>
  <c r="F31" i="30"/>
  <c r="K31" i="30" s="1"/>
  <c r="J30" i="30"/>
  <c r="F30" i="30"/>
  <c r="F29" i="30"/>
  <c r="J25" i="30"/>
  <c r="F25" i="30"/>
  <c r="J24" i="30"/>
  <c r="F24" i="30"/>
  <c r="J23" i="30"/>
  <c r="F23" i="30"/>
  <c r="J22" i="30"/>
  <c r="F22" i="30"/>
  <c r="J21" i="30"/>
  <c r="F21" i="30"/>
  <c r="F20" i="30"/>
  <c r="F19" i="30"/>
  <c r="J17" i="30"/>
  <c r="K17" i="30" s="1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K9" i="30" s="1"/>
  <c r="J5" i="30"/>
  <c r="K5" i="30" s="1"/>
  <c r="J4" i="30"/>
  <c r="K4" i="30" s="1"/>
  <c r="J3" i="30"/>
  <c r="F3" i="30"/>
  <c r="F2" i="30"/>
  <c r="K577" i="28"/>
  <c r="F577" i="28"/>
  <c r="K619" i="28"/>
  <c r="K73" i="28"/>
  <c r="K698" i="28"/>
  <c r="L336" i="28" l="1"/>
  <c r="L387" i="28"/>
  <c r="L334" i="28"/>
  <c r="L253" i="28"/>
  <c r="L312" i="28"/>
  <c r="L347" i="28"/>
  <c r="L364" i="28"/>
  <c r="L366" i="28"/>
  <c r="L400" i="28"/>
  <c r="L224" i="28"/>
  <c r="L226" i="28"/>
  <c r="L259" i="28"/>
  <c r="L269" i="28"/>
  <c r="L271" i="28"/>
  <c r="L286" i="28"/>
  <c r="L293" i="28"/>
  <c r="L393" i="28"/>
  <c r="L238" i="28"/>
  <c r="K203" i="30"/>
  <c r="L240" i="28"/>
  <c r="L385" i="28"/>
  <c r="L327" i="28"/>
  <c r="K689" i="30"/>
  <c r="K19" i="30"/>
  <c r="K435" i="30"/>
  <c r="L395" i="28"/>
  <c r="L258" i="28"/>
  <c r="L270" i="28"/>
  <c r="L272" i="28"/>
  <c r="L294" i="28"/>
  <c r="L394" i="28"/>
  <c r="L232" i="28"/>
  <c r="L241" i="28"/>
  <c r="L297" i="28"/>
  <c r="L335" i="28"/>
  <c r="L344" i="28"/>
  <c r="L346" i="28"/>
  <c r="L355" i="28"/>
  <c r="L357" i="28"/>
  <c r="L372" i="28"/>
  <c r="L388" i="28"/>
  <c r="L399" i="28"/>
  <c r="K680" i="30"/>
  <c r="K566" i="30"/>
  <c r="L256" i="28"/>
  <c r="L277" i="28"/>
  <c r="L282" i="28"/>
  <c r="L284" i="28"/>
  <c r="L300" i="28"/>
  <c r="L323" i="28"/>
  <c r="L325" i="28"/>
  <c r="L351" i="28"/>
  <c r="L353" i="28"/>
  <c r="L370" i="28"/>
  <c r="L333" i="28"/>
  <c r="L257" i="28"/>
  <c r="L278" i="28"/>
  <c r="L305" i="28"/>
  <c r="L311" i="28"/>
  <c r="L324" i="28"/>
  <c r="L326" i="28"/>
  <c r="L330" i="28"/>
  <c r="L376" i="28"/>
  <c r="K51" i="30"/>
  <c r="K54" i="30"/>
  <c r="K104" i="30"/>
  <c r="K128" i="30"/>
  <c r="K178" i="30"/>
  <c r="K206" i="30"/>
  <c r="K209" i="30"/>
  <c r="K238" i="30"/>
  <c r="K255" i="30"/>
  <c r="K261" i="30"/>
  <c r="K313" i="30"/>
  <c r="K345" i="30"/>
  <c r="K57" i="30"/>
  <c r="K266" i="30"/>
  <c r="K257" i="30"/>
  <c r="K259" i="30"/>
  <c r="K354" i="30"/>
  <c r="K365" i="30"/>
  <c r="K290" i="30"/>
  <c r="K308" i="30"/>
  <c r="K318" i="30"/>
  <c r="K558" i="30"/>
  <c r="K592" i="30"/>
  <c r="K458" i="30"/>
  <c r="K269" i="30"/>
  <c r="K10" i="30"/>
  <c r="K265" i="30"/>
  <c r="K461" i="30"/>
  <c r="K656" i="30"/>
  <c r="K280" i="30"/>
  <c r="K657" i="30"/>
  <c r="K131" i="30"/>
  <c r="K133" i="30"/>
  <c r="K305" i="30"/>
  <c r="K307" i="30"/>
  <c r="K317" i="30"/>
  <c r="K321" i="30"/>
  <c r="K335" i="30"/>
  <c r="F411" i="30"/>
  <c r="K411" i="30" s="1"/>
  <c r="K454" i="30"/>
  <c r="K546" i="30"/>
  <c r="K551" i="30"/>
  <c r="K598" i="30"/>
  <c r="K485" i="30"/>
  <c r="K496" i="30"/>
  <c r="K605" i="30"/>
  <c r="K477" i="30"/>
  <c r="K634" i="30"/>
  <c r="K281" i="30"/>
  <c r="K443" i="30"/>
  <c r="K11" i="30"/>
  <c r="K126" i="30"/>
  <c r="K311" i="30"/>
  <c r="K320" i="30"/>
  <c r="K330" i="30"/>
  <c r="K334" i="30"/>
  <c r="K426" i="30"/>
  <c r="K21" i="30"/>
  <c r="K291" i="30"/>
  <c r="K331" i="30"/>
  <c r="K85" i="30"/>
  <c r="K101" i="30"/>
  <c r="K210" i="30"/>
  <c r="K224" i="30"/>
  <c r="K271" i="30"/>
  <c r="K306" i="30"/>
  <c r="K314" i="30"/>
  <c r="K323" i="30"/>
  <c r="K326" i="30"/>
  <c r="K328" i="30"/>
  <c r="K340" i="30"/>
  <c r="K344" i="30"/>
  <c r="K353" i="30"/>
  <c r="K362" i="30"/>
  <c r="K387" i="30"/>
  <c r="K446" i="30"/>
  <c r="K542" i="30"/>
  <c r="K555" i="30"/>
  <c r="K607" i="30"/>
  <c r="K348" i="30"/>
  <c r="K361" i="30"/>
  <c r="K22" i="30"/>
  <c r="K24" i="30"/>
  <c r="K225" i="30"/>
  <c r="K357" i="30"/>
  <c r="K364" i="30"/>
  <c r="K386" i="30"/>
  <c r="K591" i="30"/>
  <c r="K267" i="30"/>
  <c r="K289" i="30"/>
  <c r="K293" i="30"/>
  <c r="K325" i="30"/>
  <c r="K480" i="30"/>
  <c r="K510" i="30"/>
  <c r="K609" i="30"/>
  <c r="K611" i="30"/>
  <c r="K294" i="30"/>
  <c r="K489" i="30"/>
  <c r="K515" i="30"/>
  <c r="K424" i="30"/>
  <c r="K421" i="30"/>
  <c r="K381" i="30"/>
  <c r="K511" i="30"/>
  <c r="K600" i="30"/>
  <c r="K602" i="30"/>
  <c r="K617" i="30"/>
  <c r="K25" i="30"/>
  <c r="K59" i="30"/>
  <c r="K3" i="30"/>
  <c r="K15" i="30"/>
  <c r="K41" i="30"/>
  <c r="K2" i="30"/>
  <c r="K12" i="30"/>
  <c r="K14" i="30"/>
  <c r="K34" i="30"/>
  <c r="K40" i="30"/>
  <c r="K42" i="30"/>
  <c r="K44" i="30"/>
  <c r="K80" i="30"/>
  <c r="K122" i="30"/>
  <c r="K167" i="30"/>
  <c r="K223" i="30"/>
  <c r="K226" i="30"/>
  <c r="K237" i="30"/>
  <c r="K264" i="30"/>
  <c r="K349" i="30"/>
  <c r="K355" i="30"/>
  <c r="K473" i="30"/>
  <c r="K556" i="30"/>
  <c r="K579" i="30"/>
  <c r="K610" i="30"/>
  <c r="K614" i="30"/>
  <c r="K631" i="30"/>
  <c r="K400" i="30"/>
  <c r="K402" i="30"/>
  <c r="K404" i="30"/>
  <c r="K456" i="30"/>
  <c r="K399" i="30"/>
  <c r="K389" i="30"/>
  <c r="K431" i="30"/>
  <c r="K442" i="30"/>
  <c r="K492" i="30"/>
  <c r="F629" i="30"/>
  <c r="K629" i="30" s="1"/>
  <c r="K28" i="30"/>
  <c r="K119" i="30"/>
  <c r="K129" i="30"/>
  <c r="K137" i="30"/>
  <c r="K145" i="30"/>
  <c r="K188" i="30"/>
  <c r="K199" i="30"/>
  <c r="K202" i="30"/>
  <c r="K239" i="30"/>
  <c r="K279" i="30"/>
  <c r="K288" i="30"/>
  <c r="K309" i="30"/>
  <c r="K316" i="30"/>
  <c r="K319" i="30"/>
  <c r="K327" i="30"/>
  <c r="K336" i="30"/>
  <c r="K339" i="30"/>
  <c r="K380" i="30"/>
  <c r="K403" i="30"/>
  <c r="K444" i="30"/>
  <c r="K455" i="30"/>
  <c r="K462" i="30"/>
  <c r="K476" i="30"/>
  <c r="K495" i="30"/>
  <c r="K501" i="30"/>
  <c r="K513" i="30"/>
  <c r="K545" i="30"/>
  <c r="K635" i="30"/>
  <c r="K30" i="30"/>
  <c r="K43" i="30"/>
  <c r="K105" i="30"/>
  <c r="K121" i="30"/>
  <c r="K134" i="30"/>
  <c r="K168" i="30"/>
  <c r="K183" i="30"/>
  <c r="K185" i="30"/>
  <c r="K205" i="30"/>
  <c r="K208" i="30"/>
  <c r="K258" i="30"/>
  <c r="K263" i="30"/>
  <c r="K273" i="30"/>
  <c r="K283" i="30"/>
  <c r="K285" i="30"/>
  <c r="K295" i="30"/>
  <c r="K347" i="30"/>
  <c r="K363" i="30"/>
  <c r="K383" i="30"/>
  <c r="K388" i="30"/>
  <c r="K405" i="30"/>
  <c r="K427" i="30"/>
  <c r="K432" i="30"/>
  <c r="K447" i="30"/>
  <c r="K474" i="30"/>
  <c r="K479" i="30"/>
  <c r="K484" i="30"/>
  <c r="K488" i="30"/>
  <c r="K493" i="30"/>
  <c r="K550" i="30"/>
  <c r="K585" i="30"/>
  <c r="K604" i="30"/>
  <c r="K608" i="30"/>
  <c r="K632" i="30"/>
  <c r="K638" i="30"/>
  <c r="K644" i="30"/>
  <c r="K647" i="30"/>
  <c r="L263" i="28"/>
  <c r="L267" i="28"/>
  <c r="L274" i="28"/>
  <c r="L276" i="28"/>
  <c r="L307" i="28"/>
  <c r="L310" i="28"/>
  <c r="L328" i="28"/>
  <c r="L338" i="28"/>
  <c r="L343" i="28"/>
  <c r="L349" i="28"/>
  <c r="L352" i="28"/>
  <c r="L365" i="28"/>
  <c r="L368" i="28"/>
  <c r="L374" i="28"/>
  <c r="L377" i="28"/>
  <c r="L383" i="28"/>
  <c r="L391" i="28"/>
  <c r="L397" i="28"/>
  <c r="L313" i="28"/>
  <c r="L341" i="28"/>
  <c r="L378" i="28"/>
  <c r="L389" i="28"/>
  <c r="L225" i="28"/>
  <c r="L228" i="28"/>
  <c r="L239" i="28"/>
  <c r="L252" i="28"/>
  <c r="L254" i="28"/>
  <c r="L260" i="28"/>
  <c r="L262" i="28"/>
  <c r="L266" i="28"/>
  <c r="L275" i="28"/>
  <c r="L279" i="28"/>
  <c r="L295" i="28"/>
  <c r="L306" i="28"/>
  <c r="L308" i="28"/>
  <c r="L309" i="28"/>
  <c r="L331" i="28"/>
  <c r="L337" i="28"/>
  <c r="L339" i="28"/>
  <c r="L350" i="28"/>
  <c r="L360" i="28"/>
  <c r="L363" i="28"/>
  <c r="L369" i="28"/>
  <c r="L375" i="28"/>
  <c r="L381" i="28"/>
  <c r="L390" i="28"/>
  <c r="L396" i="28"/>
  <c r="F522" i="30"/>
  <c r="F523" i="30" s="1"/>
  <c r="K71" i="30"/>
  <c r="K115" i="30"/>
  <c r="K124" i="30"/>
  <c r="K197" i="30"/>
  <c r="K45" i="30"/>
  <c r="K69" i="30"/>
  <c r="K123" i="30"/>
  <c r="K13" i="30"/>
  <c r="K23" i="30"/>
  <c r="K35" i="30"/>
  <c r="K106" i="30"/>
  <c r="K110" i="30"/>
  <c r="K112" i="30"/>
  <c r="K132" i="30"/>
  <c r="K180" i="30"/>
  <c r="K143" i="30"/>
  <c r="K176" i="30"/>
  <c r="K182" i="30"/>
  <c r="K189" i="30"/>
  <c r="K200" i="30"/>
  <c r="L577" i="28"/>
  <c r="F554" i="28"/>
  <c r="F553" i="28"/>
  <c r="F420" i="28"/>
  <c r="F525" i="30" l="1"/>
  <c r="K517" i="30" s="1"/>
  <c r="K469" i="28"/>
  <c r="L469" i="28" s="1"/>
  <c r="K174" i="28"/>
  <c r="K50" i="28"/>
  <c r="K79" i="28"/>
  <c r="K678" i="28"/>
  <c r="K201" i="28"/>
  <c r="L201" i="28" s="1"/>
  <c r="D466" i="28"/>
  <c r="E466" i="28" s="1"/>
  <c r="K716" i="28"/>
  <c r="K555" i="28"/>
  <c r="K76" i="28"/>
  <c r="F715" i="28"/>
  <c r="F714" i="28"/>
  <c r="F152" i="28"/>
  <c r="D522" i="28"/>
  <c r="F522" i="28" s="1"/>
  <c r="F524" i="28"/>
  <c r="D655" i="28"/>
  <c r="K177" i="28"/>
  <c r="D523" i="28" l="1"/>
  <c r="D525" i="28" s="1"/>
  <c r="F173" i="28"/>
  <c r="F172" i="28"/>
  <c r="F604" i="28"/>
  <c r="F530" i="28" l="1"/>
  <c r="K713" i="28" l="1"/>
  <c r="F712" i="28"/>
  <c r="K485" i="28"/>
  <c r="K60" i="28" l="1"/>
  <c r="K462" i="28"/>
  <c r="L462" i="28" s="1"/>
  <c r="K527" i="28"/>
  <c r="K478" i="28"/>
  <c r="K72" i="28"/>
  <c r="K633" i="28"/>
  <c r="F58" i="28"/>
  <c r="L58" i="28" s="1"/>
  <c r="F57" i="28"/>
  <c r="L57" i="28" s="1"/>
  <c r="F711" i="28"/>
  <c r="K95" i="28"/>
  <c r="K101" i="28"/>
  <c r="K205" i="28"/>
  <c r="K600" i="28"/>
  <c r="K45" i="28"/>
  <c r="K215" i="28"/>
  <c r="K704" i="28"/>
  <c r="L704" i="28" s="1"/>
  <c r="K710" i="28"/>
  <c r="L710" i="28" s="1"/>
  <c r="F709" i="28"/>
  <c r="F708" i="28"/>
  <c r="F707" i="28"/>
  <c r="F632" i="28"/>
  <c r="G630" i="28" s="1"/>
  <c r="K624" i="28" l="1"/>
  <c r="K609" i="28"/>
  <c r="L608" i="28" s="1"/>
  <c r="K706" i="28"/>
  <c r="F12" i="28"/>
  <c r="K461" i="28"/>
  <c r="F600" i="28"/>
  <c r="L36" i="28"/>
  <c r="K35" i="28"/>
  <c r="F35" i="28"/>
  <c r="K48" i="28"/>
  <c r="F49" i="28"/>
  <c r="K685" i="28"/>
  <c r="K443" i="28"/>
  <c r="K110" i="28"/>
  <c r="K487" i="28"/>
  <c r="K500" i="28"/>
  <c r="L35" i="28" l="1"/>
  <c r="F423" i="28" l="1"/>
  <c r="F699" i="28"/>
  <c r="K657" i="28" l="1"/>
  <c r="F545" i="28"/>
  <c r="K32" i="28"/>
  <c r="F566" i="20"/>
  <c r="F698" i="28"/>
  <c r="F46" i="28"/>
  <c r="F180" i="28"/>
  <c r="K656" i="28"/>
  <c r="K120" i="28"/>
  <c r="K510" i="28" l="1"/>
  <c r="K523" i="28"/>
  <c r="K145" i="28"/>
  <c r="L145" i="28" s="1"/>
  <c r="K553" i="28"/>
  <c r="K454" i="28"/>
  <c r="K71" i="28"/>
  <c r="L457" i="28"/>
  <c r="K457" i="28"/>
  <c r="K611" i="28"/>
  <c r="K43" i="28"/>
  <c r="L43" i="28" s="1"/>
  <c r="D697" i="28"/>
  <c r="K86" i="28"/>
  <c r="K448" i="28"/>
  <c r="K438" i="28"/>
  <c r="K156" i="28"/>
  <c r="G158" i="28"/>
  <c r="K450" i="28"/>
  <c r="L689" i="28" l="1"/>
  <c r="K689" i="28"/>
  <c r="K484" i="28"/>
  <c r="L484" i="28" s="1"/>
  <c r="K634" i="28"/>
  <c r="K433" i="28"/>
  <c r="K219" i="28"/>
  <c r="F620" i="28"/>
  <c r="L429" i="20"/>
  <c r="F430" i="20"/>
  <c r="F444" i="28"/>
  <c r="K622" i="28"/>
  <c r="K2" i="28"/>
  <c r="K499" i="28"/>
  <c r="F40" i="28"/>
  <c r="K694" i="28" l="1"/>
  <c r="L694" i="28" s="1"/>
  <c r="K693" i="28"/>
  <c r="L693" i="28" s="1"/>
  <c r="K692" i="28"/>
  <c r="L692" i="28" s="1"/>
  <c r="K594" i="28"/>
  <c r="K494" i="28"/>
  <c r="K415" i="28"/>
  <c r="D435" i="28" l="1"/>
  <c r="F435" i="28" s="1"/>
  <c r="K59" i="28" l="1"/>
  <c r="F685" i="28"/>
  <c r="L685" i="28" s="1"/>
  <c r="F684" i="28"/>
  <c r="F680" i="28"/>
  <c r="F410" i="28"/>
  <c r="L410" i="28" s="1"/>
  <c r="F85" i="28"/>
  <c r="F690" i="28"/>
  <c r="F628" i="28"/>
  <c r="F689" i="28"/>
  <c r="K687" i="28" l="1"/>
  <c r="K680" i="28"/>
  <c r="K538" i="28"/>
  <c r="K596" i="28"/>
  <c r="K543" i="28"/>
  <c r="F543" i="28"/>
  <c r="K194" i="28"/>
  <c r="L194" i="28" s="1"/>
  <c r="K212" i="28"/>
  <c r="F496" i="28"/>
  <c r="F175" i="28"/>
  <c r="F677" i="28"/>
  <c r="K506" i="28" l="1"/>
  <c r="F508" i="28"/>
  <c r="K84" i="28"/>
  <c r="K569" i="28" l="1"/>
  <c r="L569" i="28" s="1"/>
  <c r="F676" i="28"/>
  <c r="K512" i="28"/>
  <c r="F409" i="3"/>
  <c r="F470" i="20"/>
  <c r="F482" i="28"/>
  <c r="L450" i="28"/>
  <c r="K185" i="28"/>
  <c r="K170" i="28"/>
  <c r="F196" i="28"/>
  <c r="F674" i="28"/>
  <c r="K513" i="28"/>
  <c r="K639" i="28"/>
  <c r="F571" i="28"/>
  <c r="F569" i="28"/>
  <c r="F673" i="28"/>
  <c r="F672" i="28"/>
  <c r="F671" i="28"/>
  <c r="E142" i="28"/>
  <c r="F541" i="28"/>
  <c r="F19" i="28"/>
  <c r="F20" i="28"/>
  <c r="E16" i="28"/>
  <c r="F670" i="28"/>
  <c r="K643" i="28"/>
  <c r="F643" i="28"/>
  <c r="L643" i="28" l="1"/>
  <c r="B24" i="25"/>
  <c r="F84" i="28" l="1"/>
  <c r="L84" i="28" s="1"/>
  <c r="F484" i="28" l="1"/>
  <c r="F483" i="28"/>
  <c r="K574" i="28"/>
  <c r="F669" i="28"/>
  <c r="F542" i="28"/>
  <c r="F521" i="20" l="1"/>
  <c r="K668" i="28" l="1"/>
  <c r="L668" i="28" s="1"/>
  <c r="L95" i="28"/>
  <c r="K94" i="28"/>
  <c r="K160" i="28" l="1"/>
  <c r="K159" i="28"/>
  <c r="D503" i="28" l="1"/>
  <c r="F503" i="28" s="1"/>
  <c r="K147" i="28" l="1"/>
  <c r="K597" i="28"/>
  <c r="K578" i="28"/>
  <c r="K667" i="28"/>
  <c r="L667" i="28" s="1"/>
  <c r="F631" i="28"/>
  <c r="K631" i="28"/>
  <c r="K199" i="28"/>
  <c r="L199" i="28" s="1"/>
  <c r="F524" i="20"/>
  <c r="K666" i="28"/>
  <c r="L666" i="28" s="1"/>
  <c r="K68" i="28"/>
  <c r="L631" i="28" l="1"/>
  <c r="K665" i="28"/>
  <c r="L665" i="28" s="1"/>
  <c r="K659" i="28"/>
  <c r="L659" i="28" s="1"/>
  <c r="K214" i="20"/>
  <c r="L214" i="20" s="1"/>
  <c r="B65" i="24"/>
  <c r="B75" i="24" s="1"/>
  <c r="D70" i="24"/>
  <c r="B74" i="24" s="1"/>
  <c r="K143" i="28"/>
  <c r="B76" i="24" l="1"/>
  <c r="F546" i="28"/>
  <c r="F220" i="28" l="1"/>
  <c r="L555" i="28"/>
  <c r="K111" i="28"/>
  <c r="L111" i="28" s="1"/>
  <c r="F578" i="28" l="1"/>
  <c r="L578" i="28" s="1"/>
  <c r="F13" i="23" l="1"/>
  <c r="F515" i="28" l="1"/>
  <c r="K658" i="28"/>
  <c r="F658" i="28"/>
  <c r="K91" i="28"/>
  <c r="K104" i="28"/>
  <c r="F24" i="28"/>
  <c r="K23" i="28"/>
  <c r="L639" i="28"/>
  <c r="K216" i="28"/>
  <c r="L216" i="28" s="1"/>
  <c r="K605" i="28"/>
  <c r="L658" i="28" l="1"/>
  <c r="K481" i="28"/>
  <c r="E462" i="28"/>
  <c r="K442" i="28"/>
  <c r="F433" i="28"/>
  <c r="L433" i="28" s="1"/>
  <c r="K218" i="28" l="1"/>
  <c r="K158" i="28"/>
  <c r="L158" i="28" s="1"/>
  <c r="K116" i="28"/>
  <c r="L116" i="28" s="1"/>
  <c r="K70" i="28"/>
  <c r="K51" i="28"/>
  <c r="K39" i="28"/>
  <c r="K10" i="28"/>
  <c r="K4" i="28"/>
  <c r="K5" i="28"/>
  <c r="L5" i="28" s="1"/>
  <c r="K6" i="28"/>
  <c r="L6" i="28" s="1"/>
  <c r="K7" i="28"/>
  <c r="L7" i="28" s="1"/>
  <c r="K8" i="28"/>
  <c r="F638" i="28"/>
  <c r="F635" i="28"/>
  <c r="D636" i="28" s="1"/>
  <c r="F634" i="28"/>
  <c r="L634" i="28" s="1"/>
  <c r="K630" i="28"/>
  <c r="L630" i="28" s="1"/>
  <c r="K629" i="28"/>
  <c r="L629" i="28" s="1"/>
  <c r="K628" i="28"/>
  <c r="L628" i="28" s="1"/>
  <c r="K627" i="28"/>
  <c r="L627" i="28" s="1"/>
  <c r="K626" i="28"/>
  <c r="F625" i="28"/>
  <c r="F624" i="28"/>
  <c r="L624" i="28" s="1"/>
  <c r="F622" i="28"/>
  <c r="L622" i="28" s="1"/>
  <c r="K621" i="28"/>
  <c r="F621" i="28"/>
  <c r="L621" i="28" s="1"/>
  <c r="K620" i="28"/>
  <c r="L620" i="28" s="1"/>
  <c r="F619" i="28"/>
  <c r="D618" i="28"/>
  <c r="F617" i="28"/>
  <c r="F616" i="28"/>
  <c r="F615" i="28"/>
  <c r="F614" i="28"/>
  <c r="F613" i="28"/>
  <c r="K612" i="28"/>
  <c r="L612" i="28" s="1"/>
  <c r="F611" i="28"/>
  <c r="L611" i="28" s="1"/>
  <c r="F605" i="28"/>
  <c r="L605" i="28" s="1"/>
  <c r="K602" i="28"/>
  <c r="F602" i="28"/>
  <c r="L600" i="28"/>
  <c r="F597" i="28"/>
  <c r="L597" i="28" s="1"/>
  <c r="F596" i="28"/>
  <c r="L596" i="28" s="1"/>
  <c r="K595" i="28"/>
  <c r="F595" i="28"/>
  <c r="F594" i="28"/>
  <c r="L594" i="28" s="1"/>
  <c r="K592" i="28"/>
  <c r="F592" i="28"/>
  <c r="K591" i="28"/>
  <c r="F591" i="28"/>
  <c r="K589" i="28"/>
  <c r="F589" i="28"/>
  <c r="K588" i="28"/>
  <c r="L588" i="28" s="1"/>
  <c r="K587" i="28"/>
  <c r="F587" i="28"/>
  <c r="K586" i="28"/>
  <c r="L586" i="28" s="1"/>
  <c r="K585" i="28"/>
  <c r="F585" i="28"/>
  <c r="K584" i="28"/>
  <c r="L584" i="28" s="1"/>
  <c r="K582" i="28"/>
  <c r="F582" i="28"/>
  <c r="K581" i="28"/>
  <c r="K580" i="28"/>
  <c r="F580" i="28"/>
  <c r="K579" i="28"/>
  <c r="F579" i="28"/>
  <c r="F574" i="28"/>
  <c r="L574" i="28" s="1"/>
  <c r="K573" i="28"/>
  <c r="F573" i="28"/>
  <c r="K572" i="28"/>
  <c r="L572" i="28" s="1"/>
  <c r="K568" i="28"/>
  <c r="L568" i="28" s="1"/>
  <c r="K567" i="28"/>
  <c r="L567" i="28" s="1"/>
  <c r="K566" i="28"/>
  <c r="F566" i="28"/>
  <c r="L553" i="28"/>
  <c r="K551" i="28"/>
  <c r="L551" i="28" s="1"/>
  <c r="K549" i="28"/>
  <c r="L549" i="28" s="1"/>
  <c r="K547" i="28"/>
  <c r="L547" i="28" s="1"/>
  <c r="K546" i="28"/>
  <c r="L546" i="28" s="1"/>
  <c r="L543" i="28"/>
  <c r="K542" i="28"/>
  <c r="L542" i="28" s="1"/>
  <c r="F538" i="28"/>
  <c r="K537" i="28"/>
  <c r="L537" i="28" s="1"/>
  <c r="F536" i="28"/>
  <c r="L536" i="28" s="1"/>
  <c r="K535" i="28"/>
  <c r="F535" i="28"/>
  <c r="K534" i="28"/>
  <c r="F534" i="28"/>
  <c r="K533" i="28"/>
  <c r="L533" i="28" s="1"/>
  <c r="K532" i="28"/>
  <c r="L532" i="28" s="1"/>
  <c r="F532" i="28"/>
  <c r="K531" i="28"/>
  <c r="L531" i="28" s="1"/>
  <c r="K530" i="28"/>
  <c r="L530" i="28" s="1"/>
  <c r="K529" i="28"/>
  <c r="F529" i="28"/>
  <c r="K528" i="28"/>
  <c r="L528" i="28" s="1"/>
  <c r="F527" i="28"/>
  <c r="L527" i="28" s="1"/>
  <c r="F526" i="28"/>
  <c r="F521" i="28"/>
  <c r="F520" i="28"/>
  <c r="F519" i="28"/>
  <c r="F518" i="28"/>
  <c r="F517" i="28"/>
  <c r="F523" i="28" s="1"/>
  <c r="F525" i="28" s="1"/>
  <c r="K516" i="28"/>
  <c r="L516" i="28" s="1"/>
  <c r="F516" i="28"/>
  <c r="K515" i="28"/>
  <c r="L515" i="28" s="1"/>
  <c r="F513" i="28"/>
  <c r="L513" i="28" s="1"/>
  <c r="F512" i="28"/>
  <c r="L512" i="28" s="1"/>
  <c r="F511" i="28"/>
  <c r="F510" i="28"/>
  <c r="K509" i="28"/>
  <c r="F509" i="28"/>
  <c r="F506" i="28"/>
  <c r="K505" i="28"/>
  <c r="L505" i="28" s="1"/>
  <c r="E505" i="28"/>
  <c r="F504" i="28"/>
  <c r="L504" i="28" s="1"/>
  <c r="F502" i="28"/>
  <c r="K501" i="28"/>
  <c r="F501" i="28"/>
  <c r="L496" i="28"/>
  <c r="L494" i="28"/>
  <c r="K493" i="28"/>
  <c r="F493" i="28"/>
  <c r="K492" i="28"/>
  <c r="F492" i="28"/>
  <c r="F491" i="28"/>
  <c r="K490" i="28"/>
  <c r="F490" i="28"/>
  <c r="K489" i="28"/>
  <c r="F489" i="28"/>
  <c r="K488" i="28"/>
  <c r="L488" i="28" s="1"/>
  <c r="F487" i="28"/>
  <c r="L487" i="28" s="1"/>
  <c r="K486" i="28"/>
  <c r="F486" i="28"/>
  <c r="K483" i="28"/>
  <c r="K482" i="28"/>
  <c r="L481" i="28"/>
  <c r="F480" i="28"/>
  <c r="L480" i="28" s="1"/>
  <c r="K479" i="28"/>
  <c r="F479" i="28"/>
  <c r="F478" i="28"/>
  <c r="L478" i="28" s="1"/>
  <c r="K477" i="28"/>
  <c r="F477" i="28"/>
  <c r="K476" i="28"/>
  <c r="F476" i="28"/>
  <c r="F475" i="28"/>
  <c r="K474" i="28"/>
  <c r="F474" i="28"/>
  <c r="K473" i="28"/>
  <c r="F473" i="28"/>
  <c r="K467" i="28"/>
  <c r="L467" i="28" s="1"/>
  <c r="F461" i="28"/>
  <c r="L461" i="28" s="1"/>
  <c r="K460" i="28"/>
  <c r="F460" i="28"/>
  <c r="K458" i="28"/>
  <c r="L458" i="28" s="1"/>
  <c r="K456" i="28"/>
  <c r="F456" i="28"/>
  <c r="F455" i="28"/>
  <c r="F454" i="28"/>
  <c r="K449" i="28"/>
  <c r="F449" i="28"/>
  <c r="F448" i="28"/>
  <c r="K447" i="28"/>
  <c r="F447" i="28"/>
  <c r="K446" i="28"/>
  <c r="F446" i="28"/>
  <c r="K445" i="28"/>
  <c r="F445" i="28"/>
  <c r="F443" i="28"/>
  <c r="L443" i="28" s="1"/>
  <c r="F442" i="28"/>
  <c r="K441" i="28"/>
  <c r="F441" i="28"/>
  <c r="F439" i="28"/>
  <c r="F438" i="28"/>
  <c r="K432" i="28"/>
  <c r="F432" i="28"/>
  <c r="K431" i="28"/>
  <c r="F431" i="28"/>
  <c r="F430" i="28"/>
  <c r="K429" i="28"/>
  <c r="L429" i="28" s="1"/>
  <c r="F428" i="28"/>
  <c r="K427" i="28"/>
  <c r="F427" i="28"/>
  <c r="K426" i="28"/>
  <c r="F426" i="28"/>
  <c r="K425" i="28"/>
  <c r="L425" i="28" s="1"/>
  <c r="K424" i="28"/>
  <c r="F424" i="28"/>
  <c r="K422" i="28"/>
  <c r="F422" i="28"/>
  <c r="K421" i="28"/>
  <c r="F421" i="28"/>
  <c r="F419" i="28"/>
  <c r="F417" i="28"/>
  <c r="F416" i="28"/>
  <c r="F415" i="28"/>
  <c r="K414" i="28"/>
  <c r="F414" i="28"/>
  <c r="K413" i="28"/>
  <c r="F413" i="28"/>
  <c r="K412" i="28"/>
  <c r="F412" i="28"/>
  <c r="K411" i="28"/>
  <c r="F411" i="28"/>
  <c r="F409" i="28"/>
  <c r="L409" i="28" s="1"/>
  <c r="K408" i="28"/>
  <c r="F408" i="28"/>
  <c r="K221" i="28"/>
  <c r="F221" i="28"/>
  <c r="F218" i="28"/>
  <c r="L219" i="28" s="1"/>
  <c r="K217" i="28"/>
  <c r="F217" i="28"/>
  <c r="F215" i="28"/>
  <c r="L215" i="28" s="1"/>
  <c r="K213" i="28"/>
  <c r="F213" i="28"/>
  <c r="F212" i="28"/>
  <c r="L212" i="28" s="1"/>
  <c r="K211" i="28"/>
  <c r="L211" i="28" s="1"/>
  <c r="K210" i="28"/>
  <c r="F210" i="28"/>
  <c r="F209" i="28"/>
  <c r="K208" i="28"/>
  <c r="F208" i="28"/>
  <c r="K207" i="28"/>
  <c r="F207" i="28"/>
  <c r="L205" i="28"/>
  <c r="K203" i="28"/>
  <c r="F203" i="28"/>
  <c r="K202" i="28"/>
  <c r="F202" i="28"/>
  <c r="F199" i="28"/>
  <c r="K198" i="28"/>
  <c r="F198" i="28"/>
  <c r="K197" i="28"/>
  <c r="F197" i="28"/>
  <c r="F193" i="28"/>
  <c r="K192" i="28"/>
  <c r="F192" i="28"/>
  <c r="K191" i="28"/>
  <c r="F191" i="28"/>
  <c r="K190" i="28"/>
  <c r="L190" i="28" s="1"/>
  <c r="K189" i="28"/>
  <c r="F189" i="28"/>
  <c r="F185" i="28"/>
  <c r="K184" i="28"/>
  <c r="L184" i="28" s="1"/>
  <c r="F183" i="28"/>
  <c r="K183" i="28" s="1"/>
  <c r="K182" i="28"/>
  <c r="F182" i="28"/>
  <c r="K181" i="28"/>
  <c r="F181" i="28"/>
  <c r="K179" i="28"/>
  <c r="L179" i="28" s="1"/>
  <c r="F178" i="28"/>
  <c r="K176" i="28"/>
  <c r="F176" i="28"/>
  <c r="F170" i="28"/>
  <c r="K169" i="28"/>
  <c r="K168" i="28"/>
  <c r="F168" i="28"/>
  <c r="K167" i="28"/>
  <c r="F167" i="28"/>
  <c r="F166" i="28"/>
  <c r="L166" i="28" s="1"/>
  <c r="F165" i="28"/>
  <c r="K164" i="28"/>
  <c r="F164" i="28"/>
  <c r="K163" i="28"/>
  <c r="F163" i="28"/>
  <c r="F159" i="28"/>
  <c r="L159" i="28" s="1"/>
  <c r="E158" i="28"/>
  <c r="L156" i="28"/>
  <c r="K155" i="28"/>
  <c r="F155" i="28"/>
  <c r="K153" i="28"/>
  <c r="F153" i="28"/>
  <c r="L147" i="28"/>
  <c r="K146" i="28"/>
  <c r="L146" i="28" s="1"/>
  <c r="F143" i="28"/>
  <c r="L143" i="28" s="1"/>
  <c r="D139" i="28"/>
  <c r="D140" i="28" s="1"/>
  <c r="F138" i="28"/>
  <c r="F137" i="28"/>
  <c r="F136" i="28"/>
  <c r="K135" i="28"/>
  <c r="L135" i="28" s="1"/>
  <c r="F135" i="28"/>
  <c r="K134" i="28"/>
  <c r="F134" i="28"/>
  <c r="K133" i="28"/>
  <c r="F133" i="28"/>
  <c r="K132" i="28"/>
  <c r="F132" i="28"/>
  <c r="K131" i="28"/>
  <c r="F131" i="28"/>
  <c r="K130" i="28"/>
  <c r="L130" i="28" s="1"/>
  <c r="K129" i="28"/>
  <c r="F129" i="28"/>
  <c r="K128" i="28"/>
  <c r="F128" i="28"/>
  <c r="F127" i="28"/>
  <c r="K126" i="28"/>
  <c r="F126" i="28"/>
  <c r="K125" i="28"/>
  <c r="F125" i="28"/>
  <c r="K124" i="28"/>
  <c r="F124" i="28"/>
  <c r="K123" i="28"/>
  <c r="F123" i="28"/>
  <c r="K122" i="28"/>
  <c r="F122" i="28"/>
  <c r="F120" i="28"/>
  <c r="L120" i="28" s="1"/>
  <c r="K118" i="28"/>
  <c r="F118" i="28"/>
  <c r="K117" i="28"/>
  <c r="F117" i="28"/>
  <c r="E116" i="28"/>
  <c r="K115" i="28"/>
  <c r="F115" i="28"/>
  <c r="F114" i="28"/>
  <c r="K114" i="28" s="1"/>
  <c r="K113" i="28"/>
  <c r="F113" i="28"/>
  <c r="F111" i="28"/>
  <c r="K109" i="28"/>
  <c r="F109" i="28"/>
  <c r="K108" i="28"/>
  <c r="F108" i="28"/>
  <c r="K107" i="28"/>
  <c r="F107" i="28"/>
  <c r="F105" i="28"/>
  <c r="F104" i="28"/>
  <c r="K103" i="28"/>
  <c r="L103" i="28" s="1"/>
  <c r="F101" i="28"/>
  <c r="F93" i="28"/>
  <c r="L91" i="28" s="1"/>
  <c r="D92" i="28"/>
  <c r="K89" i="28"/>
  <c r="L89" i="28" s="1"/>
  <c r="F86" i="28"/>
  <c r="L82" i="28"/>
  <c r="E82" i="28"/>
  <c r="E80" i="28"/>
  <c r="F78" i="28"/>
  <c r="L79" i="28" s="1"/>
  <c r="K77" i="28"/>
  <c r="F77" i="28"/>
  <c r="K75" i="28"/>
  <c r="F75" i="28"/>
  <c r="L76" i="28" s="1"/>
  <c r="K74" i="28"/>
  <c r="F74" i="28"/>
  <c r="F70" i="28"/>
  <c r="F68" i="28"/>
  <c r="K67" i="28"/>
  <c r="F67" i="28"/>
  <c r="F66" i="28"/>
  <c r="K65" i="28"/>
  <c r="F65" i="28"/>
  <c r="L64" i="28"/>
  <c r="K63" i="28"/>
  <c r="F63" i="28"/>
  <c r="L62" i="28"/>
  <c r="L61" i="28"/>
  <c r="F59" i="28"/>
  <c r="F56" i="28"/>
  <c r="L56" i="28" s="1"/>
  <c r="K55" i="28"/>
  <c r="F55" i="28"/>
  <c r="K54" i="28"/>
  <c r="L54" i="28" s="1"/>
  <c r="F53" i="28"/>
  <c r="K52" i="28"/>
  <c r="F52" i="28"/>
  <c r="F51" i="28"/>
  <c r="F48" i="28"/>
  <c r="L48" i="28" s="1"/>
  <c r="K47" i="28"/>
  <c r="F47" i="28"/>
  <c r="K40" i="28"/>
  <c r="L40" i="28" s="1"/>
  <c r="F39" i="28"/>
  <c r="K36" i="28"/>
  <c r="K34" i="28"/>
  <c r="F34" i="28"/>
  <c r="L33" i="28"/>
  <c r="F32" i="28"/>
  <c r="L32" i="28" s="1"/>
  <c r="K31" i="28"/>
  <c r="F31" i="28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59" i="28" l="1"/>
  <c r="L60" i="28"/>
  <c r="L510" i="28"/>
  <c r="L523" i="28"/>
  <c r="L438" i="28"/>
  <c r="L104" i="28"/>
  <c r="D141" i="28"/>
  <c r="L538" i="28"/>
  <c r="L619" i="28"/>
  <c r="L128" i="28"/>
  <c r="L70" i="28"/>
  <c r="L114" i="28"/>
  <c r="L22" i="28"/>
  <c r="L4" i="28"/>
  <c r="L39" i="28"/>
  <c r="L108" i="28"/>
  <c r="L86" i="28"/>
  <c r="L164" i="28"/>
  <c r="L167" i="28"/>
  <c r="L169" i="28"/>
  <c r="L176" i="28"/>
  <c r="L181" i="28"/>
  <c r="L189" i="28"/>
  <c r="L197" i="28"/>
  <c r="L412" i="28"/>
  <c r="L431" i="28"/>
  <c r="L529" i="28"/>
  <c r="L595" i="28"/>
  <c r="L125" i="28"/>
  <c r="L132" i="28"/>
  <c r="L134" i="28"/>
  <c r="L210" i="28"/>
  <c r="L202" i="28"/>
  <c r="L77" i="28"/>
  <c r="L118" i="28"/>
  <c r="L122" i="28"/>
  <c r="L124" i="28"/>
  <c r="L456" i="28"/>
  <c r="L476" i="28"/>
  <c r="L408" i="28"/>
  <c r="L422" i="28"/>
  <c r="L441" i="28"/>
  <c r="L446" i="28"/>
  <c r="L479" i="28"/>
  <c r="L482" i="28"/>
  <c r="L486" i="28"/>
  <c r="L489" i="28"/>
  <c r="L509" i="28"/>
  <c r="L579" i="28"/>
  <c r="F618" i="28"/>
  <c r="L602" i="28"/>
  <c r="L534" i="28"/>
  <c r="L51" i="28"/>
  <c r="L63" i="28"/>
  <c r="L21" i="28"/>
  <c r="L427" i="28"/>
  <c r="L414" i="28"/>
  <c r="L67" i="28"/>
  <c r="L113" i="28"/>
  <c r="L573" i="28"/>
  <c r="L585" i="28"/>
  <c r="L591" i="28"/>
  <c r="L101" i="28"/>
  <c r="L131" i="28"/>
  <c r="L163" i="28"/>
  <c r="L426" i="28"/>
  <c r="L477" i="28"/>
  <c r="L517" i="28"/>
  <c r="L8" i="28"/>
  <c r="L52" i="28"/>
  <c r="L55" i="28"/>
  <c r="L74" i="28"/>
  <c r="L109" i="28"/>
  <c r="L129" i="28"/>
  <c r="L203" i="28"/>
  <c r="L217" i="28"/>
  <c r="L413" i="28"/>
  <c r="L424" i="28"/>
  <c r="L445" i="28"/>
  <c r="L473" i="28"/>
  <c r="L483" i="28"/>
  <c r="L490" i="28"/>
  <c r="L580" i="28"/>
  <c r="L589" i="28"/>
  <c r="L592" i="28"/>
  <c r="L34" i="28"/>
  <c r="L115" i="28"/>
  <c r="L133" i="28"/>
  <c r="L153" i="28"/>
  <c r="L474" i="28"/>
  <c r="L493" i="28"/>
  <c r="L126" i="28"/>
  <c r="L26" i="28"/>
  <c r="L31" i="28"/>
  <c r="L107" i="28"/>
  <c r="L170" i="28"/>
  <c r="L192" i="28"/>
  <c r="L207" i="28"/>
  <c r="L213" i="28"/>
  <c r="L421" i="28"/>
  <c r="L492" i="28"/>
  <c r="L501" i="28"/>
  <c r="L10" i="28"/>
  <c r="L65" i="28"/>
  <c r="L449" i="28"/>
  <c r="L460" i="28"/>
  <c r="L535" i="28"/>
  <c r="L566" i="28"/>
  <c r="L582" i="28"/>
  <c r="L75" i="28"/>
  <c r="L448" i="28"/>
  <c r="L168" i="28"/>
  <c r="L221" i="28"/>
  <c r="L411" i="28"/>
  <c r="L432" i="28"/>
  <c r="L13" i="28"/>
  <c r="L25" i="28"/>
  <c r="L47" i="28"/>
  <c r="L454" i="28"/>
  <c r="L9" i="28"/>
  <c r="L11" i="28"/>
  <c r="L123" i="28"/>
  <c r="L183" i="28"/>
  <c r="L2" i="28"/>
  <c r="L68" i="28"/>
  <c r="L185" i="28"/>
  <c r="L208" i="28"/>
  <c r="L447" i="28"/>
  <c r="L506" i="28"/>
  <c r="K165" i="28"/>
  <c r="L165" i="28" s="1"/>
  <c r="L587" i="28"/>
  <c r="L117" i="28"/>
  <c r="L155" i="28"/>
  <c r="L182" i="28"/>
  <c r="L191" i="28"/>
  <c r="L198" i="28"/>
  <c r="L442" i="28"/>
  <c r="L193" i="28"/>
  <c r="D134" i="20"/>
  <c r="F133" i="20"/>
  <c r="F596" i="20"/>
  <c r="F595" i="20"/>
  <c r="F104" i="20" l="1"/>
  <c r="K483" i="20" l="1"/>
  <c r="K321" i="20"/>
  <c r="K17" i="20"/>
  <c r="F17" i="20"/>
  <c r="L17" i="20" s="1"/>
  <c r="K316" i="20"/>
  <c r="K301" i="20"/>
  <c r="K82" i="20"/>
  <c r="L82" i="20" s="1"/>
  <c r="K65" i="20"/>
  <c r="F65" i="20"/>
  <c r="K452" i="20"/>
  <c r="L452" i="20" s="1"/>
  <c r="K242" i="20"/>
  <c r="K69" i="20"/>
  <c r="F69" i="20"/>
  <c r="K511" i="20"/>
  <c r="L511" i="20" s="1"/>
  <c r="K106" i="20"/>
  <c r="K547" i="20"/>
  <c r="L65" i="20" l="1"/>
  <c r="L69" i="20"/>
  <c r="K192" i="20"/>
  <c r="F594" i="20" l="1"/>
  <c r="K536" i="20"/>
  <c r="K313" i="20"/>
  <c r="B30" i="24" l="1"/>
  <c r="F579" i="20" l="1"/>
  <c r="K285" i="20"/>
  <c r="K579" i="20"/>
  <c r="F174" i="20"/>
  <c r="L174" i="20" s="1"/>
  <c r="K174" i="20"/>
  <c r="K420" i="20"/>
  <c r="K101" i="20"/>
  <c r="E487" i="20"/>
  <c r="K487" i="20"/>
  <c r="L487" i="20" s="1"/>
  <c r="K307" i="20"/>
  <c r="K304" i="20"/>
  <c r="K303" i="20"/>
  <c r="K115" i="20"/>
  <c r="L115" i="20" s="1"/>
  <c r="E451" i="20"/>
  <c r="K448" i="20"/>
  <c r="F507" i="20"/>
  <c r="E72" i="20" l="1"/>
  <c r="L72" i="20"/>
  <c r="F406" i="20" l="1"/>
  <c r="F408" i="20"/>
  <c r="F405" i="20"/>
  <c r="F404" i="20"/>
  <c r="F477" i="20"/>
  <c r="K194" i="20" l="1"/>
  <c r="K95" i="20"/>
  <c r="K339" i="20"/>
  <c r="L339" i="20" s="1"/>
  <c r="F341" i="20"/>
  <c r="K276" i="20"/>
  <c r="K306" i="20"/>
  <c r="F403" i="20"/>
  <c r="K356" i="20"/>
  <c r="L356" i="20" s="1"/>
  <c r="K302" i="20"/>
  <c r="K460" i="20"/>
  <c r="F593" i="20"/>
  <c r="K309" i="20" l="1"/>
  <c r="F191" i="20"/>
  <c r="K36" i="20"/>
  <c r="L36" i="20" s="1"/>
  <c r="K272" i="20"/>
  <c r="K456" i="20"/>
  <c r="K274" i="20"/>
  <c r="K338" i="20"/>
  <c r="F338" i="20"/>
  <c r="K591" i="20"/>
  <c r="K531" i="20"/>
  <c r="L531" i="20" s="1"/>
  <c r="K590" i="20"/>
  <c r="L590" i="20" s="1"/>
  <c r="K308" i="20"/>
  <c r="K441" i="20"/>
  <c r="K277" i="20"/>
  <c r="K297" i="20"/>
  <c r="K43" i="20"/>
  <c r="K312" i="20"/>
  <c r="K280" i="20"/>
  <c r="K240" i="20"/>
  <c r="K41" i="20" l="1"/>
  <c r="F390" i="20"/>
  <c r="K278" i="20"/>
  <c r="K294" i="20" l="1"/>
  <c r="K265" i="20"/>
  <c r="K295" i="20"/>
  <c r="K446" i="20"/>
  <c r="K589" i="20"/>
  <c r="L589" i="20" s="1"/>
  <c r="K478" i="20"/>
  <c r="K284" i="20"/>
  <c r="K39" i="20" l="1"/>
  <c r="K298" i="20"/>
  <c r="K256" i="20"/>
  <c r="K475" i="20"/>
  <c r="K262" i="20"/>
  <c r="K279" i="20"/>
  <c r="F266" i="20"/>
  <c r="K300" i="20"/>
  <c r="K445" i="20"/>
  <c r="K588" i="20"/>
  <c r="L588" i="20" s="1"/>
  <c r="K46" i="20"/>
  <c r="K40" i="20"/>
  <c r="K281" i="20"/>
  <c r="K269" i="20"/>
  <c r="K259" i="20"/>
  <c r="K587" i="20"/>
  <c r="F293" i="20" l="1"/>
  <c r="K8" i="20" l="1"/>
  <c r="K569" i="20"/>
  <c r="L569" i="20" s="1"/>
  <c r="K398" i="3"/>
  <c r="L398" i="3" s="1"/>
  <c r="F586" i="20"/>
  <c r="F422" i="20"/>
  <c r="F421" i="20"/>
  <c r="K211" i="20"/>
  <c r="K210" i="20"/>
  <c r="F211" i="20"/>
  <c r="L211" i="20" l="1"/>
  <c r="K78" i="20"/>
  <c r="L78" i="20" s="1"/>
  <c r="K76" i="20"/>
  <c r="L76" i="20" s="1"/>
  <c r="K443" i="20"/>
  <c r="K24" i="20"/>
  <c r="K252" i="20"/>
  <c r="K565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7" i="20"/>
  <c r="K23" i="20"/>
  <c r="K241" i="20"/>
  <c r="K268" i="20"/>
  <c r="K425" i="20"/>
  <c r="K423" i="20"/>
  <c r="K399" i="20"/>
  <c r="L399" i="20" s="1"/>
  <c r="K426" i="20"/>
  <c r="F585" i="20" l="1"/>
  <c r="F584" i="20"/>
  <c r="F248" i="20"/>
  <c r="E247" i="20"/>
  <c r="K374" i="20" l="1"/>
  <c r="K329" i="20" l="1"/>
  <c r="F329" i="20"/>
  <c r="K255" i="20"/>
  <c r="K264" i="20"/>
  <c r="K517" i="20"/>
  <c r="L517" i="20" s="1"/>
  <c r="K253" i="20"/>
  <c r="K250" i="20"/>
  <c r="K455" i="20"/>
  <c r="K358" i="20"/>
  <c r="K33" i="20"/>
  <c r="K258" i="20"/>
  <c r="J437" i="20"/>
  <c r="K437" i="20"/>
  <c r="K245" i="20"/>
  <c r="K411" i="20"/>
  <c r="K237" i="20"/>
  <c r="K438" i="20"/>
  <c r="K32" i="20"/>
  <c r="K417" i="20"/>
  <c r="K270" i="20"/>
  <c r="K429" i="20"/>
  <c r="K582" i="20"/>
  <c r="K30" i="20"/>
  <c r="K289" i="20"/>
  <c r="L289" i="20" s="1"/>
  <c r="K528" i="20"/>
  <c r="K271" i="20"/>
  <c r="K251" i="20"/>
  <c r="K45" i="20"/>
  <c r="K283" i="20"/>
  <c r="K51" i="20"/>
  <c r="K432" i="20"/>
  <c r="K352" i="20"/>
  <c r="K413" i="20"/>
  <c r="F359" i="20"/>
  <c r="F358" i="20"/>
  <c r="L358" i="20" s="1"/>
  <c r="K239" i="20"/>
  <c r="K421" i="20"/>
  <c r="K38" i="20"/>
  <c r="F583" i="20"/>
  <c r="F582" i="20"/>
  <c r="L582" i="20" s="1"/>
  <c r="K359" i="20" l="1"/>
  <c r="L359" i="20" s="1"/>
  <c r="K21" i="20"/>
  <c r="K581" i="20"/>
  <c r="L581" i="20" s="1"/>
  <c r="K159" i="20"/>
  <c r="K419" i="20"/>
  <c r="K431" i="20"/>
  <c r="K513" i="20"/>
  <c r="L513" i="20" s="1"/>
  <c r="K474" i="20"/>
  <c r="K433" i="20"/>
  <c r="K238" i="20"/>
  <c r="L579" i="20"/>
  <c r="K412" i="20"/>
  <c r="K414" i="20"/>
  <c r="F415" i="20"/>
  <c r="F414" i="20"/>
  <c r="K409" i="20"/>
  <c r="K75" i="20"/>
  <c r="K148" i="20"/>
  <c r="L148" i="20" s="1"/>
  <c r="K471" i="20"/>
  <c r="K434" i="20"/>
  <c r="L414" i="20" l="1"/>
  <c r="K393" i="20"/>
  <c r="D578" i="20"/>
  <c r="F574" i="20"/>
  <c r="F575" i="20"/>
  <c r="F576" i="20"/>
  <c r="F577" i="20"/>
  <c r="F573" i="20"/>
  <c r="K11" i="20"/>
  <c r="K436" i="3"/>
  <c r="L436" i="3" s="1"/>
  <c r="F436" i="3"/>
  <c r="K572" i="20"/>
  <c r="L572" i="20" s="1"/>
  <c r="K444" i="20"/>
  <c r="F571" i="20"/>
  <c r="K386" i="20"/>
  <c r="L329" i="20"/>
  <c r="K435" i="20"/>
  <c r="F578" i="20" l="1"/>
  <c r="K244" i="20"/>
  <c r="K20" i="20"/>
  <c r="E148" i="20"/>
  <c r="K397" i="20" l="1"/>
  <c r="K288" i="20"/>
  <c r="F299" i="20" l="1"/>
  <c r="L299" i="20" s="1"/>
  <c r="F568" i="20"/>
  <c r="K410" i="20"/>
  <c r="K178" i="20" l="1"/>
  <c r="L178" i="20" s="1"/>
  <c r="K109" i="20"/>
  <c r="L109" i="20" s="1"/>
  <c r="K108" i="20"/>
  <c r="K35" i="20"/>
  <c r="L35" i="20" s="1"/>
  <c r="E530" i="20"/>
  <c r="D85" i="20"/>
  <c r="K562" i="20"/>
  <c r="F208" i="20"/>
  <c r="K205" i="20"/>
  <c r="K204" i="20"/>
  <c r="K34" i="20"/>
  <c r="K567" i="20"/>
  <c r="F567" i="20"/>
  <c r="K554" i="20"/>
  <c r="K385" i="20"/>
  <c r="K384" i="20"/>
  <c r="K19" i="20"/>
  <c r="K566" i="20"/>
  <c r="L566" i="20" s="1"/>
  <c r="F86" i="20"/>
  <c r="K355" i="20"/>
  <c r="K373" i="20"/>
  <c r="L567" i="20" l="1"/>
  <c r="K363" i="20"/>
  <c r="K564" i="20"/>
  <c r="L564" i="20" s="1"/>
  <c r="K391" i="20"/>
  <c r="K198" i="20"/>
  <c r="F198" i="20"/>
  <c r="L198" i="20" l="1"/>
  <c r="D38" i="24" l="1"/>
  <c r="B39" i="24" s="1"/>
  <c r="B31" i="24"/>
  <c r="B40" i="24" s="1"/>
  <c r="F214" i="20"/>
  <c r="F318" i="3"/>
  <c r="B41" i="24" l="1"/>
  <c r="K361" i="20"/>
  <c r="K368" i="20"/>
  <c r="K379" i="20"/>
  <c r="K362" i="20"/>
  <c r="K381" i="20" l="1"/>
  <c r="K395" i="20"/>
  <c r="F563" i="20"/>
  <c r="K354" i="20"/>
  <c r="F462" i="20"/>
  <c r="K461" i="20"/>
  <c r="K558" i="20"/>
  <c r="K555" i="20" l="1"/>
  <c r="L555" i="20" s="1"/>
  <c r="K348" i="20"/>
  <c r="K235" i="20"/>
  <c r="F562" i="20"/>
  <c r="L562" i="20" s="1"/>
  <c r="K335" i="20"/>
  <c r="K350" i="20"/>
  <c r="K371" i="20"/>
  <c r="K169" i="20"/>
  <c r="K168" i="20"/>
  <c r="L168" i="20" s="1"/>
  <c r="L25" i="20" l="1"/>
  <c r="K556" i="20"/>
  <c r="K396" i="20"/>
  <c r="K489" i="20"/>
  <c r="K369" i="20"/>
  <c r="K377" i="20"/>
  <c r="K319" i="20"/>
  <c r="K364" i="20"/>
  <c r="F561" i="20"/>
  <c r="K376" i="20"/>
  <c r="K287" i="20"/>
  <c r="K15" i="20"/>
  <c r="K328" i="20"/>
  <c r="K367" i="20"/>
  <c r="K472" i="20"/>
  <c r="K351" i="20"/>
  <c r="K370" i="20"/>
  <c r="K144" i="20"/>
  <c r="K468" i="20"/>
  <c r="K199" i="20"/>
  <c r="K343" i="20"/>
  <c r="K559" i="20"/>
  <c r="F559" i="20"/>
  <c r="F558" i="20"/>
  <c r="L558" i="20" s="1"/>
  <c r="L559" i="20" l="1"/>
  <c r="K481" i="20"/>
  <c r="L481" i="20" s="1"/>
  <c r="F440" i="3"/>
  <c r="F439" i="3"/>
  <c r="F556" i="20"/>
  <c r="L556" i="20" s="1"/>
  <c r="K438" i="3"/>
  <c r="L438" i="3" s="1"/>
  <c r="F399" i="20" l="1"/>
  <c r="F398" i="20"/>
  <c r="F488" i="20" l="1"/>
  <c r="K488" i="20" l="1"/>
  <c r="L488" i="20" s="1"/>
  <c r="K394" i="20"/>
  <c r="K176" i="20"/>
  <c r="K365" i="20"/>
  <c r="K124" i="20"/>
  <c r="K366" i="20"/>
  <c r="L87" i="20"/>
  <c r="L94" i="28" s="1"/>
  <c r="K89" i="20"/>
  <c r="F554" i="20"/>
  <c r="L554" i="20" s="1"/>
  <c r="F499" i="20"/>
  <c r="K100" i="20" l="1"/>
  <c r="K346" i="20"/>
  <c r="K466" i="20"/>
  <c r="K553" i="20"/>
  <c r="L553" i="20" s="1"/>
  <c r="K479" i="20"/>
  <c r="K96" i="20"/>
  <c r="F552" i="20"/>
  <c r="K552" i="20"/>
  <c r="K353" i="20"/>
  <c r="L552" i="20" l="1"/>
  <c r="K232" i="20"/>
  <c r="K551" i="20"/>
  <c r="L551" i="20" s="1"/>
  <c r="K550" i="20"/>
  <c r="F550" i="20"/>
  <c r="K470" i="20"/>
  <c r="K497" i="20"/>
  <c r="L550" i="20" l="1"/>
  <c r="K542" i="20"/>
  <c r="L542" i="20" s="1"/>
  <c r="K62" i="20" l="1"/>
  <c r="L62" i="20" s="1"/>
  <c r="K60" i="20"/>
  <c r="L205" i="20"/>
  <c r="K155" i="20"/>
  <c r="K336" i="20"/>
  <c r="K549" i="20"/>
  <c r="K212" i="20"/>
  <c r="K314" i="20"/>
  <c r="K548" i="20"/>
  <c r="F548" i="20"/>
  <c r="F546" i="20"/>
  <c r="L547" i="20" s="1"/>
  <c r="K546" i="20"/>
  <c r="L546" i="20" l="1"/>
  <c r="L548" i="20"/>
  <c r="K323" i="20"/>
  <c r="K182" i="20"/>
  <c r="K128" i="20"/>
  <c r="K196" i="20"/>
  <c r="K165" i="20"/>
  <c r="E204" i="20"/>
  <c r="F544" i="20" l="1"/>
  <c r="K180" i="20"/>
  <c r="K166" i="20"/>
  <c r="F543" i="20"/>
  <c r="K543" i="20"/>
  <c r="K360" i="20"/>
  <c r="K170" i="20"/>
  <c r="K188" i="20"/>
  <c r="K175" i="20"/>
  <c r="K200" i="20"/>
  <c r="K326" i="20"/>
  <c r="L543" i="20" l="1"/>
  <c r="K541" i="20"/>
  <c r="L541" i="20" s="1"/>
  <c r="K540" i="20"/>
  <c r="L540" i="20" s="1"/>
  <c r="K18" i="20"/>
  <c r="K177" i="20"/>
  <c r="K186" i="20"/>
  <c r="K427" i="20"/>
  <c r="K172" i="20"/>
  <c r="K539" i="20"/>
  <c r="L539" i="20" s="1"/>
  <c r="F538" i="20"/>
  <c r="K538" i="20"/>
  <c r="K464" i="20"/>
  <c r="K344" i="20"/>
  <c r="K530" i="20"/>
  <c r="L530" i="20" s="1"/>
  <c r="K416" i="20"/>
  <c r="K185" i="20"/>
  <c r="K163" i="20"/>
  <c r="K347" i="20"/>
  <c r="L528" i="20"/>
  <c r="K527" i="20"/>
  <c r="L527" i="20" s="1"/>
  <c r="K209" i="20"/>
  <c r="L522" i="20"/>
  <c r="K525" i="20"/>
  <c r="L525" i="20" s="1"/>
  <c r="K111" i="20"/>
  <c r="K157" i="20"/>
  <c r="K231" i="20"/>
  <c r="K524" i="20"/>
  <c r="L524" i="20" s="1"/>
  <c r="K152" i="20"/>
  <c r="L538" i="20" l="1"/>
  <c r="F523" i="20"/>
  <c r="K523" i="20"/>
  <c r="K147" i="20"/>
  <c r="K80" i="20"/>
  <c r="K495" i="20"/>
  <c r="L495" i="20" s="1"/>
  <c r="K146" i="20"/>
  <c r="K121" i="20"/>
  <c r="K181" i="20"/>
  <c r="L523" i="20" l="1"/>
  <c r="K179" i="20"/>
  <c r="K521" i="20"/>
  <c r="L521" i="20" s="1"/>
  <c r="K56" i="20"/>
  <c r="F520" i="20"/>
  <c r="K520" i="20"/>
  <c r="K167" i="20"/>
  <c r="K519" i="20"/>
  <c r="L519" i="20" s="1"/>
  <c r="K129" i="20"/>
  <c r="K161" i="20"/>
  <c r="K201" i="20"/>
  <c r="F29" i="20"/>
  <c r="K28" i="20" s="1"/>
  <c r="L28" i="20" s="1"/>
  <c r="K162" i="20"/>
  <c r="K141" i="20"/>
  <c r="K120" i="20"/>
  <c r="K234" i="20"/>
  <c r="K64" i="20"/>
  <c r="K463" i="20"/>
  <c r="F518" i="20"/>
  <c r="L518" i="20" s="1"/>
  <c r="K413" i="3"/>
  <c r="D21" i="23"/>
  <c r="E21" i="23" s="1"/>
  <c r="B22" i="23" s="1"/>
  <c r="D22" i="23" s="1"/>
  <c r="E22" i="23" s="1"/>
  <c r="B23" i="23" s="1"/>
  <c r="D20" i="23"/>
  <c r="E20" i="23" s="1"/>
  <c r="B21" i="23" s="1"/>
  <c r="D3" i="23"/>
  <c r="E3" i="23" s="1"/>
  <c r="B4" i="23" s="1"/>
  <c r="E73" i="20"/>
  <c r="E111" i="20"/>
  <c r="E102" i="20"/>
  <c r="F500" i="20"/>
  <c r="F498" i="20"/>
  <c r="F497" i="20"/>
  <c r="L520" i="20" l="1"/>
  <c r="D23" i="23"/>
  <c r="E23" i="23" s="1"/>
  <c r="B25" i="23" s="1"/>
  <c r="D4" i="23"/>
  <c r="E4" i="23" s="1"/>
  <c r="B5" i="23" s="1"/>
  <c r="B8" i="22"/>
  <c r="F509" i="20"/>
  <c r="F128" i="20"/>
  <c r="F10" i="21"/>
  <c r="F9" i="21"/>
  <c r="F8" i="21"/>
  <c r="F6" i="21"/>
  <c r="F5" i="21"/>
  <c r="F151" i="20"/>
  <c r="F515" i="20"/>
  <c r="K342" i="20"/>
  <c r="K484" i="20"/>
  <c r="F7" i="21"/>
  <c r="F4" i="21"/>
  <c r="F12" i="21" s="1"/>
  <c r="B24" i="21"/>
  <c r="K320" i="20"/>
  <c r="K501" i="20"/>
  <c r="L501" i="20" s="1"/>
  <c r="K66" i="20"/>
  <c r="K315" i="20"/>
  <c r="F516" i="20"/>
  <c r="K516" i="20"/>
  <c r="K114" i="20"/>
  <c r="K53" i="20"/>
  <c r="K184" i="20"/>
  <c r="K119" i="20"/>
  <c r="K142" i="20"/>
  <c r="K151" i="20"/>
  <c r="K325" i="20"/>
  <c r="K123" i="20"/>
  <c r="K515" i="20"/>
  <c r="K113" i="20"/>
  <c r="K127" i="20"/>
  <c r="K514" i="20"/>
  <c r="L514" i="20" s="1"/>
  <c r="F513" i="20"/>
  <c r="K136" i="20"/>
  <c r="K476" i="20"/>
  <c r="K317" i="20"/>
  <c r="K512" i="20"/>
  <c r="L512" i="20" s="1"/>
  <c r="K173" i="20"/>
  <c r="K318" i="20"/>
  <c r="K117" i="20"/>
  <c r="K510" i="20"/>
  <c r="L510" i="20" s="1"/>
  <c r="K102" i="20"/>
  <c r="K126" i="20"/>
  <c r="K509" i="20"/>
  <c r="L509" i="20" s="1"/>
  <c r="K508" i="20"/>
  <c r="L508" i="20" s="1"/>
  <c r="D25" i="23" l="1"/>
  <c r="E25" i="23" s="1"/>
  <c r="B26" i="23" s="1"/>
  <c r="D26" i="23" s="1"/>
  <c r="E26" i="23" s="1"/>
  <c r="B27" i="23" s="1"/>
  <c r="D27" i="23" s="1"/>
  <c r="E27" i="23" s="1"/>
  <c r="B28" i="23" s="1"/>
  <c r="D28" i="23" s="1"/>
  <c r="E28" i="23" s="1"/>
  <c r="B29" i="23" s="1"/>
  <c r="D29" i="23" s="1"/>
  <c r="E29" i="23" s="1"/>
  <c r="L515" i="20"/>
  <c r="D5" i="23"/>
  <c r="E5" i="23" s="1"/>
  <c r="B6" i="23" s="1"/>
  <c r="D8" i="23"/>
  <c r="E8" i="23" s="1"/>
  <c r="B9" i="23" s="1"/>
  <c r="D9" i="23" s="1"/>
  <c r="L516" i="20"/>
  <c r="K130" i="20"/>
  <c r="K156" i="20"/>
  <c r="K327" i="20"/>
  <c r="K118" i="20"/>
  <c r="K87" i="20"/>
  <c r="K55" i="20"/>
  <c r="K105" i="20"/>
  <c r="K110" i="20"/>
  <c r="K125" i="20"/>
  <c r="K454" i="20"/>
  <c r="K67" i="20"/>
  <c r="K213" i="20"/>
  <c r="K458" i="20"/>
  <c r="K99" i="20"/>
  <c r="K158" i="20"/>
  <c r="K505" i="20"/>
  <c r="F505" i="20"/>
  <c r="B30" i="23" l="1"/>
  <c r="D30" i="23" s="1"/>
  <c r="E30" i="23" s="1"/>
  <c r="B31" i="23" s="1"/>
  <c r="D31" i="23" s="1"/>
  <c r="E31" i="23" s="1"/>
  <c r="B32" i="23" s="1"/>
  <c r="D6" i="23"/>
  <c r="E6" i="23"/>
  <c r="E9" i="23"/>
  <c r="B10" i="23" s="1"/>
  <c r="D10" i="23" s="1"/>
  <c r="L505" i="20"/>
  <c r="K84" i="20"/>
  <c r="L84" i="20" s="1"/>
  <c r="K494" i="20"/>
  <c r="L494" i="20" s="1"/>
  <c r="K68" i="20"/>
  <c r="L349" i="20"/>
  <c r="D32" i="23" l="1"/>
  <c r="E32" i="23" s="1"/>
  <c r="E10" i="23"/>
  <c r="B11" i="23" s="1"/>
  <c r="F2" i="20"/>
  <c r="K2" i="20"/>
  <c r="F3" i="20"/>
  <c r="K3" i="20"/>
  <c r="K4" i="20"/>
  <c r="L4" i="20" s="1"/>
  <c r="K5" i="20"/>
  <c r="L5" i="20" s="1"/>
  <c r="F504" i="20"/>
  <c r="F501" i="20"/>
  <c r="F496" i="20"/>
  <c r="L496" i="20" s="1"/>
  <c r="F495" i="20"/>
  <c r="F493" i="20"/>
  <c r="F492" i="20"/>
  <c r="F491" i="20"/>
  <c r="F490" i="20"/>
  <c r="F489" i="20"/>
  <c r="L489" i="20" s="1"/>
  <c r="F486" i="20"/>
  <c r="L486" i="20" s="1"/>
  <c r="F484" i="20"/>
  <c r="F483" i="20"/>
  <c r="L483" i="20" s="1"/>
  <c r="L482" i="20"/>
  <c r="F479" i="20"/>
  <c r="L479" i="20" s="1"/>
  <c r="F478" i="20"/>
  <c r="L478" i="20" s="1"/>
  <c r="F476" i="20"/>
  <c r="L476" i="20" s="1"/>
  <c r="F475" i="20"/>
  <c r="L475" i="20" s="1"/>
  <c r="L474" i="20"/>
  <c r="F473" i="20"/>
  <c r="L473" i="20" s="1"/>
  <c r="F472" i="20"/>
  <c r="L472" i="20" s="1"/>
  <c r="F471" i="20"/>
  <c r="L471" i="20" s="1"/>
  <c r="L470" i="20"/>
  <c r="L468" i="20"/>
  <c r="F467" i="20"/>
  <c r="L467" i="20" s="1"/>
  <c r="F466" i="20"/>
  <c r="L466" i="20" s="1"/>
  <c r="F465" i="20"/>
  <c r="L465" i="20" s="1"/>
  <c r="F464" i="20"/>
  <c r="L464" i="20" s="1"/>
  <c r="F463" i="20"/>
  <c r="L463" i="20" s="1"/>
  <c r="F461" i="20"/>
  <c r="L461" i="20" s="1"/>
  <c r="F460" i="20"/>
  <c r="L460" i="20" s="1"/>
  <c r="L458" i="20"/>
  <c r="L456" i="20"/>
  <c r="E456" i="20"/>
  <c r="F455" i="20"/>
  <c r="L455" i="20" s="1"/>
  <c r="F454" i="20"/>
  <c r="L454" i="20" s="1"/>
  <c r="L448" i="20"/>
  <c r="F447" i="20"/>
  <c r="L447" i="20" s="1"/>
  <c r="F446" i="20"/>
  <c r="L446" i="20" s="1"/>
  <c r="L445" i="20"/>
  <c r="F444" i="20"/>
  <c r="L444" i="20" s="1"/>
  <c r="L443" i="20"/>
  <c r="F442" i="20"/>
  <c r="L442" i="20" s="1"/>
  <c r="F441" i="20"/>
  <c r="L441" i="20" s="1"/>
  <c r="F440" i="20"/>
  <c r="F439" i="20"/>
  <c r="F438" i="20"/>
  <c r="L438" i="20" s="1"/>
  <c r="F437" i="20"/>
  <c r="L437" i="20" s="1"/>
  <c r="L435" i="20"/>
  <c r="F434" i="20"/>
  <c r="L434" i="20" s="1"/>
  <c r="F433" i="20"/>
  <c r="L433" i="20" s="1"/>
  <c r="F432" i="20"/>
  <c r="L432" i="20" s="1"/>
  <c r="F431" i="20"/>
  <c r="L431" i="20" s="1"/>
  <c r="F429" i="20"/>
  <c r="F427" i="20"/>
  <c r="L427" i="20" s="1"/>
  <c r="F426" i="20"/>
  <c r="L426" i="20" s="1"/>
  <c r="F424" i="20"/>
  <c r="F423" i="20"/>
  <c r="L421" i="20"/>
  <c r="F420" i="20"/>
  <c r="L420" i="20" s="1"/>
  <c r="F419" i="20"/>
  <c r="L419" i="20" s="1"/>
  <c r="F417" i="20"/>
  <c r="L417" i="20" s="1"/>
  <c r="L416" i="20"/>
  <c r="F413" i="20"/>
  <c r="L413" i="20" s="1"/>
  <c r="L412" i="20"/>
  <c r="F411" i="20"/>
  <c r="F410" i="20"/>
  <c r="L410" i="20" s="1"/>
  <c r="F409" i="20"/>
  <c r="L409" i="20" s="1"/>
  <c r="F402" i="20"/>
  <c r="F397" i="20"/>
  <c r="F396" i="20"/>
  <c r="L396" i="20" s="1"/>
  <c r="F395" i="20"/>
  <c r="F394" i="20"/>
  <c r="L394" i="20" s="1"/>
  <c r="F393" i="20"/>
  <c r="L393" i="20" s="1"/>
  <c r="F392" i="20"/>
  <c r="L392" i="20" s="1"/>
  <c r="F391" i="20"/>
  <c r="F386" i="20"/>
  <c r="L386" i="20" s="1"/>
  <c r="L385" i="20"/>
  <c r="F384" i="20"/>
  <c r="L384" i="20" s="1"/>
  <c r="F382" i="20"/>
  <c r="F381" i="20"/>
  <c r="L381" i="20" s="1"/>
  <c r="F380" i="20"/>
  <c r="F379" i="20"/>
  <c r="F378" i="20"/>
  <c r="L378" i="20" s="1"/>
  <c r="F377" i="20"/>
  <c r="L377" i="20" s="1"/>
  <c r="F376" i="20"/>
  <c r="L376" i="20" s="1"/>
  <c r="F373" i="20"/>
  <c r="L373" i="20" s="1"/>
  <c r="F371" i="20"/>
  <c r="L371" i="20" s="1"/>
  <c r="F370" i="20"/>
  <c r="F369" i="20"/>
  <c r="L369" i="20" s="1"/>
  <c r="F368" i="20"/>
  <c r="L368" i="20" s="1"/>
  <c r="F367" i="20"/>
  <c r="L367" i="20" s="1"/>
  <c r="F365" i="20"/>
  <c r="L365" i="20" s="1"/>
  <c r="L364" i="20"/>
  <c r="F363" i="20"/>
  <c r="L363" i="20" s="1"/>
  <c r="F362" i="20"/>
  <c r="L362" i="20" s="1"/>
  <c r="F361" i="20"/>
  <c r="L361" i="20" s="1"/>
  <c r="F360" i="20"/>
  <c r="L360" i="20" s="1"/>
  <c r="L357" i="20"/>
  <c r="F355" i="20"/>
  <c r="L355" i="20" s="1"/>
  <c r="F354" i="20"/>
  <c r="L354" i="20" s="1"/>
  <c r="F353" i="20"/>
  <c r="L353" i="20" s="1"/>
  <c r="F352" i="20"/>
  <c r="L351" i="20"/>
  <c r="F350" i="20"/>
  <c r="L350" i="20" s="1"/>
  <c r="F348" i="20"/>
  <c r="L348" i="20" s="1"/>
  <c r="F347" i="20"/>
  <c r="L347" i="20" s="1"/>
  <c r="F346" i="20"/>
  <c r="F345" i="20"/>
  <c r="L345" i="20" s="1"/>
  <c r="F344" i="20"/>
  <c r="L344" i="20" s="1"/>
  <c r="F343" i="20"/>
  <c r="L343" i="20" s="1"/>
  <c r="F342" i="20"/>
  <c r="L342" i="20" s="1"/>
  <c r="L338" i="20"/>
  <c r="F337" i="20"/>
  <c r="L337" i="20" s="1"/>
  <c r="F336" i="20"/>
  <c r="L336" i="20" s="1"/>
  <c r="F335" i="20"/>
  <c r="L335" i="20" s="1"/>
  <c r="F327" i="20"/>
  <c r="L327" i="20" s="1"/>
  <c r="F326" i="20"/>
  <c r="L326" i="20" s="1"/>
  <c r="F325" i="20"/>
  <c r="L325" i="20" s="1"/>
  <c r="F324" i="20"/>
  <c r="L324" i="20" s="1"/>
  <c r="F323" i="20"/>
  <c r="L323" i="20" s="1"/>
  <c r="F321" i="20"/>
  <c r="L321" i="20" s="1"/>
  <c r="F320" i="20"/>
  <c r="L320" i="20" s="1"/>
  <c r="F319" i="20"/>
  <c r="L319" i="20" s="1"/>
  <c r="F318" i="20"/>
  <c r="L318" i="20" s="1"/>
  <c r="L317" i="20"/>
  <c r="F316" i="20"/>
  <c r="L316" i="20" s="1"/>
  <c r="F315" i="20"/>
  <c r="L315" i="20" s="1"/>
  <c r="F314" i="20"/>
  <c r="L314" i="20" s="1"/>
  <c r="F313" i="20"/>
  <c r="L313" i="20" s="1"/>
  <c r="F312" i="20"/>
  <c r="L312" i="20" s="1"/>
  <c r="F311" i="20"/>
  <c r="F310" i="20"/>
  <c r="F309" i="20"/>
  <c r="F308" i="20"/>
  <c r="L308" i="20" s="1"/>
  <c r="F307" i="20"/>
  <c r="L307" i="20" s="1"/>
  <c r="F306" i="20"/>
  <c r="L306" i="20" s="1"/>
  <c r="F305" i="20"/>
  <c r="F304" i="20"/>
  <c r="L304" i="20" s="1"/>
  <c r="F303" i="20"/>
  <c r="L303" i="20" s="1"/>
  <c r="F302" i="20"/>
  <c r="L302" i="20" s="1"/>
  <c r="L301" i="20"/>
  <c r="F300" i="20"/>
  <c r="L300" i="20" s="1"/>
  <c r="F298" i="20"/>
  <c r="L298" i="20" s="1"/>
  <c r="F297" i="20"/>
  <c r="F295" i="20"/>
  <c r="L295" i="20" s="1"/>
  <c r="F294" i="20"/>
  <c r="L294" i="20" s="1"/>
  <c r="F288" i="20"/>
  <c r="L288" i="20" s="1"/>
  <c r="F286" i="20"/>
  <c r="F285" i="20"/>
  <c r="F284" i="20"/>
  <c r="L284" i="20" s="1"/>
  <c r="F283" i="20"/>
  <c r="L283" i="20" s="1"/>
  <c r="F282" i="20"/>
  <c r="L282" i="20" s="1"/>
  <c r="F281" i="20"/>
  <c r="F280" i="20"/>
  <c r="L280" i="20" s="1"/>
  <c r="F279" i="20"/>
  <c r="L279" i="20" s="1"/>
  <c r="F278" i="20"/>
  <c r="L278" i="20" s="1"/>
  <c r="F277" i="20"/>
  <c r="F276" i="20"/>
  <c r="L276" i="20" s="1"/>
  <c r="L274" i="20"/>
  <c r="F272" i="20"/>
  <c r="L272" i="20" s="1"/>
  <c r="L271" i="20"/>
  <c r="F270" i="20"/>
  <c r="L270" i="20" s="1"/>
  <c r="F269" i="20"/>
  <c r="F268" i="20"/>
  <c r="L268" i="20" s="1"/>
  <c r="L266" i="20"/>
  <c r="F265" i="20"/>
  <c r="L265" i="20" s="1"/>
  <c r="F264" i="20"/>
  <c r="L264" i="20" s="1"/>
  <c r="L263" i="20"/>
  <c r="F262" i="20"/>
  <c r="L262" i="20" s="1"/>
  <c r="F260" i="20"/>
  <c r="L260" i="20" s="1"/>
  <c r="F259" i="20"/>
  <c r="F258" i="20"/>
  <c r="L258" i="20" s="1"/>
  <c r="F257" i="20"/>
  <c r="L257" i="20" s="1"/>
  <c r="F256" i="20"/>
  <c r="L256" i="20" s="1"/>
  <c r="F255" i="20"/>
  <c r="F254" i="20"/>
  <c r="F253" i="20"/>
  <c r="L253" i="20" s="1"/>
  <c r="F252" i="20"/>
  <c r="L252" i="20" s="1"/>
  <c r="F251" i="20"/>
  <c r="L251" i="20" s="1"/>
  <c r="F250" i="20"/>
  <c r="L250" i="20" s="1"/>
  <c r="L246" i="20"/>
  <c r="F245" i="20"/>
  <c r="L245" i="20" s="1"/>
  <c r="F244" i="20"/>
  <c r="L244" i="20" s="1"/>
  <c r="F243" i="20"/>
  <c r="L243" i="20" s="1"/>
  <c r="F242" i="20"/>
  <c r="L242" i="20" s="1"/>
  <c r="F241" i="20"/>
  <c r="L240" i="20"/>
  <c r="F239" i="20"/>
  <c r="L239" i="20" s="1"/>
  <c r="F238" i="20"/>
  <c r="L238" i="20" s="1"/>
  <c r="F237" i="20"/>
  <c r="L237" i="20" s="1"/>
  <c r="F235" i="20"/>
  <c r="L235" i="20" s="1"/>
  <c r="F234" i="20"/>
  <c r="L234" i="20" s="1"/>
  <c r="F233" i="20"/>
  <c r="F232" i="20"/>
  <c r="L232" i="20" s="1"/>
  <c r="F231" i="20"/>
  <c r="L231" i="20" s="1"/>
  <c r="F230" i="20"/>
  <c r="L230" i="20" s="1"/>
  <c r="F213" i="20"/>
  <c r="L213" i="20" s="1"/>
  <c r="F212" i="20"/>
  <c r="L212" i="20" s="1"/>
  <c r="F210" i="20"/>
  <c r="L210" i="20" s="1"/>
  <c r="F209" i="20"/>
  <c r="L209" i="20" s="1"/>
  <c r="L204" i="20"/>
  <c r="F203" i="20"/>
  <c r="L203" i="20" s="1"/>
  <c r="F201" i="20"/>
  <c r="F200" i="20"/>
  <c r="L200" i="20" s="1"/>
  <c r="F199" i="20"/>
  <c r="L199" i="20" s="1"/>
  <c r="F197" i="20"/>
  <c r="L197" i="20" s="1"/>
  <c r="F196" i="20"/>
  <c r="F194" i="20"/>
  <c r="L194" i="20" s="1"/>
  <c r="F192" i="20"/>
  <c r="L192" i="20" s="1"/>
  <c r="F190" i="20"/>
  <c r="L190" i="20" s="1"/>
  <c r="F188" i="20"/>
  <c r="L188" i="20" s="1"/>
  <c r="F187" i="20"/>
  <c r="L185" i="20"/>
  <c r="F184" i="20"/>
  <c r="L184" i="20" s="1"/>
  <c r="F183" i="20"/>
  <c r="F182" i="20"/>
  <c r="F181" i="20"/>
  <c r="L181" i="20" s="1"/>
  <c r="F179" i="20"/>
  <c r="L179" i="20" s="1"/>
  <c r="F177" i="20"/>
  <c r="L177" i="20" s="1"/>
  <c r="F176" i="20"/>
  <c r="F175" i="20"/>
  <c r="L175" i="20" s="1"/>
  <c r="F173" i="20"/>
  <c r="L173" i="20" s="1"/>
  <c r="F172" i="20"/>
  <c r="L172" i="20" s="1"/>
  <c r="F171" i="20"/>
  <c r="F170" i="20"/>
  <c r="L170" i="20" s="1"/>
  <c r="F169" i="20"/>
  <c r="L169" i="20" s="1"/>
  <c r="F167" i="20"/>
  <c r="L167" i="20" s="1"/>
  <c r="F166" i="20"/>
  <c r="L166" i="20" s="1"/>
  <c r="L165" i="20"/>
  <c r="F164" i="20"/>
  <c r="F163" i="20"/>
  <c r="L163" i="20" s="1"/>
  <c r="F162" i="20"/>
  <c r="L162" i="20" s="1"/>
  <c r="L161" i="20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L155" i="20" s="1"/>
  <c r="F154" i="20"/>
  <c r="L154" i="20" s="1"/>
  <c r="F153" i="20"/>
  <c r="F152" i="20"/>
  <c r="L152" i="20" s="1"/>
  <c r="L151" i="20"/>
  <c r="L150" i="20"/>
  <c r="F149" i="20"/>
  <c r="L149" i="20" s="1"/>
  <c r="L147" i="20"/>
  <c r="F146" i="20"/>
  <c r="L146" i="20" s="1"/>
  <c r="F144" i="20"/>
  <c r="L144" i="20" s="1"/>
  <c r="L142" i="20"/>
  <c r="L141" i="20"/>
  <c r="F135" i="20"/>
  <c r="L135" i="20" s="1"/>
  <c r="F132" i="20"/>
  <c r="F131" i="20"/>
  <c r="F130" i="20"/>
  <c r="F129" i="20"/>
  <c r="L129" i="20" s="1"/>
  <c r="L128" i="20"/>
  <c r="F127" i="20"/>
  <c r="L127" i="20" s="1"/>
  <c r="F126" i="20"/>
  <c r="L126" i="20" s="1"/>
  <c r="L125" i="20"/>
  <c r="F124" i="20"/>
  <c r="L124" i="20" s="1"/>
  <c r="F123" i="20"/>
  <c r="L123" i="20" s="1"/>
  <c r="F122" i="20"/>
  <c r="F121" i="20"/>
  <c r="F120" i="20"/>
  <c r="L120" i="20" s="1"/>
  <c r="F119" i="20"/>
  <c r="L119" i="20" s="1"/>
  <c r="F118" i="20"/>
  <c r="L118" i="20" s="1"/>
  <c r="F117" i="20"/>
  <c r="L117" i="20" s="1"/>
  <c r="F116" i="20"/>
  <c r="L116" i="20" s="1"/>
  <c r="F114" i="20"/>
  <c r="L114" i="20" s="1"/>
  <c r="F113" i="20"/>
  <c r="L113" i="20" s="1"/>
  <c r="F110" i="20"/>
  <c r="L110" i="20" s="1"/>
  <c r="L108" i="20"/>
  <c r="F106" i="20"/>
  <c r="L106" i="20" s="1"/>
  <c r="F105" i="20"/>
  <c r="L105" i="20" s="1"/>
  <c r="L102" i="20"/>
  <c r="F101" i="20"/>
  <c r="L101" i="20" s="1"/>
  <c r="F100" i="20"/>
  <c r="L100" i="20" s="1"/>
  <c r="F99" i="20"/>
  <c r="L99" i="20" s="1"/>
  <c r="F98" i="20"/>
  <c r="F97" i="20"/>
  <c r="L97" i="20" s="1"/>
  <c r="L96" i="20"/>
  <c r="F95" i="20"/>
  <c r="L95" i="20" s="1"/>
  <c r="L80" i="20"/>
  <c r="F75" i="20"/>
  <c r="L75" i="20" s="1"/>
  <c r="L71" i="20"/>
  <c r="F68" i="20"/>
  <c r="L68" i="20" s="1"/>
  <c r="F67" i="20"/>
  <c r="L67" i="20" s="1"/>
  <c r="F66" i="20"/>
  <c r="L66" i="20" s="1"/>
  <c r="F64" i="20"/>
  <c r="L64" i="20" s="1"/>
  <c r="F60" i="20"/>
  <c r="L60" i="20" s="1"/>
  <c r="F56" i="20"/>
  <c r="L56" i="20" s="1"/>
  <c r="F55" i="20"/>
  <c r="L55" i="20" s="1"/>
  <c r="F54" i="20"/>
  <c r="F53" i="20"/>
  <c r="L52" i="20"/>
  <c r="F51" i="20"/>
  <c r="L51" i="20" s="1"/>
  <c r="L50" i="20"/>
  <c r="L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39" i="20" l="1"/>
  <c r="L484" i="20"/>
  <c r="D485" i="20"/>
  <c r="F485" i="20" s="1"/>
  <c r="L285" i="20"/>
  <c r="L423" i="20"/>
  <c r="K254" i="20"/>
  <c r="L254" i="20" s="1"/>
  <c r="L15" i="20"/>
  <c r="L121" i="20"/>
  <c r="K171" i="20"/>
  <c r="L171" i="20" s="1"/>
  <c r="K164" i="20"/>
  <c r="L164" i="20" s="1"/>
  <c r="L201" i="20"/>
  <c r="D11" i="23"/>
  <c r="E11" i="23" s="1"/>
  <c r="B12" i="23" s="1"/>
  <c r="L53" i="20"/>
  <c r="K153" i="20"/>
  <c r="L153" i="20" s="1"/>
  <c r="L136" i="20"/>
  <c r="L182" i="20"/>
  <c r="L3" i="20"/>
  <c r="L2" i="20"/>
  <c r="L7" i="20"/>
  <c r="L379" i="20"/>
  <c r="L10" i="20"/>
  <c r="L310" i="20"/>
  <c r="L43" i="20"/>
  <c r="L13" i="20"/>
  <c r="L11" i="20"/>
  <c r="L130" i="20"/>
  <c r="L176" i="20"/>
  <c r="L255" i="20"/>
  <c r="L269" i="20"/>
  <c r="L277" i="20"/>
  <c r="L305" i="20"/>
  <c r="L346" i="20"/>
  <c r="L366" i="20"/>
  <c r="L391" i="20"/>
  <c r="L22" i="20"/>
  <c r="L73" i="20"/>
  <c r="L111" i="20"/>
  <c r="L187" i="20"/>
  <c r="L196" i="20"/>
  <c r="L233" i="20"/>
  <c r="L241" i="20"/>
  <c r="L259" i="20"/>
  <c r="L281" i="20"/>
  <c r="L297" i="20"/>
  <c r="L309" i="20"/>
  <c r="L352" i="20"/>
  <c r="L370" i="20"/>
  <c r="L395" i="20"/>
  <c r="L411" i="20"/>
  <c r="F445" i="3"/>
  <c r="F444" i="3"/>
  <c r="F443" i="3"/>
  <c r="F442" i="3"/>
  <c r="D12" i="23" l="1"/>
  <c r="E12" i="23"/>
  <c r="B13" i="23" s="1"/>
  <c r="F441" i="3"/>
  <c r="D13" i="23" l="1"/>
  <c r="E13" i="23" s="1"/>
  <c r="F164" i="3"/>
  <c r="L165" i="3" s="1"/>
  <c r="F81" i="3"/>
  <c r="B14" i="23" l="1"/>
  <c r="D14" i="23" s="1"/>
  <c r="E14" i="23" s="1"/>
  <c r="K11" i="3"/>
  <c r="L11" i="3" s="1"/>
  <c r="F14" i="3"/>
  <c r="K47" i="3"/>
  <c r="L47" i="3" s="1"/>
  <c r="K406" i="3"/>
  <c r="K54" i="3"/>
  <c r="K394" i="3"/>
  <c r="F434" i="3"/>
  <c r="K396" i="3" l="1"/>
  <c r="L396" i="3" s="1"/>
  <c r="K330" i="3" l="1"/>
  <c r="K46" i="3" l="1"/>
  <c r="F46" i="3"/>
  <c r="F433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2" i="3"/>
  <c r="F431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5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6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30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6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6" i="3"/>
  <c r="L392" i="3" l="1"/>
  <c r="L341" i="3"/>
  <c r="L405" i="3"/>
  <c r="L287" i="20"/>
  <c r="K161" i="37"/>
</calcChain>
</file>

<file path=xl/sharedStrings.xml><?xml version="1.0" encoding="utf-8"?>
<sst xmlns="http://schemas.openxmlformats.org/spreadsheetml/2006/main" count="20303" uniqueCount="6126">
  <si>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</si>
  <si>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</si>
  <si>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</si>
  <si>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</si>
  <si>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</si>
  <si>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</si>
  <si>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</si>
  <si>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</si>
  <si>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</si>
  <si>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</si>
  <si>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</si>
  <si>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</si>
  <si>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</si>
  <si>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</si>
  <si>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</si>
  <si>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</si>
  <si>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</si>
  <si>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</si>
  <si>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</si>
  <si>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</si>
  <si>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</si>
  <si>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</si>
  <si>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</si>
  <si>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</si>
  <si>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</si>
  <si>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</si>
  <si>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</si>
  <si>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</si>
  <si>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</si>
  <si>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</si>
  <si>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</si>
  <si>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</si>
  <si>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</si>
  <si>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</si>
  <si>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</si>
  <si>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</si>
  <si>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</si>
  <si>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</si>
  <si>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</si>
  <si>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</si>
  <si>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</si>
  <si>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</si>
  <si>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</si>
  <si>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</si>
  <si>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</si>
  <si>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</si>
  <si>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</si>
  <si>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</si>
  <si>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</si>
  <si>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</si>
  <si>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</si>
  <si>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</si>
  <si>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</si>
  <si>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</si>
  <si>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</si>
  <si>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</si>
  <si>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</si>
  <si>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</si>
  <si>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</si>
  <si>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</si>
  <si>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</si>
  <si>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</si>
  <si>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</si>
  <si>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</si>
  <si>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</si>
  <si>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</si>
  <si>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</si>
  <si>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</si>
  <si>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</si>
  <si>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</si>
  <si>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</si>
  <si>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</si>
  <si>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</si>
  <si>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</si>
  <si>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</si>
  <si>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</si>
  <si>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</si>
  <si>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</si>
  <si>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</si>
  <si>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</si>
  <si>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</si>
  <si>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</si>
  <si>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</si>
  <si>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</si>
  <si>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</si>
  <si>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</si>
  <si>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</si>
  <si>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</si>
  <si>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</si>
  <si>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</si>
  <si>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</si>
  <si>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</si>
  <si>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</si>
  <si>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</si>
  <si>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</si>
  <si>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</si>
  <si>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</si>
  <si>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</si>
  <si>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</si>
  <si>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</si>
  <si>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</si>
  <si>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</si>
  <si>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</si>
  <si>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</si>
  <si>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</si>
  <si>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</si>
  <si>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</si>
  <si>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</si>
  <si>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</si>
  <si>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</si>
  <si>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</si>
  <si>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</si>
  <si>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</si>
  <si>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</si>
  <si>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</si>
  <si>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</si>
  <si>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</si>
  <si>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</si>
  <si>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</si>
  <si>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</si>
  <si>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</si>
  <si>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</si>
  <si>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</si>
  <si>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</si>
  <si>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</si>
  <si>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</si>
  <si>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</si>
  <si>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</si>
  <si>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</si>
  <si>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</si>
  <si>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</si>
  <si>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</si>
  <si>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</si>
  <si>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</si>
  <si>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</si>
  <si>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</si>
  <si>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</si>
  <si>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</si>
  <si>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</si>
  <si>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</si>
  <si>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</si>
  <si>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</si>
  <si>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</si>
  <si>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</si>
  <si>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</si>
  <si>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</si>
  <si>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</si>
  <si>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</si>
  <si>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</si>
  <si>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</si>
  <si>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</si>
  <si>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</si>
  <si>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</si>
  <si>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</si>
  <si>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</si>
  <si>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</si>
  <si>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</si>
  <si>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</si>
  <si>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</si>
  <si>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</si>
  <si>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</si>
  <si>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</si>
  <si>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</si>
  <si>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</si>
  <si>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</si>
  <si>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</si>
  <si>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</si>
  <si>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</si>
  <si>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</si>
  <si>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</si>
  <si>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</si>
  <si>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</si>
  <si>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</si>
  <si>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</si>
  <si>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</si>
  <si>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</si>
  <si>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</si>
  <si>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</si>
  <si>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</si>
  <si>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</si>
  <si>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</si>
  <si>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</si>
  <si>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</si>
  <si>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</si>
  <si>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</si>
  <si>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</si>
  <si>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</si>
  <si>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</si>
  <si>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</si>
  <si>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</si>
  <si>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</si>
  <si>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</si>
  <si>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</si>
  <si>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</si>
  <si>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</si>
  <si>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</si>
  <si>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</si>
  <si>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</si>
  <si>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</si>
  <si>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</si>
  <si>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</si>
  <si>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</si>
  <si>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</si>
  <si>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</si>
  <si>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</si>
  <si>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</si>
  <si>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</si>
  <si>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</si>
  <si>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</si>
  <si>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</si>
  <si>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</si>
  <si>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</si>
  <si>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</si>
  <si>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</si>
  <si>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</si>
  <si>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</si>
  <si>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</si>
  <si>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</si>
  <si>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</si>
  <si>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</si>
  <si>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</si>
  <si>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</si>
  <si>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</si>
  <si>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</si>
  <si>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</si>
  <si>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</si>
  <si>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</si>
  <si>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</si>
  <si>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</si>
  <si>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</si>
  <si>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</si>
  <si>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</si>
  <si>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</si>
  <si>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</si>
  <si>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</si>
  <si>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</si>
  <si>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</si>
  <si>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</si>
  <si>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</si>
  <si>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</si>
  <si>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</si>
  <si>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</si>
  <si>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</si>
  <si>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</si>
  <si>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</si>
  <si>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</si>
  <si>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</si>
  <si>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</si>
  <si>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</si>
  <si>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</si>
  <si>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</si>
  <si>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</si>
  <si>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</si>
  <si>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</si>
  <si>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</si>
  <si>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</si>
  <si>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</si>
  <si>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</si>
  <si>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</si>
  <si>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</si>
  <si>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</si>
  <si>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</si>
  <si>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</si>
  <si>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</si>
  <si>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</si>
  <si>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</si>
  <si>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</si>
  <si>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</si>
  <si>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</si>
  <si>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</si>
  <si>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</si>
  <si>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</si>
  <si>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</si>
  <si>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</si>
  <si>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</si>
  <si>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</si>
  <si>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</si>
  <si>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</si>
  <si>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</si>
  <si>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</si>
  <si>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</si>
  <si>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</si>
  <si>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</si>
  <si>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</si>
  <si>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</si>
  <si>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</si>
  <si>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</si>
  <si>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</si>
  <si>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</si>
  <si>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</si>
  <si>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</si>
  <si>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</si>
  <si>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</si>
  <si>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</si>
  <si>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</si>
  <si>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</si>
  <si>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</si>
  <si>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</si>
  <si>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</si>
  <si>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</si>
  <si>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</si>
  <si>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</si>
  <si>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</si>
  <si>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</si>
  <si>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</si>
  <si>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</si>
  <si>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</si>
  <si>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</si>
  <si>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</si>
  <si>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</si>
  <si>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</si>
  <si>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</si>
  <si>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</si>
  <si>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</si>
  <si>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</si>
  <si>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</si>
  <si>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</si>
  <si>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</si>
  <si>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</si>
  <si>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</si>
  <si>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</si>
  <si>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</si>
  <si>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</si>
  <si>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</si>
  <si>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</si>
  <si>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</si>
  <si>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</si>
  <si>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</si>
  <si>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</si>
  <si>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</si>
  <si>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</si>
  <si>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</si>
  <si>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</si>
  <si>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</si>
  <si>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</si>
  <si>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</si>
  <si>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</si>
  <si>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</si>
  <si>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</si>
  <si>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</si>
  <si>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</si>
  <si>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</si>
  <si>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</si>
  <si>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</si>
  <si>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</si>
  <si>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</si>
  <si>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</si>
  <si>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</si>
  <si>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</si>
  <si>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</si>
  <si>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</si>
  <si>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</si>
  <si>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</si>
  <si>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</si>
  <si>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</si>
  <si>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</si>
  <si>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</si>
  <si>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</si>
  <si>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</si>
  <si>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</si>
  <si>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</si>
  <si>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</si>
  <si>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</si>
  <si>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</si>
  <si>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</si>
  <si>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</si>
  <si>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</si>
  <si>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</si>
  <si>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</si>
  <si>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</si>
  <si>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</si>
  <si>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</si>
  <si>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</si>
  <si>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</si>
  <si>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</si>
  <si>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</si>
  <si>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</si>
  <si>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</si>
  <si>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</si>
  <si>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</si>
  <si>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</si>
  <si>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</si>
  <si>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</si>
  <si>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</si>
  <si>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</si>
  <si>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</si>
  <si>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</si>
  <si>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</si>
  <si>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</si>
  <si>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</si>
  <si>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</si>
  <si>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</si>
  <si>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</si>
  <si>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</si>
  <si>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</si>
  <si>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</si>
  <si>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</si>
  <si>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</si>
  <si>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</si>
  <si>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</si>
  <si>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</si>
  <si>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</si>
  <si>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</si>
  <si>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</si>
  <si>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</si>
  <si>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</si>
  <si>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</si>
  <si>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</si>
  <si>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</si>
  <si>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</si>
  <si>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</si>
  <si>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</si>
  <si>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</si>
  <si>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</si>
  <si>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</si>
  <si>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</si>
  <si>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</si>
  <si>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</si>
  <si>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</si>
  <si>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</si>
  <si>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</si>
  <si>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</si>
  <si>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</si>
  <si>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</si>
  <si>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</si>
  <si>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</si>
  <si>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</si>
  <si>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</si>
  <si>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</si>
  <si>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</si>
  <si>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</si>
  <si>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</si>
  <si>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</si>
  <si>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</si>
  <si>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</si>
  <si>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</si>
  <si>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</si>
  <si>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</si>
  <si>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</si>
  <si>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</si>
  <si>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</si>
  <si>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</si>
  <si>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</si>
  <si>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</si>
  <si>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</si>
  <si>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</si>
  <si>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</si>
  <si>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</si>
  <si>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</si>
  <si>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</si>
  <si>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</si>
  <si>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</si>
  <si>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</si>
  <si>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</si>
  <si>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</si>
  <si>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</si>
  <si>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</si>
  <si>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</si>
  <si>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</si>
  <si>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</si>
  <si>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</si>
  <si>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</si>
  <si>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</si>
  <si>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</si>
  <si>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</si>
  <si>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</si>
  <si>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</si>
  <si>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</si>
  <si>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</si>
  <si>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</si>
  <si>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</si>
  <si>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</si>
  <si>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</si>
  <si>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</si>
  <si>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</si>
  <si>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</si>
  <si>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</si>
  <si>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</si>
  <si>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</si>
  <si>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</si>
  <si>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</si>
  <si>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</si>
  <si>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</si>
  <si>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</si>
  <si>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</si>
  <si>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</si>
  <si>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</si>
  <si>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</si>
  <si>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</si>
  <si>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</si>
  <si>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</si>
  <si>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</si>
  <si>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</si>
  <si>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</si>
  <si>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</si>
  <si>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</si>
  <si>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</si>
  <si>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</si>
  <si>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</si>
  <si>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</si>
  <si>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</si>
  <si>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</si>
  <si>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</si>
  <si>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</si>
  <si>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</si>
  <si>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</si>
  <si>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</si>
  <si>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</si>
  <si>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</si>
  <si>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</si>
  <si>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</si>
  <si>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</si>
  <si>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</si>
  <si>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</si>
  <si>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</si>
  <si>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</si>
  <si>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</si>
  <si>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</si>
  <si>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</si>
  <si>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</si>
  <si>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</si>
  <si>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</si>
  <si>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</si>
  <si>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</si>
  <si>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</si>
  <si>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</si>
  <si>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</si>
  <si>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</si>
  <si>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</si>
  <si>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</si>
  <si>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</si>
  <si>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</si>
  <si>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</si>
  <si>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</si>
  <si>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</si>
  <si>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</si>
  <si>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</si>
  <si>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</si>
  <si>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</si>
  <si>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</si>
  <si>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</si>
  <si>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</si>
  <si>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</si>
  <si>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</si>
  <si>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</si>
  <si>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</si>
  <si>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</si>
  <si>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</si>
  <si>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</si>
  <si>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</si>
  <si>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</si>
  <si>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</si>
  <si>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</si>
  <si>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</si>
  <si>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</si>
  <si>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</si>
  <si>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</si>
  <si>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</si>
  <si>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</si>
  <si>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</si>
  <si>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</si>
  <si>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</si>
  <si>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</si>
  <si>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</si>
  <si>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</si>
  <si>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</si>
  <si>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</si>
  <si>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</si>
  <si>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</si>
  <si>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</si>
  <si>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</si>
  <si>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</si>
  <si>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</si>
  <si>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</si>
  <si>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</si>
  <si>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</si>
  <si>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</si>
  <si>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</si>
  <si>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</si>
  <si>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</si>
  <si>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</si>
  <si>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</si>
  <si>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</si>
  <si>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</si>
  <si>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</si>
  <si>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</si>
  <si>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</si>
  <si>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</si>
  <si>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</si>
  <si>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</si>
  <si>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</si>
  <si>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</si>
  <si>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</si>
  <si>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</si>
  <si>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</si>
  <si>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</si>
  <si>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</si>
  <si>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</si>
  <si>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</si>
  <si>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</si>
  <si>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</si>
  <si>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</si>
  <si>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</si>
  <si>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</si>
  <si>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</si>
  <si>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</si>
  <si>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</si>
  <si>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</si>
  <si>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</si>
  <si>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</si>
  <si>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</si>
  <si>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</si>
  <si>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</si>
  <si>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</si>
  <si>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</si>
  <si>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</si>
  <si>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</si>
  <si>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</si>
  <si>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</si>
  <si>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</si>
  <si>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</si>
  <si>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</si>
  <si>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</si>
  <si>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</si>
  <si>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</si>
  <si>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</si>
  <si>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</si>
  <si>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</si>
  <si>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</si>
  <si>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</si>
  <si>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</si>
  <si>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</si>
  <si>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</si>
  <si>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</si>
  <si>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</si>
  <si>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</si>
  <si>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</si>
  <si>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</si>
  <si>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</si>
  <si>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</si>
  <si>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</si>
  <si>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</si>
  <si>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</si>
  <si>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</si>
  <si>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</si>
  <si>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</si>
  <si>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</si>
  <si>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</si>
  <si>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</si>
  <si>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</si>
  <si>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</si>
  <si>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</si>
  <si>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</si>
  <si>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</si>
  <si>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</si>
  <si>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</si>
  <si>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</si>
  <si>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</si>
  <si>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</si>
  <si>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</si>
  <si>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</si>
  <si>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</si>
  <si>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</si>
  <si>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</si>
  <si>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</si>
  <si>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</si>
  <si>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</si>
  <si>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</si>
  <si>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</si>
  <si>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</si>
  <si>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</si>
  <si>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</si>
  <si>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392982</t>
  </si>
  <si>
    <t>6104-3389-1676-3366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</si>
  <si>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</si>
  <si>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</si>
  <si>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</si>
  <si>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</si>
  <si>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</si>
  <si>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</si>
  <si>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</si>
  <si>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</si>
  <si>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</si>
  <si>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</si>
  <si>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</si>
  <si>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</si>
  <si>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</si>
  <si>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</si>
  <si>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</si>
  <si>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</si>
  <si>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</si>
  <si>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</si>
  <si>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</si>
  <si>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</si>
  <si>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</si>
  <si>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</si>
  <si>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</si>
  <si>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</si>
  <si>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</si>
  <si>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</si>
  <si>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</si>
  <si>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</si>
  <si>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</si>
  <si>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</si>
  <si>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</si>
  <si>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</si>
  <si>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</si>
  <si>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</si>
  <si>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</si>
  <si>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</si>
  <si>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</si>
  <si>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</si>
  <si>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</si>
  <si>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</si>
  <si>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</si>
  <si>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</si>
  <si>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</si>
  <si>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</si>
  <si>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</si>
  <si>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</si>
  <si>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</si>
  <si>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</si>
  <si>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</si>
  <si>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</si>
  <si>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</si>
  <si>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</si>
  <si>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</si>
  <si>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</si>
  <si>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</si>
  <si>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</si>
  <si>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</si>
  <si>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</si>
  <si>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</si>
  <si>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</si>
  <si>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</si>
  <si>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</si>
  <si>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</si>
  <si>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</si>
  <si>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</si>
  <si>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</si>
  <si>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</si>
  <si>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</si>
  <si>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</si>
  <si>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</si>
  <si>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</si>
  <si>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</si>
  <si>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</si>
  <si>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</si>
  <si>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</si>
  <si>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</si>
  <si>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</si>
  <si>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</si>
  <si>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</si>
  <si>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</si>
  <si>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</si>
  <si>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</si>
  <si>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</si>
  <si>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</si>
  <si>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</si>
  <si>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</si>
  <si>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</si>
  <si>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</si>
  <si>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</si>
  <si>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</si>
  <si>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</si>
  <si>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</si>
  <si>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</si>
  <si>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</si>
  <si>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</si>
  <si>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</si>
  <si>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</si>
  <si>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</si>
  <si>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</si>
  <si>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</si>
  <si>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</si>
  <si>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</si>
  <si>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</si>
  <si>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</si>
  <si>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</si>
  <si>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</si>
  <si>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</si>
  <si>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</si>
  <si>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</si>
  <si>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</si>
  <si>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</si>
  <si>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</si>
  <si>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</si>
  <si>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</si>
  <si>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</si>
  <si>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</si>
  <si>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</si>
  <si>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</si>
  <si>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</si>
  <si>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</si>
  <si>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</si>
  <si>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</si>
  <si>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</si>
  <si>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</si>
  <si>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</si>
  <si>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</si>
  <si>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</si>
  <si>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</si>
  <si>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</si>
  <si>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</si>
  <si>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</si>
  <si>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</si>
  <si>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</si>
  <si>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</si>
  <si>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</si>
  <si>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</si>
  <si>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</si>
  <si>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</si>
  <si>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</si>
  <si>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</si>
  <si>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</si>
  <si>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</si>
  <si>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</si>
  <si>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</si>
  <si>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</si>
  <si>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</si>
  <si>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</si>
  <si>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</si>
  <si>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</si>
  <si>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</si>
  <si>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</si>
  <si>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</si>
  <si>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</si>
  <si>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</si>
  <si>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</si>
  <si>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</si>
  <si>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</si>
  <si>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</si>
  <si>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</si>
  <si>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</si>
  <si>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</si>
  <si>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</si>
  <si>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</si>
  <si>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</si>
  <si>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</si>
  <si>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</si>
  <si>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</si>
  <si>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</si>
  <si>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</si>
  <si>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</si>
  <si>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</si>
  <si>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</si>
  <si>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</si>
  <si>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</si>
  <si>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</si>
  <si>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</si>
  <si>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</si>
  <si>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</si>
  <si>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</si>
  <si>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</si>
  <si>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</si>
  <si>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</si>
  <si>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</si>
  <si>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</si>
  <si>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</si>
  <si>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</si>
  <si>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</si>
  <si>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</si>
  <si>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</si>
  <si>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</si>
  <si>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</si>
  <si>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</si>
  <si>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</si>
  <si>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</si>
  <si>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</si>
  <si>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</si>
  <si>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</si>
  <si>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</si>
  <si>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</si>
  <si>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</si>
  <si>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</si>
  <si>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</si>
  <si>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</si>
  <si>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</si>
  <si>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</si>
  <si>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</si>
  <si>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</si>
  <si>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</si>
  <si>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</si>
  <si>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</si>
  <si>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</si>
  <si>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</si>
  <si>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</si>
  <si>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</si>
  <si>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</si>
  <si>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</si>
  <si>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</si>
  <si>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</si>
  <si>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</si>
  <si>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</si>
  <si>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</si>
  <si>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</si>
  <si>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</si>
  <si>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</si>
  <si>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</si>
  <si>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</si>
  <si>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</si>
  <si>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</si>
  <si>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</si>
  <si>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</si>
  <si>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</si>
  <si>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</si>
  <si>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</si>
  <si>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</si>
  <si>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</si>
  <si>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</si>
  <si>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</si>
  <si>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</si>
  <si>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</si>
  <si>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</si>
  <si>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</si>
  <si>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</si>
  <si>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</si>
  <si>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</si>
  <si>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</si>
  <si>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</si>
  <si>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</si>
  <si>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</si>
  <si>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</si>
  <si>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</si>
  <si>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</si>
  <si>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</si>
  <si>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</si>
  <si>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</si>
  <si>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</si>
  <si>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</si>
  <si>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</si>
  <si>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</si>
  <si>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</si>
  <si>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</si>
  <si>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</si>
  <si>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</si>
  <si>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</si>
  <si>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</si>
  <si>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</si>
  <si>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</si>
  <si>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</si>
  <si>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</si>
  <si>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</si>
  <si>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</si>
  <si>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</si>
  <si>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</si>
  <si>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</si>
  <si>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</si>
  <si>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</si>
  <si>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</si>
  <si>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</si>
  <si>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</si>
  <si>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</si>
  <si>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</si>
  <si>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</si>
  <si>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</si>
  <si>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</si>
  <si>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</si>
  <si>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</si>
  <si>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</si>
  <si>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</si>
  <si>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</si>
  <si>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</si>
  <si>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</si>
  <si>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</si>
  <si>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</si>
  <si>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</si>
  <si>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</si>
  <si>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</si>
  <si>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</si>
  <si>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</si>
  <si>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</si>
  <si>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</si>
  <si>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</si>
  <si>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</si>
  <si>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</si>
  <si>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</si>
  <si>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</si>
  <si>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</si>
  <si>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</si>
  <si>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</si>
  <si>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</si>
  <si>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</si>
  <si>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</si>
  <si>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</si>
  <si>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</si>
  <si>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</si>
  <si>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</si>
  <si>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</si>
  <si>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</si>
  <si>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</si>
  <si>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</si>
  <si>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</si>
  <si>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</si>
  <si>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</si>
  <si>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</si>
  <si>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</si>
  <si>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</si>
  <si>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</si>
  <si>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</si>
  <si>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</si>
  <si>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</si>
  <si>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</si>
  <si>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</si>
  <si>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</si>
  <si>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</si>
  <si>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</si>
  <si>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</si>
  <si>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</si>
  <si>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</si>
  <si>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</si>
  <si>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</si>
  <si>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</si>
  <si>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</si>
  <si>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</si>
  <si>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</si>
  <si>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</si>
  <si>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</si>
  <si>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</si>
  <si>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</si>
  <si>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</si>
  <si>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</si>
  <si>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</si>
  <si>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</si>
  <si>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</si>
  <si>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</si>
  <si>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</si>
  <si>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</si>
  <si>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</si>
  <si>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</si>
  <si>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</si>
  <si>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</si>
  <si>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</si>
  <si>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</si>
  <si>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</si>
  <si>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</si>
  <si>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</si>
  <si>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</si>
  <si>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</si>
  <si>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</si>
  <si>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</si>
  <si>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</si>
  <si>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</si>
  <si>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</si>
  <si>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</si>
  <si>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</si>
  <si>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</si>
  <si>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</si>
  <si>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</si>
  <si>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</si>
  <si>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</si>
  <si>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</si>
  <si>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</si>
  <si>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</si>
  <si>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</si>
  <si>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</si>
  <si>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</si>
  <si>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</si>
  <si>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</si>
  <si>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</si>
  <si>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</si>
  <si>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</si>
  <si>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</si>
  <si>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</si>
  <si>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</si>
  <si>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</si>
  <si>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</si>
  <si>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</si>
  <si>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</si>
  <si>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</si>
  <si>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</si>
  <si>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</si>
  <si>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</si>
  <si>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</si>
  <si>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</si>
  <si>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</si>
  <si>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</si>
  <si>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</si>
  <si>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</si>
  <si>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</si>
  <si>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</si>
  <si>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</si>
  <si>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</si>
  <si>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</si>
  <si>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</si>
  <si>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</si>
  <si>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</si>
  <si>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</si>
  <si>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</si>
  <si>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</si>
  <si>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</si>
  <si>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</si>
  <si>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</si>
  <si>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</si>
  <si>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</si>
  <si>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</si>
  <si>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</si>
  <si>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</si>
  <si>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</si>
  <si>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</si>
  <si>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</si>
  <si>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</si>
  <si>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</si>
  <si>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</si>
  <si>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</si>
  <si>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</si>
  <si>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</si>
  <si>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</si>
  <si>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</si>
  <si>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</si>
  <si>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</si>
  <si>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</si>
  <si>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</si>
  <si>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</si>
  <si>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</si>
  <si>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</si>
  <si>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</si>
  <si>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</si>
  <si>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</si>
  <si>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</si>
  <si>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</si>
  <si>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</si>
  <si>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</si>
  <si>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</si>
  <si>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</si>
  <si>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</si>
  <si>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</si>
  <si>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</si>
  <si>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</si>
  <si>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</si>
  <si>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</si>
  <si>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</si>
  <si>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</si>
  <si>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</si>
  <si>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</si>
  <si>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واریزی های آقای مجتبی کامکاری</t>
  </si>
  <si>
    <t>121599837528</t>
  </si>
  <si>
    <t>6037-6975-2131-4523</t>
  </si>
  <si>
    <t>بیست و ششم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</si>
  <si>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</si>
  <si>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</si>
  <si>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</si>
  <si>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</si>
  <si>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</si>
  <si>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</si>
  <si>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</si>
  <si>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</si>
  <si>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</si>
  <si>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</si>
  <si>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</si>
  <si>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</si>
  <si>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</si>
  <si>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</si>
  <si>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</si>
  <si>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</si>
  <si>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</si>
  <si>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</si>
  <si>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</si>
  <si>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</si>
  <si>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</si>
  <si>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</si>
  <si>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</si>
  <si>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121616078699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</si>
  <si>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</si>
  <si>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</si>
  <si>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</si>
  <si>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</si>
  <si>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</si>
  <si>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</si>
  <si>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</si>
  <si>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</si>
  <si>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ابوالفضل برات نیا ( علی اصغر برات نیا )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</si>
  <si>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</si>
  <si>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</si>
  <si>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</si>
  <si>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</si>
  <si>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</si>
  <si>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</si>
  <si>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</si>
  <si>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</si>
  <si>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</si>
  <si>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</si>
  <si>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</si>
  <si>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</si>
  <si>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</si>
  <si>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</si>
  <si>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</si>
  <si>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</si>
  <si>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</si>
  <si>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</si>
  <si>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</si>
  <si>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</si>
  <si>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</si>
  <si>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1401/08/06</t>
  </si>
  <si>
    <t>چک کشاورزی 50018067573</t>
  </si>
  <si>
    <t>1400/08/06</t>
  </si>
  <si>
    <t>1399/10/03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</si>
  <si>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</si>
  <si>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</si>
  <si>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</si>
  <si>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</si>
  <si>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</si>
  <si>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</si>
  <si>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</si>
  <si>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</si>
  <si>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</si>
  <si>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</si>
  <si>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</si>
  <si>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</si>
  <si>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شماره واتساپ : 09054116865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</si>
  <si>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</si>
  <si>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</si>
  <si>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</si>
  <si>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</si>
  <si>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</si>
  <si>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</si>
  <si>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</si>
  <si>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</si>
  <si>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</si>
  <si>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</si>
  <si>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</si>
  <si>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</si>
  <si>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</si>
  <si>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</si>
  <si>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</si>
  <si>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</si>
  <si>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</si>
  <si>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</si>
  <si>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</si>
  <si>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</si>
  <si>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</si>
  <si>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</si>
  <si>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</si>
  <si>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</si>
  <si>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</si>
  <si>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</si>
  <si>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</si>
  <si>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</si>
  <si>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</si>
  <si>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</si>
  <si>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</si>
  <si>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</si>
  <si>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</si>
  <si>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</si>
  <si>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</si>
  <si>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</si>
  <si>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</si>
  <si>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</si>
  <si>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</si>
  <si>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</si>
  <si>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</si>
  <si>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</si>
  <si>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</si>
  <si>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</si>
  <si>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</si>
  <si>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</si>
  <si>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</si>
  <si>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</si>
  <si>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</si>
  <si>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</si>
  <si>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</si>
  <si>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</si>
  <si>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</si>
  <si>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</si>
  <si>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</si>
  <si>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ابراهیم نادی</t>
  </si>
  <si>
    <t>1401/03/31</t>
  </si>
  <si>
    <t>121748071956</t>
  </si>
  <si>
    <t>6063-7310-5951-4720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</si>
  <si>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</si>
  <si>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</si>
  <si>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</si>
  <si>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</si>
  <si>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</si>
  <si>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</si>
  <si>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</si>
  <si>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</si>
  <si>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</si>
  <si>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</si>
  <si>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</si>
  <si>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</si>
  <si>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</si>
  <si>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</si>
  <si>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</si>
  <si>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</si>
  <si>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</si>
  <si>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خدیجه بهلولی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</si>
  <si>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</si>
  <si>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</si>
  <si>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</si>
  <si>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</si>
  <si>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</si>
  <si>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</si>
  <si>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</si>
  <si>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</si>
  <si>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</si>
  <si>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</si>
  <si>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</si>
  <si>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</si>
  <si>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</si>
  <si>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</si>
  <si>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</si>
  <si>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</si>
  <si>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</si>
  <si>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</si>
  <si>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</si>
  <si>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</si>
  <si>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</si>
  <si>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</si>
  <si>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</si>
  <si>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</si>
  <si>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</si>
  <si>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</si>
  <si>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</si>
  <si>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</si>
  <si>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</si>
  <si>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</si>
  <si>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</si>
  <si>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</si>
  <si>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</si>
  <si>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</si>
  <si>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</si>
  <si>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</si>
  <si>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</si>
  <si>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</si>
  <si>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</si>
  <si>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</si>
  <si>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</si>
  <si>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</si>
  <si>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</si>
  <si>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</si>
  <si>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</si>
  <si>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</si>
  <si>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</si>
  <si>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</si>
  <si>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</si>
  <si>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</si>
  <si>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</si>
  <si>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</si>
  <si>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</si>
  <si>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</si>
  <si>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</si>
  <si>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</si>
  <si>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</si>
  <si>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</si>
  <si>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</si>
  <si>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</si>
  <si>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</si>
  <si>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</si>
  <si>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</si>
  <si>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</si>
  <si>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</si>
  <si>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</si>
  <si>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</si>
  <si>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</si>
  <si>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</si>
  <si>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</si>
  <si>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</si>
  <si>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</si>
  <si>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</si>
  <si>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</si>
  <si>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</si>
  <si>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</si>
  <si>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</si>
  <si>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</si>
  <si>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</si>
  <si>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</si>
  <si>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</si>
  <si>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</si>
  <si>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</si>
  <si>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</si>
  <si>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</si>
  <si>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</si>
  <si>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</si>
  <si>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</si>
  <si>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</si>
  <si>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</si>
  <si>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</si>
  <si>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</si>
  <si>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</si>
  <si>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</si>
  <si>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</si>
  <si>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</si>
  <si>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</si>
  <si>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</si>
  <si>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</si>
  <si>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</si>
  <si>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</si>
  <si>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</si>
  <si>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</si>
  <si>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</si>
  <si>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</si>
  <si>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</si>
  <si>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</si>
  <si>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</si>
  <si>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</si>
  <si>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</si>
  <si>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</si>
  <si>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</si>
  <si>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</si>
  <si>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</si>
  <si>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</si>
  <si>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</si>
  <si>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</si>
  <si>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</si>
  <si>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</si>
  <si>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</si>
  <si>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</si>
  <si>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</si>
  <si>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</si>
  <si>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</si>
  <si>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</si>
  <si>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</si>
  <si>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</si>
  <si>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</si>
  <si>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</si>
  <si>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</si>
  <si>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</si>
  <si>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</si>
  <si>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</si>
  <si>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</si>
  <si>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</si>
  <si>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</si>
  <si>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</si>
  <si>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</si>
  <si>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</si>
  <si>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</si>
  <si>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</si>
  <si>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</si>
  <si>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</si>
  <si>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</si>
  <si>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</si>
  <si>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</si>
  <si>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</si>
  <si>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</si>
  <si>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</si>
  <si>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</si>
  <si>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</si>
  <si>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</si>
  <si>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</si>
  <si>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</si>
  <si>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</si>
  <si>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</si>
  <si>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</si>
  <si>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</si>
  <si>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</si>
  <si>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</si>
  <si>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</si>
  <si>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</si>
  <si>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</si>
  <si>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</si>
  <si>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</si>
  <si>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</si>
  <si>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</si>
  <si>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</si>
  <si>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منصوره غلامی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</si>
  <si>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</si>
  <si>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</si>
  <si>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</si>
  <si>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</si>
  <si>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</si>
  <si>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</si>
  <si>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</si>
  <si>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</si>
  <si>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</si>
  <si>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</si>
  <si>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</si>
  <si>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</si>
  <si>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</si>
  <si>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</si>
  <si>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</si>
  <si>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</si>
  <si>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</si>
  <si>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</si>
  <si>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</si>
  <si>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</si>
  <si>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</si>
  <si>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</si>
  <si>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</si>
  <si>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</si>
  <si>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</si>
  <si>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</si>
  <si>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</si>
  <si>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</si>
  <si>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</si>
  <si>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</si>
  <si>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</si>
  <si>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</si>
  <si>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</si>
  <si>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</si>
  <si>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</si>
  <si>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</si>
  <si>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</si>
  <si>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</si>
  <si>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</si>
  <si>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</si>
  <si>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</si>
  <si>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</si>
  <si>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</si>
  <si>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</si>
  <si>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</si>
  <si>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</si>
  <si>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</si>
  <si>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</si>
  <si>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</si>
  <si>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</si>
  <si>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</si>
  <si>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</si>
  <si>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</si>
  <si>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</si>
  <si>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</si>
  <si>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</si>
  <si>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</si>
  <si>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</si>
  <si>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</si>
  <si>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</si>
  <si>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</si>
  <si>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</si>
  <si>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</si>
  <si>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</si>
  <si>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</si>
  <si>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</si>
  <si>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</si>
  <si>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</si>
  <si>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</si>
  <si>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</si>
  <si>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</si>
  <si>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</si>
  <si>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</si>
  <si>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</si>
  <si>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</si>
  <si>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</si>
  <si>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</si>
  <si>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</si>
  <si>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</si>
  <si>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</si>
  <si>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</si>
  <si>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</si>
  <si>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</si>
  <si>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</si>
  <si>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</si>
  <si>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</si>
  <si>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</si>
  <si>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</si>
  <si>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</si>
  <si>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</si>
  <si>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</si>
  <si>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</si>
  <si>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</si>
  <si>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</si>
  <si>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</si>
  <si>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</si>
  <si>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</si>
  <si>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</si>
  <si>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</si>
  <si>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</si>
  <si>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</si>
  <si>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</si>
  <si>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</si>
  <si>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</si>
  <si>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</si>
  <si>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</si>
  <si>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</si>
  <si>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</si>
  <si>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</si>
  <si>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</si>
  <si>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</si>
  <si>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</si>
  <si>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</si>
  <si>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</si>
  <si>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</si>
  <si>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</si>
  <si>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</si>
  <si>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</si>
  <si>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</si>
  <si>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</si>
  <si>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</si>
  <si>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</si>
  <si>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</si>
  <si>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</si>
  <si>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</si>
  <si>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</si>
  <si>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</si>
  <si>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</si>
  <si>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</si>
  <si>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</si>
  <si>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</si>
  <si>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</si>
  <si>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</si>
  <si>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</si>
  <si>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</si>
  <si>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</si>
  <si>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</si>
  <si>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</si>
  <si>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</si>
  <si>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</si>
  <si>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</si>
  <si>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</si>
  <si>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</si>
  <si>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</si>
  <si>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</si>
  <si>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</si>
  <si>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</si>
  <si>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</si>
  <si>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</si>
  <si>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</si>
  <si>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</si>
  <si>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</si>
  <si>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</si>
  <si>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</si>
  <si>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</si>
  <si>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</si>
  <si>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</si>
  <si>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</si>
  <si>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</si>
  <si>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</si>
  <si>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</si>
  <si>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</si>
  <si>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</si>
  <si>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</si>
  <si>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</si>
  <si>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</si>
  <si>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</si>
  <si>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</si>
  <si>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</si>
  <si>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</si>
  <si>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</si>
  <si>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</si>
  <si>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</si>
  <si>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</si>
  <si>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</si>
  <si>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</si>
  <si>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</si>
  <si>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</si>
  <si>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</si>
  <si>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</si>
  <si>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</si>
  <si>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</si>
  <si>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</si>
  <si>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</si>
  <si>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</si>
  <si>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</si>
  <si>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</si>
  <si>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</si>
  <si>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</si>
  <si>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</si>
  <si>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</si>
  <si>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</si>
  <si>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</si>
  <si>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</si>
  <si>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</si>
  <si>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</si>
  <si>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</si>
  <si>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</si>
  <si>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</si>
  <si>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</si>
  <si>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</si>
  <si>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</si>
  <si>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</si>
  <si>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</si>
  <si>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</si>
  <si>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</si>
  <si>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</si>
  <si>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</si>
  <si>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</si>
  <si>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</si>
  <si>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</si>
  <si>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</si>
  <si>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</si>
  <si>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</si>
  <si>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</si>
  <si>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</si>
  <si>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</si>
  <si>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</si>
  <si>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</si>
  <si>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</si>
  <si>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مهران فروزان پور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</si>
  <si>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</si>
  <si>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</si>
  <si>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</si>
  <si>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</si>
  <si>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</si>
  <si>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</si>
  <si>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</si>
  <si>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</si>
  <si>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</si>
  <si>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</si>
  <si>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</si>
  <si>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</si>
  <si>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</si>
  <si>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</si>
  <si>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</si>
  <si>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</si>
  <si>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</si>
  <si>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</si>
  <si>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</si>
  <si>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</si>
  <si>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</si>
  <si>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</si>
  <si>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</si>
  <si>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</si>
  <si>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</si>
  <si>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</si>
  <si>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</si>
  <si>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</si>
  <si>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</si>
  <si>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</si>
  <si>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</si>
  <si>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</si>
  <si>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</si>
  <si>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</si>
  <si>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</si>
  <si>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</si>
  <si>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</si>
  <si>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</si>
  <si>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</si>
  <si>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</si>
  <si>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</si>
  <si>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</si>
  <si>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</si>
  <si>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</si>
  <si>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</si>
  <si>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</si>
  <si>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</si>
  <si>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</si>
  <si>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</si>
  <si>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</si>
  <si>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</si>
  <si>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</si>
  <si>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</si>
  <si>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</si>
  <si>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</si>
  <si>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</si>
  <si>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</si>
  <si>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</si>
  <si>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</si>
  <si>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</si>
  <si>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</si>
  <si>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</si>
  <si>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</si>
  <si>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</si>
  <si>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</si>
  <si>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</si>
  <si>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</si>
  <si>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</si>
  <si>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</si>
  <si>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</si>
  <si>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</si>
  <si>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</si>
  <si>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</si>
  <si>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</si>
  <si>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</si>
  <si>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فرزاد مالداری</t>
  </si>
  <si>
    <t>جعفر دهقان زاده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</si>
  <si>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</si>
  <si>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</si>
  <si>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</si>
  <si>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</si>
  <si>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</si>
  <si>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</si>
  <si>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</si>
  <si>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</si>
  <si>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</si>
  <si>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</si>
  <si>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</si>
  <si>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</si>
  <si>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</si>
  <si>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</si>
  <si>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</si>
  <si>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</si>
  <si>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</si>
  <si>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</si>
  <si>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</si>
  <si>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</si>
  <si>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</si>
  <si>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</si>
  <si>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</si>
  <si>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</si>
  <si>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</si>
  <si>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</si>
  <si>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</si>
  <si>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</si>
  <si>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</si>
  <si>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</si>
  <si>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</si>
  <si>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</si>
  <si>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</si>
  <si>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</si>
  <si>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</si>
  <si>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</si>
  <si>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</si>
  <si>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</si>
  <si>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</si>
  <si>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</si>
  <si>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</si>
  <si>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</si>
  <si>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</si>
  <si>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</si>
  <si>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</si>
  <si>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</si>
  <si>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</si>
  <si>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</si>
  <si>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</si>
  <si>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</si>
  <si>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</si>
  <si>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</si>
  <si>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</si>
  <si>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</si>
  <si>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</si>
  <si>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</si>
  <si>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</si>
  <si>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</si>
  <si>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</si>
  <si>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</si>
  <si>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</si>
  <si>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</si>
  <si>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</si>
  <si>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</si>
  <si>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</si>
  <si>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</si>
  <si>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</si>
  <si>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</si>
  <si>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</si>
  <si>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</si>
  <si>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</si>
  <si>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</si>
  <si>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</si>
  <si>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</si>
  <si>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</si>
  <si>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</si>
  <si>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</si>
  <si>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</si>
  <si>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</si>
  <si>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</si>
  <si>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</si>
  <si>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</si>
  <si>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</si>
  <si>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</si>
  <si>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</si>
  <si>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</si>
  <si>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</si>
  <si>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</si>
  <si>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</si>
  <si>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</si>
  <si>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</si>
  <si>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</si>
  <si>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</si>
  <si>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</si>
  <si>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</si>
  <si>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</si>
  <si>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</si>
  <si>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</si>
  <si>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</si>
  <si>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</si>
  <si>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</si>
  <si>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</si>
  <si>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</si>
  <si>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</si>
  <si>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</si>
  <si>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</si>
  <si>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</si>
  <si>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</si>
  <si>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</si>
  <si>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</si>
  <si>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</si>
  <si>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</si>
  <si>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</si>
  <si>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</si>
  <si>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</si>
  <si>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</si>
  <si>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</si>
  <si>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</si>
  <si>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</si>
  <si>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</si>
  <si>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</si>
  <si>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</si>
  <si>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</si>
  <si>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</si>
  <si>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</si>
  <si>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</si>
  <si>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</si>
  <si>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</si>
  <si>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</si>
  <si>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</si>
  <si>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</si>
  <si>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</si>
  <si>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</si>
  <si>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</si>
  <si>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</si>
  <si>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</si>
  <si>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</si>
  <si>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</si>
  <si>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</si>
  <si>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</si>
  <si>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</si>
  <si>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</si>
  <si>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</si>
  <si>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</si>
  <si>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</si>
  <si>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</si>
  <si>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</si>
  <si>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</si>
  <si>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</si>
  <si>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</si>
  <si>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</si>
  <si>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</si>
  <si>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</si>
  <si>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</si>
  <si>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</si>
  <si>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</si>
  <si>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</si>
  <si>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</si>
  <si>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</si>
  <si>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</si>
  <si>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</si>
  <si>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</si>
  <si>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</si>
  <si>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</si>
  <si>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</si>
  <si>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</si>
  <si>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</si>
  <si>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</si>
  <si>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</si>
  <si>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</si>
  <si>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</si>
  <si>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</si>
  <si>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</si>
  <si>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</si>
  <si>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</si>
  <si>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</si>
  <si>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</si>
  <si>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</si>
  <si>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</si>
  <si>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</si>
  <si>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</si>
  <si>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</si>
  <si>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</si>
  <si>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</si>
  <si>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</si>
  <si>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</si>
  <si>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</si>
  <si>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</si>
  <si>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</si>
  <si>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</si>
  <si>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</si>
  <si>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</si>
  <si>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</si>
  <si>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</si>
  <si>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</si>
  <si>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</si>
  <si>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</si>
  <si>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</si>
  <si>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</si>
  <si>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</si>
  <si>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</si>
  <si>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</si>
  <si>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</si>
  <si>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</si>
  <si>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</si>
  <si>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</si>
  <si>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</si>
  <si>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</si>
  <si>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</si>
  <si>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</si>
  <si>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</si>
  <si>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</si>
  <si>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یکسال</t>
  </si>
  <si>
    <t>چک هشت خرداد تحویل گرفته شد و قرار شد تا هشت مرداد سود محاسبه و به مبلغ 50 میلیون اضافه گردد.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</si>
  <si>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</si>
  <si>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</si>
  <si>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</si>
  <si>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</si>
  <si>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</si>
  <si>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</si>
  <si>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</si>
  <si>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</si>
  <si>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</si>
  <si>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</si>
  <si>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</si>
  <si>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</si>
  <si>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</si>
  <si>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</si>
  <si>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</si>
  <si>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</si>
  <si>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</si>
  <si>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</si>
  <si>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</si>
  <si>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</si>
  <si>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</si>
  <si>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</si>
  <si>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</si>
  <si>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</si>
  <si>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</si>
  <si>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</si>
  <si>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</si>
  <si>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</si>
  <si>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</si>
  <si>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</si>
  <si>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</si>
  <si>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</si>
  <si>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</si>
  <si>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</si>
  <si>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</si>
  <si>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</si>
  <si>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</si>
  <si>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</si>
  <si>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</si>
  <si>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</si>
  <si>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</si>
  <si>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</si>
  <si>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</si>
  <si>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</si>
  <si>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</si>
  <si>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</si>
  <si>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</si>
  <si>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</si>
  <si>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</si>
  <si>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</si>
  <si>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</si>
  <si>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</si>
  <si>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</si>
  <si>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</si>
  <si>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</si>
  <si>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</si>
  <si>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</si>
  <si>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</si>
  <si>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</si>
  <si>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</si>
  <si>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</si>
  <si>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</si>
  <si>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</si>
  <si>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</si>
  <si>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</si>
  <si>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</si>
  <si>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</si>
  <si>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</si>
  <si>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</si>
  <si>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</si>
  <si>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</si>
  <si>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</si>
  <si>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</si>
  <si>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</si>
  <si>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</si>
  <si>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</si>
  <si>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</si>
  <si>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</si>
  <si>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</si>
  <si>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</si>
  <si>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</si>
  <si>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</si>
  <si>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</si>
  <si>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</si>
  <si>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</si>
  <si>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</si>
  <si>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</si>
  <si>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</si>
  <si>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</si>
  <si>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</si>
  <si>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</si>
  <si>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</si>
  <si>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</si>
  <si>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</si>
  <si>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</si>
  <si>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</si>
  <si>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</si>
  <si>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</si>
  <si>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</si>
  <si>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</si>
  <si>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</si>
  <si>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</si>
  <si>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</si>
  <si>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</si>
  <si>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</si>
  <si>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</si>
  <si>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</si>
  <si>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</si>
  <si>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</si>
  <si>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</si>
  <si>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</si>
  <si>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</si>
  <si>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</si>
  <si>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</si>
  <si>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</si>
  <si>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</si>
  <si>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</si>
  <si>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</si>
  <si>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</si>
  <si>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</si>
  <si>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</si>
  <si>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</si>
  <si>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</si>
  <si>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</si>
  <si>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</si>
  <si>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</si>
  <si>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</si>
  <si>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</si>
  <si>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</si>
  <si>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</si>
  <si>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</si>
  <si>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</si>
  <si>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</si>
  <si>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</si>
  <si>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</si>
  <si>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</si>
  <si>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</si>
  <si>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</si>
  <si>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</si>
  <si>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</si>
  <si>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</si>
  <si>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</si>
  <si>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</si>
  <si>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</si>
  <si>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</si>
  <si>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</si>
  <si>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</si>
  <si>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</si>
  <si>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</si>
  <si>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</si>
  <si>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</si>
  <si>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</si>
  <si>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</si>
  <si>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</si>
  <si>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</si>
  <si>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</si>
  <si>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</si>
  <si>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</si>
  <si>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</si>
  <si>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</si>
  <si>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</si>
  <si>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</si>
  <si>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</si>
  <si>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</si>
  <si>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</si>
  <si>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</si>
  <si>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</si>
  <si>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</si>
  <si>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</si>
  <si>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</si>
  <si>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</si>
  <si>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</si>
  <si>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</si>
  <si>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</si>
  <si>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</si>
  <si>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</si>
  <si>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</si>
  <si>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</si>
  <si>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</si>
  <si>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</si>
  <si>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</si>
  <si>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</si>
  <si>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</si>
  <si>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</si>
  <si>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</si>
  <si>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</si>
  <si>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</si>
  <si>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</si>
  <si>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</si>
  <si>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</si>
  <si>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</si>
  <si>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</si>
  <si>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</si>
  <si>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</si>
  <si>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</si>
  <si>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</si>
  <si>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</si>
  <si>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</si>
  <si>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</si>
  <si>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</si>
  <si>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</si>
  <si>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</si>
  <si>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</si>
  <si>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</si>
  <si>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</si>
  <si>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</si>
  <si>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</si>
  <si>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</si>
  <si>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</si>
  <si>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</si>
  <si>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</si>
  <si>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</si>
  <si>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</si>
  <si>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</si>
  <si>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</si>
  <si>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</si>
  <si>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</si>
  <si>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</si>
  <si>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</si>
  <si>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</si>
  <si>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</si>
  <si>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</si>
  <si>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</si>
  <si>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</si>
  <si>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</si>
  <si>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</si>
  <si>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</si>
  <si>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</si>
  <si>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</si>
  <si>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</si>
  <si>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</si>
  <si>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</si>
  <si>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</si>
  <si>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</si>
  <si>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</si>
  <si>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</si>
  <si>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</si>
  <si>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</si>
  <si>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</si>
  <si>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</si>
  <si>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</si>
  <si>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</si>
  <si>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</si>
  <si>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</si>
  <si>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</si>
  <si>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</si>
  <si>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</si>
  <si>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</si>
  <si>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</si>
  <si>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</si>
  <si>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</si>
  <si>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</si>
  <si>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</si>
  <si>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</si>
  <si>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</si>
  <si>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</si>
  <si>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</si>
  <si>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</si>
  <si>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</si>
  <si>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</si>
  <si>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</si>
  <si>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</si>
  <si>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</si>
  <si>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</si>
  <si>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</si>
  <si>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</si>
  <si>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</si>
  <si>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</si>
  <si>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</si>
  <si>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</si>
  <si>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</si>
  <si>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</si>
  <si>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</si>
  <si>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</si>
  <si>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</si>
  <si>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</si>
  <si>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</si>
  <si>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</si>
  <si>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</si>
  <si>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</si>
  <si>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</si>
  <si>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</si>
  <si>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</si>
  <si>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</si>
  <si>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</si>
  <si>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</si>
  <si>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</si>
  <si>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</si>
  <si>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</si>
  <si>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</si>
  <si>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</si>
  <si>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</si>
  <si>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</si>
  <si>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</si>
  <si>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</si>
  <si>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</si>
  <si>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</si>
  <si>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</si>
  <si>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</si>
  <si>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</si>
  <si>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</si>
  <si>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</si>
  <si>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</si>
  <si>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</si>
  <si>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</si>
  <si>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</si>
  <si>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</si>
  <si>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</si>
  <si>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</si>
  <si>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</si>
  <si>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</si>
  <si>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</si>
  <si>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</si>
  <si>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</si>
  <si>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</si>
  <si>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</si>
  <si>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</si>
  <si>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</si>
  <si>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</si>
  <si>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</si>
  <si>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</si>
  <si>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</si>
  <si>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</si>
  <si>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</si>
  <si>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</si>
  <si>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</si>
  <si>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</si>
  <si>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</si>
  <si>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</si>
  <si>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</si>
  <si>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</si>
  <si>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</si>
  <si>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</si>
  <si>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</si>
  <si>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</si>
  <si>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</si>
  <si>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</si>
  <si>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</si>
  <si>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</si>
  <si>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</si>
  <si>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</si>
  <si>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</si>
  <si>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</si>
  <si>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</si>
  <si>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</si>
  <si>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</si>
  <si>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</si>
  <si>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</si>
  <si>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</si>
  <si>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</si>
  <si>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</si>
  <si>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</si>
  <si>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</si>
  <si>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</si>
  <si>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</si>
  <si>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</si>
  <si>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</si>
  <si>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</si>
  <si>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</si>
  <si>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</si>
  <si>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</si>
  <si>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</si>
  <si>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</si>
  <si>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</si>
  <si>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</si>
  <si>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</si>
  <si>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</si>
  <si>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</si>
  <si>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</si>
  <si>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</si>
  <si>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</si>
  <si>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</si>
  <si>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</si>
  <si>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</si>
  <si>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</si>
  <si>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</si>
  <si>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</si>
  <si>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</si>
  <si>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</si>
  <si>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</si>
  <si>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</si>
  <si>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</si>
  <si>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</si>
  <si>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</si>
  <si>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</si>
  <si>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</si>
  <si>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</si>
  <si>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</si>
  <si>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</si>
  <si>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</si>
  <si>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</si>
  <si>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</si>
  <si>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</si>
  <si>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</si>
  <si>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</si>
  <si>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</si>
  <si>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</si>
  <si>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</si>
  <si>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</si>
  <si>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</si>
  <si>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</si>
  <si>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</si>
  <si>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</si>
  <si>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</si>
  <si>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</si>
  <si>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</si>
  <si>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</si>
  <si>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</si>
  <si>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</si>
  <si>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</si>
  <si>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</si>
  <si>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</si>
  <si>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</si>
  <si>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</si>
  <si>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</si>
  <si>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</si>
  <si>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</si>
  <si>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</si>
  <si>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</si>
  <si>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</si>
  <si>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</si>
  <si>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</si>
  <si>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</si>
  <si>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</si>
  <si>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</si>
  <si>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</si>
  <si>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</si>
  <si>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</si>
  <si>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</si>
  <si>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</si>
  <si>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</si>
  <si>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</si>
  <si>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</si>
  <si>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</si>
  <si>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</si>
  <si>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</si>
  <si>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</si>
  <si>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</si>
  <si>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</si>
  <si>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</si>
  <si>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</si>
  <si>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</si>
  <si>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</si>
  <si>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</si>
  <si>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</si>
  <si>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</si>
  <si>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</si>
  <si>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</si>
  <si>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</si>
  <si>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</si>
  <si>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</si>
  <si>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</si>
  <si>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</si>
  <si>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</si>
  <si>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</si>
  <si>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</si>
  <si>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</si>
  <si>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</si>
  <si>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</si>
  <si>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</si>
  <si>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</si>
  <si>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</si>
  <si>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</si>
  <si>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</si>
  <si>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</si>
  <si>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</si>
  <si>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</si>
  <si>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</si>
  <si>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</si>
  <si>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</si>
  <si>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</si>
  <si>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</si>
  <si>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</si>
  <si>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</si>
  <si>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</si>
  <si>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</si>
  <si>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</si>
  <si>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</si>
  <si>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</si>
  <si>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</si>
  <si>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</si>
  <si>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</si>
  <si>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</si>
  <si>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</si>
  <si>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</si>
  <si>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</si>
  <si>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</si>
  <si>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</si>
  <si>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</si>
  <si>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</si>
  <si>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</si>
  <si>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</si>
  <si>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</si>
  <si>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</si>
  <si>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</si>
  <si>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</si>
  <si>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</si>
  <si>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</si>
  <si>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</si>
  <si>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</si>
  <si>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</si>
  <si>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</si>
  <si>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</si>
  <si>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</si>
  <si>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</si>
  <si>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</si>
  <si>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</si>
  <si>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</si>
  <si>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</si>
  <si>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</si>
  <si>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</si>
  <si>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</si>
  <si>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</si>
  <si>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</si>
  <si>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</si>
  <si>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</si>
  <si>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</si>
  <si>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</si>
  <si>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</si>
  <si>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</si>
  <si>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</si>
  <si>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</si>
  <si>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</si>
  <si>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</si>
  <si>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</si>
  <si>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</si>
  <si>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</si>
  <si>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</si>
  <si>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</si>
  <si>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</si>
  <si>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</si>
  <si>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</si>
  <si>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</si>
  <si>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</si>
  <si>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</si>
  <si>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</si>
  <si>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</si>
  <si>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</si>
  <si>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</si>
  <si>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</si>
  <si>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</si>
  <si>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</si>
  <si>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</si>
  <si>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</si>
  <si>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</si>
  <si>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</si>
  <si>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</si>
  <si>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</si>
  <si>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</si>
  <si>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</si>
  <si>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</si>
  <si>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</si>
  <si>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</si>
  <si>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</si>
  <si>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</si>
  <si>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</si>
  <si>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</si>
  <si>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</si>
  <si>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</si>
  <si>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</si>
  <si>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</si>
  <si>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</si>
  <si>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</si>
  <si>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</si>
  <si>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</si>
  <si>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</si>
  <si>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</si>
  <si>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</si>
  <si>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</si>
  <si>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</si>
  <si>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</si>
  <si>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</si>
  <si>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</si>
  <si>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</si>
  <si>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</si>
  <si>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</si>
  <si>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</si>
  <si>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</si>
  <si>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</si>
  <si>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</si>
  <si>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</si>
  <si>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</si>
  <si>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</si>
  <si>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</si>
  <si>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</si>
  <si>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</si>
  <si>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</si>
  <si>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</si>
  <si>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</si>
  <si>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</si>
  <si>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</si>
  <si>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</si>
  <si>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</si>
  <si>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</si>
  <si>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</si>
  <si>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</si>
  <si>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</si>
  <si>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</si>
  <si>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</si>
  <si>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</si>
  <si>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</si>
  <si>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</si>
  <si>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</si>
  <si>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</si>
  <si>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</si>
  <si>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</si>
  <si>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</si>
  <si>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</si>
  <si>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</si>
  <si>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</si>
  <si>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</si>
  <si>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</si>
  <si>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</si>
  <si>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</si>
  <si>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</si>
  <si>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</si>
  <si>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</si>
  <si>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</si>
  <si>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</si>
  <si>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</si>
  <si>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</si>
  <si>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</si>
  <si>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</si>
  <si>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</si>
  <si>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</si>
  <si>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</si>
  <si>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</si>
  <si>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</si>
  <si>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</si>
  <si>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</si>
  <si>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</si>
  <si>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</si>
  <si>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</si>
  <si>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</si>
  <si>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</si>
  <si>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</si>
  <si>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</si>
  <si>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</si>
  <si>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</si>
  <si>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</si>
  <si>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</si>
  <si>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</si>
  <si>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</si>
  <si>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</si>
  <si>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</si>
  <si>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</si>
  <si>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</si>
  <si>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</si>
  <si>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</si>
  <si>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</si>
  <si>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</si>
  <si>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</si>
  <si>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</si>
  <si>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</si>
  <si>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</si>
  <si>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</si>
  <si>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</si>
  <si>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</si>
  <si>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</si>
  <si>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</si>
  <si>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</si>
  <si>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</si>
  <si>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</si>
  <si>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</si>
  <si>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</si>
  <si>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</si>
  <si>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</si>
  <si>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</si>
  <si>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</si>
  <si>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</si>
  <si>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</si>
  <si>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</si>
  <si>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</si>
  <si>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</si>
  <si>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</si>
  <si>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</si>
  <si>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</si>
  <si>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</si>
  <si>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</si>
  <si>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</si>
  <si>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</si>
  <si>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</si>
  <si>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</si>
  <si>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</si>
  <si>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</si>
  <si>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</si>
  <si>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</si>
  <si>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</si>
  <si>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</si>
  <si>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</si>
  <si>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</si>
  <si>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</si>
  <si>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</si>
  <si>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</si>
  <si>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</si>
  <si>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</si>
  <si>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</si>
  <si>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</si>
  <si>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</si>
  <si>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</si>
  <si>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</si>
  <si>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</si>
  <si>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</si>
  <si>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</si>
  <si>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</si>
  <si>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</si>
  <si>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</si>
  <si>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</si>
  <si>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</si>
  <si>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</si>
  <si>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</si>
  <si>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</si>
  <si>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</si>
  <si>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</si>
  <si>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</si>
  <si>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</si>
  <si>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</si>
  <si>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</si>
  <si>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</si>
  <si>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</si>
  <si>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</si>
  <si>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</si>
  <si>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</si>
  <si>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</si>
  <si>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</si>
  <si>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</si>
  <si>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</si>
  <si>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</si>
  <si>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</si>
  <si>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</si>
  <si>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</si>
  <si>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</si>
  <si>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</si>
  <si>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</si>
  <si>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</si>
  <si>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</si>
  <si>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</si>
  <si>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</si>
  <si>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</si>
  <si>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</si>
  <si>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</si>
  <si>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</si>
  <si>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</si>
  <si>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</si>
  <si>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</si>
  <si>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</si>
  <si>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</si>
  <si>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</si>
  <si>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</si>
  <si>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</si>
  <si>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</si>
  <si>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</si>
  <si>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</si>
  <si>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</si>
  <si>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</si>
  <si>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</si>
  <si>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</si>
  <si>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</si>
  <si>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</si>
  <si>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</si>
  <si>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</si>
  <si>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</si>
  <si>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</si>
  <si>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</si>
  <si>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</si>
  <si>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</si>
  <si>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</si>
  <si>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</si>
  <si>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</si>
  <si>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</si>
  <si>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</si>
  <si>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</si>
  <si>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</si>
  <si>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</si>
  <si>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</si>
  <si>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</si>
  <si>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</si>
  <si>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</si>
  <si>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</si>
  <si>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</si>
  <si>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</si>
  <si>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</si>
  <si>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</si>
  <si>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</si>
  <si>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</si>
  <si>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</si>
  <si>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</si>
  <si>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</si>
  <si>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</si>
  <si>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</si>
  <si>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</si>
  <si>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</si>
  <si>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</si>
  <si>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</si>
  <si>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</si>
  <si>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</si>
  <si>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</si>
  <si>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</si>
  <si>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</si>
  <si>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</si>
  <si>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</si>
  <si>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</si>
  <si>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</si>
  <si>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</si>
  <si>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</si>
  <si>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</si>
  <si>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</si>
  <si>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</si>
  <si>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</si>
  <si>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</si>
  <si>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</si>
  <si>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</si>
  <si>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</si>
  <si>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</si>
  <si>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</si>
  <si>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</si>
  <si>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</si>
  <si>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</si>
  <si>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</si>
  <si>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</si>
  <si>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</si>
  <si>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</si>
  <si>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</si>
  <si>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</si>
  <si>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</si>
  <si>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</si>
  <si>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</si>
  <si>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</si>
  <si>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</si>
  <si>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</si>
  <si>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</si>
  <si>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</si>
  <si>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</si>
  <si>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</si>
  <si>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</si>
  <si>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</si>
  <si>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</si>
  <si>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</si>
  <si>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</si>
  <si>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</si>
  <si>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</si>
  <si>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</si>
  <si>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</si>
  <si>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</si>
  <si>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</si>
  <si>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</si>
  <si>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</si>
  <si>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</si>
  <si>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</si>
  <si>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</si>
  <si>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</si>
  <si>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</si>
  <si>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</si>
  <si>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</si>
  <si>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</si>
  <si>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</si>
  <si>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</si>
  <si>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</si>
  <si>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</si>
  <si>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</si>
  <si>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</si>
  <si>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</si>
  <si>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</si>
  <si>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</si>
  <si>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</si>
  <si>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</si>
  <si>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</si>
  <si>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</si>
  <si>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</si>
  <si>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</si>
  <si>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</si>
  <si>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</si>
  <si>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</si>
  <si>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</si>
  <si>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</si>
  <si>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</si>
  <si>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</si>
  <si>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</si>
  <si>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</si>
  <si>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</si>
  <si>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</si>
  <si>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</si>
  <si>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</si>
  <si>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</si>
  <si>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</si>
  <si>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</si>
  <si>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</si>
  <si>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</si>
  <si>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</si>
  <si>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</si>
  <si>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</si>
  <si>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</si>
  <si>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</si>
  <si>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</si>
  <si>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</si>
  <si>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</si>
  <si>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</si>
  <si>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</si>
  <si>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</si>
  <si>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</si>
  <si>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</si>
  <si>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</si>
  <si>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</si>
  <si>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</si>
  <si>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</si>
  <si>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</si>
  <si>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</si>
  <si>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</si>
  <si>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</si>
  <si>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</si>
  <si>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</si>
  <si>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</si>
  <si>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</si>
  <si>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</si>
  <si>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</si>
  <si>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</si>
  <si>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</si>
  <si>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</si>
  <si>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</si>
  <si>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</si>
  <si>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</si>
  <si>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</si>
  <si>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</si>
  <si>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</si>
  <si>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</si>
  <si>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</si>
  <si>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</si>
  <si>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</si>
  <si>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</si>
  <si>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</si>
  <si>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</si>
  <si>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</si>
  <si>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</si>
  <si>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</si>
  <si>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</si>
  <si>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</si>
  <si>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</si>
  <si>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</si>
  <si>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</si>
  <si>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</si>
  <si>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</si>
  <si>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</si>
  <si>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</si>
  <si>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</si>
  <si>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</si>
  <si>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</si>
  <si>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</si>
  <si>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</si>
  <si>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</si>
  <si>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</si>
  <si>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</si>
  <si>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</si>
  <si>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</si>
  <si>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</si>
  <si>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</si>
  <si>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</si>
  <si>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</si>
  <si>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</si>
  <si>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</si>
  <si>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</si>
  <si>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</si>
  <si>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</si>
  <si>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</si>
  <si>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</si>
  <si>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</si>
  <si>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</si>
  <si>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</si>
  <si>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</si>
  <si>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</si>
  <si>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</si>
  <si>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</si>
  <si>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</si>
  <si>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</si>
  <si>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</si>
  <si>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</si>
  <si>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</si>
  <si>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</si>
  <si>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</si>
  <si>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</si>
  <si>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</si>
  <si>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</si>
  <si>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</si>
  <si>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</si>
  <si>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</si>
  <si>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</si>
  <si>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</si>
  <si>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</si>
  <si>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</si>
  <si>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</si>
  <si>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</si>
  <si>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</si>
  <si>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</si>
  <si>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</si>
  <si>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</si>
  <si>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</si>
  <si>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</si>
  <si>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</si>
  <si>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</si>
  <si>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</si>
  <si>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</si>
  <si>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</si>
  <si>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</si>
  <si>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</si>
  <si>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</si>
  <si>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</si>
  <si>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</si>
  <si>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</si>
  <si>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</si>
  <si>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</si>
  <si>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</si>
  <si>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</si>
  <si>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</si>
  <si>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</si>
  <si>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</si>
  <si>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</si>
  <si>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</si>
  <si>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</si>
  <si>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</si>
  <si>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</si>
  <si>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</si>
  <si>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</si>
  <si>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</si>
  <si>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</si>
  <si>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</si>
  <si>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</si>
  <si>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</si>
  <si>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</si>
  <si>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</si>
  <si>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</si>
  <si>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</si>
  <si>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</si>
  <si>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</si>
  <si>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</si>
  <si>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</si>
  <si>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</si>
  <si>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</si>
  <si>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</si>
  <si>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</si>
  <si>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</si>
  <si>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</si>
  <si>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</si>
  <si>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</si>
  <si>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</si>
  <si>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</si>
  <si>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</si>
  <si>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</si>
  <si>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</si>
  <si>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</si>
  <si>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</si>
  <si>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</si>
  <si>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</si>
  <si>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</si>
  <si>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</si>
  <si>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</si>
  <si>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</si>
  <si>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</si>
  <si>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</si>
  <si>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</si>
  <si>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</si>
  <si>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</si>
  <si>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</si>
  <si>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</si>
  <si>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</si>
  <si>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</si>
  <si>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</si>
  <si>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</si>
  <si>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</si>
  <si>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</si>
  <si>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</si>
  <si>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</si>
  <si>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</si>
  <si>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</si>
  <si>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</si>
  <si>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</si>
  <si>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</si>
  <si>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</si>
  <si>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</si>
  <si>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</si>
  <si>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</si>
  <si>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</si>
  <si>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</si>
  <si>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</si>
  <si>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</si>
  <si>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</si>
  <si>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</si>
  <si>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</si>
  <si>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</si>
  <si>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</si>
  <si>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</si>
  <si>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</si>
  <si>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</si>
  <si>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</si>
  <si>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</si>
  <si>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</si>
  <si>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</si>
  <si>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</si>
  <si>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</si>
  <si>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</si>
  <si>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</si>
  <si>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</si>
  <si>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</si>
  <si>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</si>
  <si>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</si>
  <si>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</si>
  <si>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</si>
  <si>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</si>
  <si>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</si>
  <si>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</si>
  <si>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</si>
  <si>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</si>
  <si>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</si>
  <si>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</si>
  <si>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</si>
  <si>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</si>
  <si>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</si>
  <si>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</si>
  <si>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</si>
  <si>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</si>
  <si>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</si>
  <si>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</si>
  <si>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</si>
  <si>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</si>
  <si>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</si>
  <si>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</si>
  <si>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</si>
  <si>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</si>
  <si>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</si>
  <si>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</si>
  <si>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</si>
  <si>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</si>
  <si>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</si>
  <si>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</si>
  <si>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</si>
  <si>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</si>
  <si>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</si>
  <si>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</si>
  <si>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</si>
  <si>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</si>
  <si>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</si>
  <si>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</si>
  <si>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</si>
  <si>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</si>
  <si>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</si>
  <si>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</si>
  <si>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</si>
  <si>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</si>
  <si>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</si>
  <si>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</si>
  <si>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</si>
  <si>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</si>
  <si>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</si>
  <si>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</si>
  <si>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</si>
  <si>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</si>
  <si>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</si>
  <si>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</si>
  <si>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</si>
  <si>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</si>
  <si>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</si>
  <si>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</si>
  <si>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</si>
  <si>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</si>
  <si>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</si>
  <si>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</si>
  <si>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</si>
  <si>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</si>
  <si>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</si>
  <si>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</si>
  <si>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</si>
  <si>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</si>
  <si>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</si>
  <si>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</si>
  <si>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</si>
  <si>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</si>
  <si>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</si>
  <si>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</si>
  <si>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</si>
  <si>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</si>
  <si>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</si>
  <si>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</si>
  <si>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</si>
  <si>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</si>
  <si>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</si>
  <si>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</si>
  <si>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</si>
  <si>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</si>
  <si>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</si>
  <si>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</si>
  <si>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</si>
  <si>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</si>
  <si>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</si>
  <si>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</si>
  <si>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</si>
  <si>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</si>
  <si>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</si>
  <si>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</si>
  <si>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</si>
  <si>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</si>
  <si>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</si>
  <si>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</si>
  <si>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</si>
  <si>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</si>
  <si>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</si>
  <si>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</si>
  <si>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</si>
  <si>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</si>
  <si>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</si>
  <si>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</si>
  <si>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</si>
  <si>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</si>
  <si>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</si>
  <si>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</si>
  <si>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</si>
  <si>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</si>
  <si>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</si>
  <si>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</si>
  <si>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</si>
  <si>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</si>
  <si>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</si>
  <si>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</si>
  <si>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</si>
  <si>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</si>
  <si>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</si>
  <si>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</si>
  <si>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</si>
  <si>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</si>
  <si>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</si>
  <si>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</si>
  <si>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</si>
  <si>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</si>
  <si>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</si>
  <si>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</si>
  <si>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</si>
  <si>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</si>
  <si>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</si>
  <si>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</si>
  <si>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</si>
  <si>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</si>
  <si>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</si>
  <si>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</si>
  <si>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</si>
  <si>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</si>
  <si>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</si>
  <si>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</si>
  <si>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</si>
  <si>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</si>
  <si>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</si>
  <si>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</si>
  <si>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</si>
  <si>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</si>
  <si>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</si>
  <si>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</si>
  <si>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</si>
  <si>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</si>
  <si>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</si>
  <si>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</si>
  <si>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</si>
  <si>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</si>
  <si>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</si>
  <si>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</si>
  <si>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</si>
  <si>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</si>
  <si>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</si>
  <si>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</si>
  <si>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</si>
  <si>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</si>
  <si>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</si>
  <si>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</si>
  <si>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</si>
  <si>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</si>
  <si>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</si>
  <si>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</si>
  <si>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</si>
  <si>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</si>
  <si>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</si>
  <si>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</si>
  <si>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</si>
  <si>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</si>
  <si>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</si>
  <si>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</si>
  <si>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</si>
  <si>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</si>
  <si>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</si>
  <si>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</si>
  <si>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</si>
  <si>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</si>
  <si>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</si>
  <si>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</si>
  <si>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</si>
  <si>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</si>
  <si>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</si>
  <si>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</si>
  <si>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</si>
  <si>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</si>
  <si>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</si>
  <si>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</si>
  <si>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</si>
  <si>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</si>
  <si>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</si>
  <si>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</si>
  <si>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</si>
  <si>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</si>
  <si>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</si>
  <si>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</si>
  <si>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</si>
  <si>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</si>
  <si>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</si>
  <si>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</si>
  <si>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</si>
  <si>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</si>
  <si>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</si>
  <si>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</si>
  <si>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</si>
  <si>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</si>
  <si>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</si>
  <si>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</si>
  <si>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</si>
  <si>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</si>
  <si>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</si>
  <si>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</si>
  <si>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</si>
  <si>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</si>
  <si>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</si>
  <si>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</si>
  <si>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</si>
  <si>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</si>
  <si>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</si>
  <si>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</si>
  <si>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</si>
  <si>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</si>
  <si>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</si>
  <si>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</si>
  <si>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</si>
  <si>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</si>
  <si>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</si>
  <si>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</si>
  <si>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</si>
  <si>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</si>
  <si>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</si>
  <si>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</si>
  <si>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</si>
  <si>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</si>
  <si>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</si>
  <si>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</si>
  <si>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</si>
  <si>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</si>
  <si>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</si>
  <si>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</si>
  <si>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</si>
  <si>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</si>
  <si>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</si>
  <si>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</si>
  <si>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</si>
  <si>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</si>
  <si>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</si>
  <si>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</si>
  <si>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</si>
  <si>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</si>
  <si>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</si>
  <si>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</si>
  <si>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</si>
  <si>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</si>
  <si>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</si>
  <si>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</si>
  <si>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</si>
  <si>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</si>
  <si>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</si>
  <si>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</si>
  <si>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</si>
  <si>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</si>
  <si>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</si>
  <si>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</si>
  <si>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</si>
  <si>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</si>
  <si>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</si>
  <si>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</si>
  <si>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</si>
  <si>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</si>
  <si>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</si>
  <si>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</si>
  <si>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</si>
  <si>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</si>
  <si>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</si>
  <si>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</si>
  <si>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</si>
  <si>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</si>
  <si>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</si>
  <si>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</si>
  <si>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</si>
  <si>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</si>
  <si>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</si>
  <si>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</si>
  <si>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</si>
  <si>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</si>
  <si>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</si>
  <si>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</si>
  <si>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</si>
  <si>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</si>
  <si>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</si>
  <si>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</si>
  <si>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</si>
  <si>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</si>
  <si>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</si>
  <si>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</si>
  <si>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</si>
  <si>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</si>
  <si>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</si>
  <si>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</si>
  <si>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</si>
  <si>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</si>
  <si>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</si>
  <si>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</si>
  <si>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</si>
  <si>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</si>
  <si>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</si>
  <si>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</si>
  <si>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</si>
  <si>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</si>
  <si>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</si>
  <si>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</si>
  <si>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</si>
  <si>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</si>
  <si>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</si>
  <si>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</si>
  <si>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</si>
  <si>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</si>
  <si>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</si>
  <si>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</si>
  <si>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</si>
  <si>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</si>
  <si>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</si>
  <si>
    <t>1401/056/01</t>
  </si>
  <si>
    <t>شبا بانک 3263</t>
  </si>
  <si>
    <t>شبا بانک 5290</t>
  </si>
  <si>
    <t>واریز به کارت 1840</t>
  </si>
  <si>
    <t>شبا 5984</t>
  </si>
  <si>
    <t>شبا بانک 4974</t>
  </si>
  <si>
    <t>شبا بانک 7525</t>
  </si>
  <si>
    <t>واریز به کارت 2266</t>
  </si>
  <si>
    <t>شبا بانک 9764</t>
  </si>
  <si>
    <t>شبا بانک 6006</t>
  </si>
  <si>
    <t>شبا بانک 1942</t>
  </si>
  <si>
    <t>واریز به کارت 9530</t>
  </si>
  <si>
    <t>شبا بانک 4586</t>
  </si>
  <si>
    <t>شبا بانک 2692</t>
  </si>
  <si>
    <t>شبا بانک 0811</t>
  </si>
  <si>
    <t>واریز به کارت حدیثه رازی</t>
  </si>
  <si>
    <t>مبلغ 30 میلیون تومان در تاریخ 1401/06/02 اضافه شد.</t>
  </si>
  <si>
    <t>مبلغ 60 میلیون در تاریخ 1401/06/02 اضافه شد.</t>
  </si>
  <si>
    <t>1401/06/03</t>
  </si>
  <si>
    <t>واریز به کارت 8076</t>
  </si>
  <si>
    <t>واریز به کارت 3706</t>
  </si>
  <si>
    <t>واریز به کارت 4492</t>
  </si>
  <si>
    <t>1401/06/04</t>
  </si>
  <si>
    <t>واریز به کارت 5870</t>
  </si>
  <si>
    <t>رامی ( واریزی به ساریه بیسوده )</t>
  </si>
  <si>
    <t>سعید بالا ولایت تحولی</t>
  </si>
  <si>
    <t>واریز به کارت 5218</t>
  </si>
  <si>
    <t>واریز به کارت 5001</t>
  </si>
  <si>
    <t>1401/06/05</t>
  </si>
  <si>
    <t>تسویه از اصل پول</t>
  </si>
  <si>
    <t>شبا بانک 5539</t>
  </si>
  <si>
    <t>6037-6975-8775-4430</t>
  </si>
  <si>
    <t>شبا بانک 8910</t>
  </si>
  <si>
    <t>واریز به کارت 0133</t>
  </si>
  <si>
    <t>واریز به کارت 7080</t>
  </si>
  <si>
    <t>1401/06/06</t>
  </si>
  <si>
    <t>شماره شبا 2688</t>
  </si>
  <si>
    <t>شبا بانک 5949</t>
  </si>
  <si>
    <t>5859-8311-8776-6620</t>
  </si>
  <si>
    <t>واریز به کارت 6161</t>
  </si>
  <si>
    <t>فکر کنم واریزی مرداد ماه</t>
  </si>
  <si>
    <t>1401/06/07</t>
  </si>
  <si>
    <t>شبا بانک 2009</t>
  </si>
  <si>
    <t>مبلغ 500 میلیون دوم برای برای 23 روز محاسبه شد مبلغ 24/916/000 تومان شد.</t>
  </si>
  <si>
    <t>واریز به کارت 7296</t>
  </si>
  <si>
    <t>مبلغ 60 میلیون از اصل پول تسویه شد.</t>
  </si>
  <si>
    <t>مبلغ جدید از مهر ماه</t>
  </si>
  <si>
    <t>مهدی مولوی زاده یزدی</t>
  </si>
  <si>
    <t>واریز به کارت 0055</t>
  </si>
  <si>
    <t>برای 18 روز محاسبه شد.</t>
  </si>
  <si>
    <t>واریز به کارت 2003</t>
  </si>
  <si>
    <t>مبلغ 10 میلیون تومان در تاریخ هفتم شهریور اضافه و اصل مبلغ 30 تومان شد.</t>
  </si>
  <si>
    <t>در تاریخ هفتم شهریور مبلغ 60 میلیون تومان افزایش سرمایه دادند و اصل مبلغ 360  تومان شد.</t>
  </si>
  <si>
    <t>در تاریخ 6 شهریور مبلغ 30 میلیون تومان افزایش سرمایه دادند و اصل مبلغ 85 میلیون تومان شد.</t>
  </si>
  <si>
    <t>مبلغ 70 میلیون در تاریخ هفتم شهریور اضافه شد و اصل میلغ 1/916/000/000 شد.</t>
  </si>
  <si>
    <t>برای 25 شهریور ماه 138440 و برای 25 مهرماه 140680</t>
  </si>
  <si>
    <t>رضا حسینی پور</t>
  </si>
  <si>
    <t>در تاریخ 1401/06/08 مشارکت شد.</t>
  </si>
  <si>
    <t>مبلغ 52 میلیون در تاریخ هفتم شهریور اضافه شد - مبلغ توسط کارت هر روز برداشت شود.</t>
  </si>
  <si>
    <t>مبلغ 35 میلیون در تاریخ 6 شهریور به اصل مبلغ اضافه شد - از حساب های علی آقا کسر شود.</t>
  </si>
  <si>
    <t>مصطفی خدادوست</t>
  </si>
  <si>
    <t>سمیه خورا</t>
  </si>
  <si>
    <t>سفته 371534</t>
  </si>
  <si>
    <t>علیرضا محمدنیا</t>
  </si>
  <si>
    <t>1401/06/08</t>
  </si>
  <si>
    <t xml:space="preserve">واریز به کارت 9109 </t>
  </si>
  <si>
    <t>واریز به کارت 1091</t>
  </si>
  <si>
    <t>شبا بانک 2621</t>
  </si>
  <si>
    <t>واریز به کارت 9565</t>
  </si>
  <si>
    <t>شبا بانک 9057</t>
  </si>
  <si>
    <t>شبا بانک 3003</t>
  </si>
  <si>
    <t>شبا بانک 0531</t>
  </si>
  <si>
    <t>از اصل پول 386 میلیون تسویه شد.</t>
  </si>
  <si>
    <t>مبلغ 150 میلیون ماشین از 500 میلیون تسویه شود-50 تومن تیر تسویه شد و 64 میلیون در مرداد و 36 میلیون در شهریور تسویه میشود.</t>
  </si>
  <si>
    <t>واریز به کارت 5235</t>
  </si>
  <si>
    <t>مبلغ 100 میلیون از اصل پول 150 میلیون تسوشه شد و مانده اصل 50 میلیون شد.</t>
  </si>
  <si>
    <t>اصل مانده</t>
  </si>
  <si>
    <t>در کل مبلغ 165 میلیون اضافه شد و اصل مبلغ 700 میلیون شد - از سود دوم مهر 15 پرداخت شد.</t>
  </si>
  <si>
    <t>شبا شماره 9785</t>
  </si>
  <si>
    <t>واریزی بعدی 14 مهر ماه</t>
  </si>
  <si>
    <t xml:space="preserve">مبلغ 40 میلیون اضافه شد اصل 105 شد و واریزی 14 شهریور انجام شد ازکم کردن 40 میلیون </t>
  </si>
  <si>
    <t>علی تیاوری</t>
  </si>
  <si>
    <t>6277-6013-0290-3768</t>
  </si>
  <si>
    <t>مرتضی شاه پسند</t>
  </si>
  <si>
    <t>هشتم</t>
  </si>
  <si>
    <t>مشارکت جدید در تاریخ 1401/06/08</t>
  </si>
  <si>
    <t>1401/06/09</t>
  </si>
  <si>
    <t>5894-6311-1336-1125</t>
  </si>
  <si>
    <t>6277-6012-9409-7447</t>
  </si>
  <si>
    <t>مبلغ 5 میلیون در تاریخ 1401/05/12 و مبلغ 5 میلیون در تاریخ 1401/05/13 واریز شد و مبلغ 5 میلیون در تاریخ 1401/05/22 واریز شد - اصل مبلغ پول 35 میلیون شد .</t>
  </si>
  <si>
    <t>گل افروز کامگار</t>
  </si>
  <si>
    <t>6037-9917-8265-8144</t>
  </si>
  <si>
    <t>شبا بانک 80003</t>
  </si>
  <si>
    <t>شبا بانک 0178</t>
  </si>
  <si>
    <t>شبا بانک 5594</t>
  </si>
  <si>
    <t>واریز به کارت 7309</t>
  </si>
  <si>
    <t>توسط علی آقا واریز شد.</t>
  </si>
  <si>
    <t>1401/06/</t>
  </si>
  <si>
    <t>توسط علی آقا پرداخت شد.</t>
  </si>
  <si>
    <t>مبلغ 100 میلیون از اصل پول تسویه شود.</t>
  </si>
  <si>
    <t>1401/06/02</t>
  </si>
  <si>
    <t>شبا بانک 1681</t>
  </si>
  <si>
    <t>شبا بانک 1280</t>
  </si>
  <si>
    <t>بابت یورو</t>
  </si>
  <si>
    <t>شبا بانک 7001</t>
  </si>
  <si>
    <t>واریز به کارت فاطمه علی محمدی</t>
  </si>
  <si>
    <t>شبا بانک 8043</t>
  </si>
  <si>
    <t>مبلغ 6 میلیون قرضی دادیم</t>
  </si>
  <si>
    <t>1401/06/28</t>
  </si>
  <si>
    <t>چک صادرات</t>
  </si>
  <si>
    <t>بهناز ذبیحی</t>
  </si>
  <si>
    <t>واریز به کارت 8710</t>
  </si>
  <si>
    <t>سود مشارکت تیر و مرداد ماه به اصل مبلغ اضافه شود.</t>
  </si>
  <si>
    <t>سود مشارکت شهریورماه</t>
  </si>
  <si>
    <t>واریز به کارت 0655</t>
  </si>
  <si>
    <t>فاطمه خدادادی ( ابوالفضل آخوندی )</t>
  </si>
  <si>
    <t>واریز به حساب 1003</t>
  </si>
  <si>
    <t>6037-9975-6347-8461</t>
  </si>
  <si>
    <t>شبا بانک 0000</t>
  </si>
  <si>
    <t>شبا بانک 6203</t>
  </si>
  <si>
    <t>شبابانک 8804</t>
  </si>
  <si>
    <t>شبا بانک 3000</t>
  </si>
  <si>
    <t>از 5 شهریور مبلغ 2 میلیون تومان</t>
  </si>
  <si>
    <t>واریز به کارت خانم طاهره کامکاری - یک درصد از این مبلغ برای خود خانم طاهره کامکاری میباشد.</t>
  </si>
  <si>
    <t>تمامی مبالغ تا تاریخ دهم محاسبه شد و مجموع واریزی شهریور ماه 9 میلیون و از مهر ماه کامل میباشد.</t>
  </si>
  <si>
    <t>شبا بانک 6831</t>
  </si>
  <si>
    <t>شبا بانک 4004</t>
  </si>
  <si>
    <t>6104-3389-4781-3941</t>
  </si>
  <si>
    <t>شبا بانک1742</t>
  </si>
  <si>
    <t>140106/03</t>
  </si>
  <si>
    <t>شبا بانک 7006</t>
  </si>
  <si>
    <t>شبا بانک 4357</t>
  </si>
  <si>
    <t>1401/06/10</t>
  </si>
  <si>
    <t>شبا بانک 4295</t>
  </si>
  <si>
    <t>6104-3374-0499-4004</t>
  </si>
  <si>
    <t>ام البنین میرکی قرائی</t>
  </si>
  <si>
    <t>6037-7014-3681-0284</t>
  </si>
  <si>
    <t>6273-8111-7452-9047</t>
  </si>
  <si>
    <t>شبا بانک 8604</t>
  </si>
  <si>
    <t>واریز به کارت 9353</t>
  </si>
  <si>
    <t>واریز به کارت 6756</t>
  </si>
  <si>
    <t>حسین نظام دوست</t>
  </si>
  <si>
    <t>چک بانک کشاورزی 595471</t>
  </si>
  <si>
    <t>1406/09/28</t>
  </si>
  <si>
    <t>1404/06/10</t>
  </si>
  <si>
    <t>سفته 180946</t>
  </si>
  <si>
    <t>سه ماهه - تاریخ سفته 1401/09/03</t>
  </si>
  <si>
    <t>شبا بانک 8384</t>
  </si>
  <si>
    <t>1401/06/11</t>
  </si>
  <si>
    <t>6104-3375-3318-5029</t>
  </si>
  <si>
    <t>هر  شش ماه دو میلیون واریز میشود.</t>
  </si>
  <si>
    <t xml:space="preserve">برای سه ماه ( 3*700=2100 ) + سه ماه ( 3 * 350 = 1/050/000) جمعا 3/150/000 تومان - </t>
  </si>
  <si>
    <t>برای یک ماه ( 1 * 350 = 350 )</t>
  </si>
  <si>
    <t>تسویه سفته سالانه</t>
  </si>
  <si>
    <t>شبا بانک 1056</t>
  </si>
  <si>
    <t>زهرا فخری</t>
  </si>
  <si>
    <t>6037-6975-7125-1443</t>
  </si>
  <si>
    <t>6062-5610-1931-5962</t>
  </si>
  <si>
    <t>مرضیه احمدی ( نیک پی )</t>
  </si>
  <si>
    <t>1401/06/12</t>
  </si>
  <si>
    <t>شبا بانک 6814</t>
  </si>
  <si>
    <t>واریز به کارت 5518</t>
  </si>
  <si>
    <t>واریز به کارت 5097</t>
  </si>
  <si>
    <t>تسویه دو ماه مهر و آبان</t>
  </si>
  <si>
    <t>6037-9919-2513-6255</t>
  </si>
  <si>
    <t>واریز به حساب 5000</t>
  </si>
  <si>
    <t>مرداد ماه مبلغ 200 هزار تومان بیشتر واریز شده است.</t>
  </si>
  <si>
    <t>عصمت نیازجو ( همسر حمید غضنفری )</t>
  </si>
  <si>
    <t>6037-9979-4050-1571</t>
  </si>
  <si>
    <t>نیاز به بررسی</t>
  </si>
  <si>
    <t>واریز به کارت 9528</t>
  </si>
  <si>
    <t>6037-9975-6289-2654</t>
  </si>
  <si>
    <t>واریز به کارت 3655</t>
  </si>
  <si>
    <t>مبلغ 1/600/000 تومان از سود به 8/400/000 واریزی اضافه شد و اصل مبلغ 60 میلیون شد.</t>
  </si>
  <si>
    <t>واریز به کارت 8013</t>
  </si>
  <si>
    <t>واریز به کارت 3547</t>
  </si>
  <si>
    <t>واریز به کارت 9663</t>
  </si>
  <si>
    <t>شبا بانک 1363</t>
  </si>
  <si>
    <t>واریز به کارت طیبه غلامعلی زاده عباس آبادی</t>
  </si>
  <si>
    <t>شبا بانک 1888</t>
  </si>
  <si>
    <t>شبا بانک 3082</t>
  </si>
  <si>
    <t>بهناز ذبیحی (شمسی میرکی)</t>
  </si>
  <si>
    <t>شبا بانک 6393</t>
  </si>
  <si>
    <t>واریز به حساب 6007</t>
  </si>
  <si>
    <t>1401/06/13</t>
  </si>
  <si>
    <t>واریز به کارت 9476</t>
  </si>
  <si>
    <t>مبلغ 10 میلیون تومان در تاریخ یازده شهریور اضافه شد.</t>
  </si>
  <si>
    <t>مبلغ 10 میلیون تومان در تاریخ سیزده شهریور اضافه شد.</t>
  </si>
  <si>
    <t>مبلغ 10 میلیون تومان در تاریخ چهارده شهریور اضافه شد.</t>
  </si>
  <si>
    <t>مبلغ 10 میلیون تومان در تاریخ پانزده شهریور اضافه شد.</t>
  </si>
  <si>
    <t>واریزی از شهریورماه</t>
  </si>
  <si>
    <t>حسین کاشانی</t>
  </si>
  <si>
    <t>16 تیرماه 57 تومت=ن - 16 مرداد 62</t>
  </si>
  <si>
    <t>خانم شکوری</t>
  </si>
  <si>
    <t>1402/06/13</t>
  </si>
  <si>
    <t>سفته 180949</t>
  </si>
  <si>
    <t>1401/06/14</t>
  </si>
  <si>
    <t>واریز به کارت 4993</t>
  </si>
  <si>
    <t>محمود محمودی</t>
  </si>
  <si>
    <t>شبا بانک 7493</t>
  </si>
  <si>
    <t>واریزی اول مهر ماه</t>
  </si>
  <si>
    <t>بهاره کبوتری</t>
  </si>
  <si>
    <t>1402/06/14</t>
  </si>
  <si>
    <t>سفته 180952</t>
  </si>
  <si>
    <t>مبلغ 85/090/000 تومان تاریخ 14 شهریور واریز کردند + سود 15 ام جمعا صد میلیون اضافه شد</t>
  </si>
  <si>
    <t>از مهرماه محاسبه میشود</t>
  </si>
  <si>
    <t>سود شهریور ماه تسویه شد</t>
  </si>
  <si>
    <t>امید جلالی</t>
  </si>
  <si>
    <t>1401/06/15</t>
  </si>
  <si>
    <t>واریز به کارت 7301</t>
  </si>
  <si>
    <t>شبا بانک 9671</t>
  </si>
  <si>
    <t>1402/05/28</t>
  </si>
  <si>
    <t>سفته 201310</t>
  </si>
  <si>
    <t>علی دهنوی</t>
  </si>
  <si>
    <t>علی محمدی</t>
  </si>
  <si>
    <t>1404/07/25</t>
  </si>
  <si>
    <t>سفته 996179</t>
  </si>
  <si>
    <t>1402/04/25</t>
  </si>
  <si>
    <t>سفته 201308</t>
  </si>
  <si>
    <t>الهام حقی پناه</t>
  </si>
  <si>
    <t>حساب 2008</t>
  </si>
  <si>
    <t>سفته 183218</t>
  </si>
  <si>
    <t>1402/04/15</t>
  </si>
  <si>
    <t>هاجر قاینی</t>
  </si>
  <si>
    <t>سفته 186656</t>
  </si>
  <si>
    <t>1404/09/15</t>
  </si>
  <si>
    <t>زهره خورنگار (حسین)</t>
  </si>
  <si>
    <t>سفته 996178</t>
  </si>
  <si>
    <t>1407/04/30</t>
  </si>
  <si>
    <t>سفته 183212</t>
  </si>
  <si>
    <t>1407/05/25</t>
  </si>
  <si>
    <t>محمد غلامی (پسر علی)</t>
  </si>
  <si>
    <t>1404/08/23</t>
  </si>
  <si>
    <t>سفته 183214</t>
  </si>
  <si>
    <t>سی و نه ماهه</t>
  </si>
  <si>
    <t>1401/11/20</t>
  </si>
  <si>
    <t>سفته996176</t>
  </si>
  <si>
    <t>مصیب بیدل</t>
  </si>
  <si>
    <t>1402/05/21</t>
  </si>
  <si>
    <t>سفته 996177</t>
  </si>
  <si>
    <t>رضا احسانی</t>
  </si>
  <si>
    <t>1407/06/08</t>
  </si>
  <si>
    <t>سفته 065279</t>
  </si>
  <si>
    <t xml:space="preserve">قربانعلی مهربان </t>
  </si>
  <si>
    <t>1407/03/15</t>
  </si>
  <si>
    <t>سفته 183219</t>
  </si>
  <si>
    <t>احمد غلامی (برادر مهدی)</t>
  </si>
  <si>
    <t>سفته 186658</t>
  </si>
  <si>
    <t>1407/06/06</t>
  </si>
  <si>
    <t>مهدی زبردست</t>
  </si>
  <si>
    <t>سفته 186660</t>
  </si>
  <si>
    <t>1404/10/12</t>
  </si>
  <si>
    <t>محمد مردان دوست</t>
  </si>
  <si>
    <t>1404/10/04</t>
  </si>
  <si>
    <t>سفته 186655</t>
  </si>
  <si>
    <t>صادق رضایی</t>
  </si>
  <si>
    <t>سفته 186489</t>
  </si>
  <si>
    <t>1407/06/02</t>
  </si>
  <si>
    <t>مریم السادات پهلوزاده</t>
  </si>
  <si>
    <t>1407/06/09</t>
  </si>
  <si>
    <t>سفته 186486</t>
  </si>
  <si>
    <t>1401/06/16</t>
  </si>
  <si>
    <t>تسویه سود سفته سالانه</t>
  </si>
  <si>
    <t>مبلغ 25 میلیون از اقای کیخواه تسویه شد.</t>
  </si>
  <si>
    <t>واریز به کارت 2825</t>
  </si>
  <si>
    <t>واریز به کارت 1674</t>
  </si>
  <si>
    <t xml:space="preserve">مبلغ 500 هزار تومان از مهر ماه پرداخت شد </t>
  </si>
  <si>
    <t>مبلغ 3/600/000 + 200/000 تومان در تاریخ 1401/06/19 اضافه شد.</t>
  </si>
  <si>
    <t>مبلغ 3/600/000 + 200/000 در تاریخ 19 شهریور اضافه شد و جمع مبلغ 44/623/000 شد.</t>
  </si>
  <si>
    <t>مبلغ 5 میلیون الباقی سود به اصل مبلغ اضافه شد.</t>
  </si>
  <si>
    <t>واریز به کارت 5856</t>
  </si>
  <si>
    <t>واریز به کارت 7003</t>
  </si>
  <si>
    <t>واریز به کارت 4705</t>
  </si>
  <si>
    <t>مبلغ 21 میلیون مانده سود شهریور ماه به اصل مبلغ اضافه شد.</t>
  </si>
  <si>
    <t>مبلغ مهر ماه</t>
  </si>
  <si>
    <t>عادل ضیایی</t>
  </si>
  <si>
    <t>مبلغ 160/000/000 میلیون تومان در تاریخ 1401/06/16 افزایش سرمایه داشتند.</t>
  </si>
  <si>
    <t>1401/06/17</t>
  </si>
  <si>
    <t>واریز به کارت 1141</t>
  </si>
  <si>
    <t>واریز به کارت 0679</t>
  </si>
  <si>
    <t>واریز به کارت 5936</t>
  </si>
  <si>
    <t>واریز به کارت 3439</t>
  </si>
  <si>
    <t>واریز به کارت 8604</t>
  </si>
  <si>
    <t>140106/17</t>
  </si>
  <si>
    <t>واریز به کارت 0696</t>
  </si>
  <si>
    <t>واریز به کارت 6371</t>
  </si>
  <si>
    <t>واریز به کارت 6348</t>
  </si>
  <si>
    <t>مبلغ مشارکت جدید برای مهرماه</t>
  </si>
  <si>
    <t>این مبلغ از سمت آقای محمدی به سمت آقای الوانی انتقال یافت.</t>
  </si>
  <si>
    <t>با خانم زهرا عباسی یکی شد.</t>
  </si>
  <si>
    <t>واریزی جدید - حساب خانم زهرا عباسی با خانم سمیه جان محمدی یکی شد.</t>
  </si>
  <si>
    <t>در تاریخ 1401/06/19 مبلغ یک میلیارد افزایش سرمایه داشتند.</t>
  </si>
  <si>
    <t>141/06/18</t>
  </si>
  <si>
    <t>1401/06/19</t>
  </si>
  <si>
    <t>واریزی بعدی 15 ام مهرماه</t>
  </si>
  <si>
    <t>مبلغ 5 میلیون از شهریور ماه در مرداد پرداخت شده است.</t>
  </si>
  <si>
    <t>تا 4 مهر تسویه کامل شده است.</t>
  </si>
  <si>
    <t xml:space="preserve">سه ماه </t>
  </si>
  <si>
    <t>چک 885 + چک 160</t>
  </si>
  <si>
    <t>محمد حسن مبین زاده 09359837970</t>
  </si>
  <si>
    <t>واریز به کارت 7488</t>
  </si>
  <si>
    <t>شبا بانک 2676</t>
  </si>
  <si>
    <t>واریز به کارت 6775</t>
  </si>
  <si>
    <t>شبا بانک2050</t>
  </si>
  <si>
    <t>شبا بانک 6669</t>
  </si>
  <si>
    <t>شبا بانک 8230</t>
  </si>
  <si>
    <t>شبا باننک 3510</t>
  </si>
  <si>
    <t>تاریخ 12 شهریور مبلغ 70 میلیون تومان واریز شد - 19 شهریور 950 هزار تومان و از 19 مهر 4/200 هزار تومان</t>
  </si>
  <si>
    <t>علیرضا رضایی</t>
  </si>
  <si>
    <t>اولین واریزی 19 مهر</t>
  </si>
  <si>
    <t>مبلغ 60 میلیون ضمانت دریافت نکردند - تا 1/500 درصد سود 70 درصد و از 1/500 به بالا 80 درصد</t>
  </si>
  <si>
    <t>زربانو جواهری</t>
  </si>
  <si>
    <t>اولین واریزی 6 مهر</t>
  </si>
  <si>
    <t>1401/06/20</t>
  </si>
  <si>
    <t>از سود مشارکت مهرماه است.</t>
  </si>
  <si>
    <t>اصل 75 ماهیانه 4 میلیون</t>
  </si>
  <si>
    <t>140106/21</t>
  </si>
  <si>
    <t>شبا بانک 5205</t>
  </si>
  <si>
    <t>واریز به حساب 5001</t>
  </si>
  <si>
    <t>6037-7016-1041-8672</t>
  </si>
  <si>
    <t>6037-6915-1078-9563</t>
  </si>
  <si>
    <t>در تاربخ 1401/06/02 مبلغ 10/000/000 تومان افزایش سرمایه داشتند</t>
  </si>
  <si>
    <t>در تاربخ 1401/06/03 مبلغ 5/000/000 تومان افزایش سرمایه داشتند</t>
  </si>
  <si>
    <t>از یکم تا بیستم 6 درصد و از بیستم تا سی ام 6/5 محاسبه شود و ماه های بعدی 6/5 محاسبه گردد.</t>
  </si>
  <si>
    <t>شبا بانک 0245</t>
  </si>
  <si>
    <t>شبا بانک 7008</t>
  </si>
  <si>
    <t>هرماه مبلغ 2 میلیون شیرینی به سود اضافه میشود.</t>
  </si>
  <si>
    <t>شبا بانک 4505</t>
  </si>
  <si>
    <t>اصل مبلغ 700 میلیون شده است و مبلغ 57/500/000 باید واریز شود.</t>
  </si>
  <si>
    <t>شبا بانک 1582</t>
  </si>
  <si>
    <t>شبا بانک 4006</t>
  </si>
  <si>
    <t>مشارکت جدید از مهرماه</t>
  </si>
  <si>
    <t>1401/06/22</t>
  </si>
  <si>
    <t>شبا بانک 2733</t>
  </si>
  <si>
    <t>به حساب 2420</t>
  </si>
  <si>
    <t>واریزی های آقای عبداللهی برای سود مهر ماه</t>
  </si>
  <si>
    <t>جمع کل واریزی تا مهر ماه :</t>
  </si>
  <si>
    <t>مانده از سود مهر :</t>
  </si>
  <si>
    <t>نمیدونم بابت چی واریز شده است</t>
  </si>
  <si>
    <t>شبا بانک 0616</t>
  </si>
  <si>
    <t>شبا بانک 4002</t>
  </si>
  <si>
    <t>6037-9974-2473-2528</t>
  </si>
  <si>
    <t>5894-6311-5362-9209</t>
  </si>
  <si>
    <t xml:space="preserve">مائده حسینی </t>
  </si>
  <si>
    <t>الیاس غضنفری</t>
  </si>
  <si>
    <t>سفته 70 میلیون تحویل اقای عبداللهی شد - برای برداشت اصل سرمایه چک به تاریخ 1401/06/24 دادند.</t>
  </si>
  <si>
    <t>مبلغ 10 میلیون ورودی مشارکت در تاریخ 1401/06/10</t>
  </si>
  <si>
    <t>مبلغ 10 میلیون ورودی مشارکت در تاریخ 1401/06/11</t>
  </si>
  <si>
    <t>مبلغ 10 میلیون ورودی مشارکت در تاریخ 1401/06/14</t>
  </si>
  <si>
    <t>مبلغ 12 میلیون ورودی مشارکت در تاریخ 1401/06/22</t>
  </si>
  <si>
    <t>مبلغ 52 میلیون توسط کارت هر روز برداشت شد.</t>
  </si>
  <si>
    <t>5041-7210-6-2681-1779</t>
  </si>
  <si>
    <t>اشتباها به کارت اقای مجتبی چمنی ریابی واریز شد و ایشان به کارت خانم محمدزاده انتقال دادند.</t>
  </si>
  <si>
    <t>مبلغ 800 هزار تومن برای 18 روز محاسبه شد.</t>
  </si>
  <si>
    <t>6104-3389-1510-3713</t>
  </si>
  <si>
    <t>5892-1013-8398-8355</t>
  </si>
  <si>
    <t>واریزی مرداد و شهریور- هر دوماهی واریز میشود.</t>
  </si>
  <si>
    <t>6037-7015-2537-3392</t>
  </si>
  <si>
    <t>تسویه سود پنجم تا بیستم اصل مبلغ</t>
  </si>
  <si>
    <t>اصل پول طی چک در تاریخ 21 شهریور برداشت شد.</t>
  </si>
  <si>
    <t>6104-3389-4657-5475</t>
  </si>
  <si>
    <t>اصل پول به همراه سود تسویه کامل شد.</t>
  </si>
  <si>
    <t>شبا بانک 4451</t>
  </si>
  <si>
    <t>سود 30 میلیون از تاریخ 12 ام تا بیست و دوم محاسبه شد.</t>
  </si>
  <si>
    <t>از مهر ماه مبلغ 2/300/000 تومان بیست و دوم هر ماه</t>
  </si>
  <si>
    <t>مریم سلطان پور</t>
  </si>
  <si>
    <t>6037-9982-0534-6041</t>
  </si>
  <si>
    <t>عفت عبداللهی</t>
  </si>
  <si>
    <t>1401/06/24</t>
  </si>
  <si>
    <t>6037-9917-9507-0519</t>
  </si>
  <si>
    <t>سفته را تحویل بگیریم</t>
  </si>
  <si>
    <t>1401/06/25</t>
  </si>
  <si>
    <t>1401/06/26</t>
  </si>
  <si>
    <t>6104-3373-4849-3543</t>
  </si>
  <si>
    <t>شبا بانک 7903</t>
  </si>
  <si>
    <t>141/06/27</t>
  </si>
  <si>
    <t>شبا بانک 7988</t>
  </si>
  <si>
    <t>شبا بانک 2005</t>
  </si>
  <si>
    <t>مبلغ 2/500/000 تومان اشتباهی به حسابشان درتاریخ 22 شهریور واریزشد که چون برنگردوندن از اصل پول کم شد.</t>
  </si>
  <si>
    <t>واریزی مهر ماه</t>
  </si>
  <si>
    <t>مبلغ 60 میلیون در تاریخ 1401/06/17 اضافه شد که 40 میلیون ماهیانه و 20 میلیون راسی شد.</t>
  </si>
  <si>
    <t>بابت 60 میلیون جدید و 20 میلیون قبلی سفته نگرفتند.</t>
  </si>
  <si>
    <t>دو ساله</t>
  </si>
  <si>
    <t>مبلغ 10 میلیون از 110 میلیون راسی یکساله شد.</t>
  </si>
  <si>
    <t>محمد امیرشی بهلولی</t>
  </si>
  <si>
    <t>آقای غلامرضا یگانه</t>
  </si>
  <si>
    <t>از 167/000/000 میلیون 1400/06/11 مبلغ 100 میلیون سالیانه 7 درصد ( رضا مقدم ) و 67 میلیون به دادگی اضافه شود.</t>
  </si>
  <si>
    <t>دادگی آقای یگانه به ما تا اول شهریور 1401 : 225=78+80+67</t>
  </si>
  <si>
    <t>مبلغ 225/000/000 میلیون کمباین از 1401/06/01 تا 1401/12/01 به مدت شش ماه 7 درصد محاسبه شود.</t>
  </si>
  <si>
    <t>1401/12/01</t>
  </si>
  <si>
    <t>از60/000/000 میلیون 1400/12/01 شش ماهه تا 1401/06/01 پنج درصد (مهدی یگانه ) میشود 78 میلیون که به دادگی اضافه شود.</t>
  </si>
  <si>
    <t>از50/000/000 میلیون 1400/05/20 یکسال  تا 1401/06/01 پنج درصد (مهدی یگانه ) میشود 80 میلیون که به دادگی اضافه شود.</t>
  </si>
  <si>
    <t>افزایش سرمایه در تاریخ 1401/06/01</t>
  </si>
  <si>
    <t>افزایش سرمایه در تاریخ 1401/06/02</t>
  </si>
  <si>
    <t>افزایش سرمایه در تاریخ 1401/06/03</t>
  </si>
  <si>
    <t>حذف شدند.</t>
  </si>
  <si>
    <t xml:space="preserve">تاریخ چک </t>
  </si>
  <si>
    <t>مبلغ چک</t>
  </si>
  <si>
    <t>شماره چک</t>
  </si>
  <si>
    <t>در وجه</t>
  </si>
  <si>
    <t>نام بانک</t>
  </si>
  <si>
    <t>سپه</t>
  </si>
  <si>
    <t>کشاورزی</t>
  </si>
  <si>
    <t>1400/03/08</t>
  </si>
  <si>
    <t>1400/07/07</t>
  </si>
  <si>
    <t>1400/09/08</t>
  </si>
  <si>
    <t>1400/12/08</t>
  </si>
  <si>
    <t>1401/07/08</t>
  </si>
  <si>
    <t>1401/11/08</t>
  </si>
  <si>
    <t>1402/03/01</t>
  </si>
  <si>
    <t>1402/06/04</t>
  </si>
  <si>
    <t>1777/058012/27</t>
  </si>
  <si>
    <t>3374/939953</t>
  </si>
  <si>
    <t>1777/058007/42</t>
  </si>
  <si>
    <t>1798/442817/41</t>
  </si>
  <si>
    <t>3374/939991</t>
  </si>
  <si>
    <t>3374/939973</t>
  </si>
  <si>
    <t>0051/298607</t>
  </si>
  <si>
    <t>6091/672612</t>
  </si>
  <si>
    <t>مرضیه احیایی</t>
  </si>
  <si>
    <t>ملت</t>
  </si>
  <si>
    <t>تجارت</t>
  </si>
  <si>
    <t xml:space="preserve">جمع کل تا مرداد : </t>
  </si>
  <si>
    <t>و چک مبلغ یک میلیارد بصورت پنج تا فیش بانکی دویست میلیونی پرداخت شد و مبلغ پانصد میلیون چک با باقیمانده مرداد ماه که پانصد و پنجاه میلیون بود یک چک به میلغ یک میلیارد و پنجاه میلیون تومان داده شد.</t>
  </si>
  <si>
    <t>از سیستم چک های به شماره 595471 به مبلغ یک میلیارد و چک به شماره 174155 به مبلغ پانصد میلیون حذف شدند.</t>
  </si>
  <si>
    <t>چک شماره 174155 اصلاح شد و مبلغ یک میلیارد و پنجاه میلیون درج شد.</t>
  </si>
  <si>
    <t>مبلغ 1/680/000/000 میلیون با سود مشارکت 8 درصد به سرمایه خانم احیایی اضافه شد.</t>
  </si>
  <si>
    <t>مبلغ سرمایه جدید + چک قبلی ( 174155 به مبلغ 1/050/000/000 تومان ) یک چک داده شد به مبلغ 2/730/000/000 تومان</t>
  </si>
  <si>
    <t>چک 174155 تحویل آقای عبداللهی شد.</t>
  </si>
  <si>
    <t xml:space="preserve">جمع مبلغ تا 13شهریور : </t>
  </si>
  <si>
    <t xml:space="preserve">جمع کل تا اول شهریور : </t>
  </si>
  <si>
    <t>اطلاعات اولیه</t>
  </si>
  <si>
    <t>اطلاعات تا اول شهریور</t>
  </si>
  <si>
    <t>اطلاعات تا سیزده شهریور</t>
  </si>
  <si>
    <t>1402/06/08</t>
  </si>
  <si>
    <t>6091/672621</t>
  </si>
  <si>
    <t>پرداختی مرداد ماه</t>
  </si>
  <si>
    <t>تسویه مرداد ماه - مانده 550 میلیون مرداد ماه چک داده شد</t>
  </si>
  <si>
    <t>احتمالا از تیرماه</t>
  </si>
  <si>
    <t>مبلغ 47/350/000 میلیون از 200 میلیون مجدد برگشت خورد به حساب اقای عبداللهی</t>
  </si>
  <si>
    <t>مبلغ 945 میلیون افزایش سرمایه داشتند که برای مهرماه با سود 7 درصد و از مهرماه سئد 8 درصد خواهد گردید.</t>
  </si>
  <si>
    <t>مبلغ سود 945 میلیون برای شهریور ماه 66 میلیون میشود که 18 روز آن محاسبه گردید و به اصل مبلغ اضافه شد. (983/000/000=38/000/000+945/000/0000)</t>
  </si>
  <si>
    <t>مانده شهریور ماه + سود خانم مرضیه عبداللهی به اصل مبلغ اضافه گردید.</t>
  </si>
  <si>
    <t>به اصل مبلغ آقای احمد عبداللهی اضافه گردید.</t>
  </si>
  <si>
    <t>واریزی بیستم مهر</t>
  </si>
  <si>
    <t>از دو مبلغ اولیه هرچی سرمایه اضافه بشه با درصد سود 8 میباشد.</t>
  </si>
  <si>
    <t>الباقی مانده  سود به اصل مبلغ آقای احمد عبداللهی اضافه گردید.</t>
  </si>
  <si>
    <t>چک 599124</t>
  </si>
  <si>
    <t>تسویه شهریور ماه - سفته های 049885 و 049886 و 977161 از اقای محمودی به مبلغ 245 میلیون تحویل گرفته شدند.</t>
  </si>
  <si>
    <t>حسین رشیدی</t>
  </si>
  <si>
    <t>این دو مبلغ راسی شدند به تاریخ 1402/01/18 چک به مبلغ 1/560/000/000 داده شد.</t>
  </si>
  <si>
    <t>سرمایه جدید</t>
  </si>
  <si>
    <t>چندماهه</t>
  </si>
  <si>
    <t>چک</t>
  </si>
  <si>
    <t>مبلغ 700 میلیون در تاریخ یکم شهریور اضافه شد.</t>
  </si>
  <si>
    <t>مبلغ 400 میلیون در تاریخ هشتم شهریور اضافه شد.</t>
  </si>
  <si>
    <t>مبلغ 36 میلیون بابت سود های 700 و 400 میلیون تا تاریخ 18 شهریور + 14 میلیون واریزی جدید</t>
  </si>
  <si>
    <t>سود 700 میلیون از یک شهریور تا هفتم شریور شد : 11/064/000 تومان</t>
  </si>
  <si>
    <t>سود 1/100/000/000  میلیون از هشتم شریور هفدهم شد : 24/838/000 تومان</t>
  </si>
  <si>
    <t>واریزی بعدی 18 مهر ماه</t>
  </si>
  <si>
    <t>از 1401/07/18 تا 1401/11/18 سود میگیرند و دو ماه اخر یعنی 1401/12/18 و 1402/01/18 روی چک اصل مبلغ کشیده شد.</t>
  </si>
  <si>
    <t>اصل پول 50 میلیون ماهیانه با سود سه میلیون و 50 میلیون راسی سه ساله</t>
  </si>
  <si>
    <t>چک 343382</t>
  </si>
  <si>
    <t xml:space="preserve">علیرضا نقی پور </t>
  </si>
  <si>
    <t>چک 3374/939988</t>
  </si>
  <si>
    <t>چک تجارت 3374/939989</t>
  </si>
  <si>
    <t>1401/08/15</t>
  </si>
  <si>
    <t>چک 0063/857079</t>
  </si>
  <si>
    <t>چک 111 میلیون مبلغ 11 میلیون واریز شد و 100 میلیون مانده - چک 3374/939980</t>
  </si>
  <si>
    <t>سفته 25 میلیونی بهشون داده شد.</t>
  </si>
  <si>
    <t>مهدی مستمند</t>
  </si>
  <si>
    <t>مبلغ 5 میلیون افزایش سرمایه داشتند.</t>
  </si>
  <si>
    <t>زهره هزاره</t>
  </si>
  <si>
    <t xml:space="preserve">در تاریخ 31 شهریور به شماره شبا 3430 آقای عبداللهی واریز شد - سه ماهه </t>
  </si>
  <si>
    <t>مبلغ 10 میلیون تومان در تاریخ 1401/06/12 اضافه شد.</t>
  </si>
  <si>
    <t>مبلغ 10 مبلبون تومان درتاربخ 1401/05/20 واریز شد.</t>
  </si>
  <si>
    <t>مبلغ 10 میلیون تومان در تاریخ 1401/05/19 واریز شد.</t>
  </si>
  <si>
    <t>مبلغ 10 میلیون تومان در تاریخ 1401/06/02 اضافه شد.</t>
  </si>
  <si>
    <t>سفته نداشتند.</t>
  </si>
  <si>
    <t>1401/08/01</t>
  </si>
  <si>
    <t>1402/01/17</t>
  </si>
  <si>
    <t>1402/03/22</t>
  </si>
  <si>
    <t>افزایش سرمایه در تاریخ 1401/07/02</t>
  </si>
  <si>
    <t>مبلغ آبان ماه</t>
  </si>
  <si>
    <t>آقای غلامرضا یگانه -کل ضمانت ها 1/036/000/000 میلیون تومان است - مبلغ 895/000/000 تومان ضمانت ندارند.</t>
  </si>
  <si>
    <t>اصل 150 میلیون ماهیانه 9 میلیون تومان ششم هر ماه واریز شود. در تاریخ 20 شهریور واریز شده</t>
  </si>
  <si>
    <t>در تاریخ 1401/07/04 واریز شده است.</t>
  </si>
  <si>
    <t>1401/06/29</t>
  </si>
  <si>
    <t>شبا 9002</t>
  </si>
  <si>
    <t>6037-7014-3253-1322</t>
  </si>
  <si>
    <t>شبا بانک 4957</t>
  </si>
  <si>
    <t>سید قادر حسینی</t>
  </si>
  <si>
    <t>5892-1011-0606-4526</t>
  </si>
  <si>
    <t>مبلغ 20 میلیون از اصل پول تسویه شد.</t>
  </si>
  <si>
    <t>1401/06/30</t>
  </si>
  <si>
    <t>واریز به کارت 2493</t>
  </si>
  <si>
    <t>حبیب علمی</t>
  </si>
  <si>
    <t>شروع مشارکت از 1401/06/30</t>
  </si>
  <si>
    <t>مبلغ 70 میلیون در تاریخ 1401/06/30 و مبلغ 50 میلیون در تاریخ 1401/07/02 گداشتند.</t>
  </si>
  <si>
    <t>1401/09/30</t>
  </si>
  <si>
    <t>چک 1803/152091/13</t>
  </si>
  <si>
    <t>واریز به کارت 9198</t>
  </si>
  <si>
    <t>واریز به کارت 5923</t>
  </si>
  <si>
    <t>واریز به حساب 4337</t>
  </si>
  <si>
    <t>تسویه 29 شهریور</t>
  </si>
  <si>
    <t>واریز به کارت 2974</t>
  </si>
  <si>
    <t>واریز به کارت 9102</t>
  </si>
  <si>
    <t>واریز به کارت 8275</t>
  </si>
  <si>
    <t>واریز به کارت 9903</t>
  </si>
  <si>
    <t>مبلغ 80 میلیون مانده از 85 میلیون بیستم  به اصل مبلغ اضافه شد.</t>
  </si>
  <si>
    <t>شبا بانک 6352</t>
  </si>
  <si>
    <t>از سود دوم مهر 15 میلیون در شهریورماه پرداخت شد.</t>
  </si>
  <si>
    <t>مبلغ 25 میلیون ماه گدشته اضافه واریز شده که 17/500 سود مهر رو برداشتند و مابقی رو برگشت میزنند.</t>
  </si>
  <si>
    <t xml:space="preserve">برای 30 میلیون سفته تحویل نگرفتند. </t>
  </si>
  <si>
    <t>مبلغ صد میلیون از سود مشارکت مهر ماه ماه به اصل مبلغ اضافه شد - اصل مبلغ برای یکم مهر 1/800/000 تومان</t>
  </si>
  <si>
    <t>مبلغ 2/400/000 واریز شود و مبلغ 3 میلیون به اصل مبلغ اضافه شود - اصل مبلغ برای اول مهر ماه 111 میلیون میباشد.</t>
  </si>
  <si>
    <t>مبلغ 30 میلیون در تاربخ 1401/06/17 افزایش سرمایه دادند.</t>
  </si>
  <si>
    <t>مانده اصل پول</t>
  </si>
  <si>
    <t>مبلغ 7 تومن با تاییدیه اقای عبداللهی اضافه و اصل پول 100 تومان شد.</t>
  </si>
  <si>
    <t>مبلغ 10/000/000 از سود مهر ماه در شهریور پرداخت شد و مانده سود شهریور 14/500/000 تومان میباشد.</t>
  </si>
  <si>
    <t>تا 4 مهر تسویه کامل شده است - مبلغ 160/000/000 میلیون تومان در تاریخ 1401/06/16 افزایش سرمایه داشتند.</t>
  </si>
  <si>
    <t>1401/07/05</t>
  </si>
  <si>
    <t>واریز به کارت 9006</t>
  </si>
  <si>
    <t>شبا بانک 6239</t>
  </si>
  <si>
    <t>1401/07/04</t>
  </si>
  <si>
    <t>شبا بانک 6612</t>
  </si>
  <si>
    <t>شبا بانک 7604</t>
  </si>
  <si>
    <t>شبا بانک 7355</t>
  </si>
  <si>
    <t>واریز به کارت 2751</t>
  </si>
  <si>
    <t>شبا بانک 3002</t>
  </si>
  <si>
    <t>1401/07/03</t>
  </si>
  <si>
    <t>6104-3375-3340-0055</t>
  </si>
  <si>
    <t>عباس امام وردی</t>
  </si>
  <si>
    <t>1401/07/*03</t>
  </si>
  <si>
    <t>واریز به کارت 9618</t>
  </si>
  <si>
    <t>6037-7014-5319-9801</t>
  </si>
  <si>
    <t>پریسا غفاری پور</t>
  </si>
  <si>
    <t>واریز به کارت 6527</t>
  </si>
  <si>
    <t>1401/0/02</t>
  </si>
  <si>
    <t>مراد غلامی</t>
  </si>
  <si>
    <t>شبا 2809</t>
  </si>
  <si>
    <t>1401/07/01</t>
  </si>
  <si>
    <t>شبا بانک 4830</t>
  </si>
  <si>
    <t>6104-3389-5015-1866</t>
  </si>
  <si>
    <t>1401/06/31</t>
  </si>
  <si>
    <t>شبا بانک8752</t>
  </si>
  <si>
    <t>شبا 63000</t>
  </si>
  <si>
    <t>شبا 3201</t>
  </si>
  <si>
    <t>واریزی بعدی یک آبان</t>
  </si>
  <si>
    <t>شبابانک 8675</t>
  </si>
  <si>
    <t>شبا بانک 8675</t>
  </si>
  <si>
    <t>واریز به کارت 0514</t>
  </si>
  <si>
    <t>واریز به کارت 7085</t>
  </si>
  <si>
    <t>شبا بانک 8812</t>
  </si>
  <si>
    <t>تسویه مهر ماه</t>
  </si>
  <si>
    <t>فکر میکنم مهر در شهریور تسویه شده است.</t>
  </si>
  <si>
    <t>محمدرضا محمدی بمرود</t>
  </si>
  <si>
    <t>شبا بانک 4009</t>
  </si>
  <si>
    <t>زهرا هزاره</t>
  </si>
  <si>
    <t>140106/31</t>
  </si>
  <si>
    <t>6037-7011-9222-1874</t>
  </si>
  <si>
    <t>6037-6915-6515-0893</t>
  </si>
  <si>
    <t>مبلغ 4 میلیون اضافه رو برگشت زدن</t>
  </si>
  <si>
    <t>مادر آقای ...... از گرماب</t>
  </si>
  <si>
    <t>در تاریخ 6 مهر اضافه شدند.</t>
  </si>
  <si>
    <t>شبا بانک 9010</t>
  </si>
  <si>
    <t>سکینه هژبر</t>
  </si>
  <si>
    <t>1401/07/09</t>
  </si>
  <si>
    <t>شبا بانک 6571</t>
  </si>
  <si>
    <t>شبا بانک 3212</t>
  </si>
  <si>
    <t>شبا بانک 9601</t>
  </si>
  <si>
    <t>شبا بانک 5499</t>
  </si>
  <si>
    <t>شبا بانک 8009</t>
  </si>
  <si>
    <t>شبا بانک 3824</t>
  </si>
  <si>
    <t>واریز به کارت 3506</t>
  </si>
  <si>
    <t>6037-7017-1565-8982</t>
  </si>
  <si>
    <t>شبا بانک 8677</t>
  </si>
  <si>
    <t>واریز به کارت 2987</t>
  </si>
  <si>
    <t>پاس شد.</t>
  </si>
  <si>
    <t>1401/10/10</t>
  </si>
  <si>
    <t>برای صد میلیون سفته داده شد و مبلغ پنج میلیون سفته ندادیم.</t>
  </si>
  <si>
    <t>گل افروز کامگار (علی کامگار)</t>
  </si>
  <si>
    <t>واریز به کارت 2092</t>
  </si>
  <si>
    <t>واریز به کارت علی کامگار</t>
  </si>
  <si>
    <t>شبا بانک 5004</t>
  </si>
  <si>
    <t>شباا بانک 8862</t>
  </si>
  <si>
    <t>واریز به کارت 3902</t>
  </si>
  <si>
    <t>برای دو ماه شهریور و مهر پرداخت شد.</t>
  </si>
  <si>
    <t>شبا بانک 4447</t>
  </si>
  <si>
    <t>واریز به کارت 5913</t>
  </si>
  <si>
    <t>واریز به کارت 7498</t>
  </si>
  <si>
    <t>شبا انک 6755</t>
  </si>
  <si>
    <t>از آبان ماه مبلغ 4 میلیون کامل واریز میشود.</t>
  </si>
  <si>
    <t>واریز به کارت 8409</t>
  </si>
  <si>
    <t>واریز به کارت 2921</t>
  </si>
  <si>
    <t>1401/07/10</t>
  </si>
  <si>
    <t>واریز به کارت 3908</t>
  </si>
  <si>
    <t>مبلغ 40 میلیون افزایش سرمایه داشتند</t>
  </si>
  <si>
    <t>واریز به کارت 2968</t>
  </si>
  <si>
    <t>مبینا رفیعی (محمود رفیعی)</t>
  </si>
  <si>
    <t>واریز به کارت 2758</t>
  </si>
  <si>
    <t>برای دو ماه شهریور و مهر به کارت محمود رفیعی پرداخت شد.</t>
  </si>
  <si>
    <t>شبا بانک 0112</t>
  </si>
  <si>
    <t>شبا بانک 80000</t>
  </si>
  <si>
    <t>مهدی غلامی پل بند</t>
  </si>
  <si>
    <t>شبا بانک 0459</t>
  </si>
  <si>
    <t>مبلغ 50 میلیون در تاریخ 1401/06/31 افزایش سرمایه داشتند.</t>
  </si>
  <si>
    <t>مبلغ 5 میلیون از تاریخ 13 مرداد تا 7 مهر به مدت 56 روز محاسبه شد. 453/600=8100*56</t>
  </si>
  <si>
    <t>مبلغ 5 میلیون از تاریخ 12 مرداد تا 7 مهر به مدت 57 روز محاسبه شد. 461/700=8100*57</t>
  </si>
  <si>
    <t>مبلغ 5 میلیون از تاریخ 23 مرداد تا 7 مهر به مدت 46 روز محاسبه شد. 372/600=8100*46</t>
  </si>
  <si>
    <t>مرضیه بخشی گلستانی</t>
  </si>
  <si>
    <t>مبلغ 50 میلیون از قبل و 5 میلیون جدید مربوط به خانم زینب صولتی مقدم است. (واریز به کارت پارسیان)</t>
  </si>
  <si>
    <t>(واریز به کارت پارسیان)</t>
  </si>
  <si>
    <t>یک سفته 16 میلیون یکساله داشتند که شده 27 میلیون - 27 میلیون + 12/500 شده 39/500/000 - اصل مبلغ شد 50 میلیون ماهیانه 2/500/000 - (واریز به کارت پارسیان)</t>
  </si>
  <si>
    <t>از ماه بعد مبلغ دو میلیون از سود پول کم میشود چون مبلغ خانم بی بی زهرا تنهایی تسویه شده است.</t>
  </si>
  <si>
    <t>مبلغ 400 میلیون به تاریخ 1402/07/06 سفته داده شد.</t>
  </si>
  <si>
    <t>محمد علی اکبرخانی</t>
  </si>
  <si>
    <t>مبلغ 100 میلیون به تاریخ 1402/07/11 سفته داده شد.</t>
  </si>
  <si>
    <t>1401/07/11</t>
  </si>
  <si>
    <t>5892-1012-5731-1742</t>
  </si>
  <si>
    <t>واریز به کارت 4419</t>
  </si>
  <si>
    <t>واریز به کارت زهرا قاسمی تبار</t>
  </si>
  <si>
    <t>شبا بانک 6642</t>
  </si>
  <si>
    <t>سمیه جان محمدی موسی آباد (زهرا عباسی)</t>
  </si>
  <si>
    <t>علی خوردوی گلخطمی (سمیه جان مجمدی موسی آباد)</t>
  </si>
  <si>
    <t>تاریخ سی ام با یازدهم یکی شد و قرار شد هر دو مبلغ در تاریخ یازدهم هرماه واریز شود.</t>
  </si>
  <si>
    <t>141/07/11</t>
  </si>
  <si>
    <t>ام البنین کامگارپور (محسن غلامی)</t>
  </si>
  <si>
    <t>واریز به کارت محسن غلامی</t>
  </si>
  <si>
    <t>مشارکت جدید در تاریخ 1401/06/28</t>
  </si>
  <si>
    <t>مبلغ 102 میلیون در تاریخ 1400/12/28 شش ماهه گذاشتند که 140 میلیون شده است.</t>
  </si>
  <si>
    <t>توسط مهدی غلامی پرداخت شد از هفتم مهرماه ما باید واریز کنیم</t>
  </si>
  <si>
    <t>توسط مهدی غلامی پرداخت شد</t>
  </si>
  <si>
    <t>برای تیر و خرداد</t>
  </si>
  <si>
    <t>اصل پول 10 میلیون تسویه شده است.</t>
  </si>
  <si>
    <t>مبلغ 50 میلیون به تاریخ 1402/07/15 سفته داده شد.</t>
  </si>
  <si>
    <t>مبلغ 200 میلیون به تاریخ 1402/08/25 سفته داده شد.</t>
  </si>
  <si>
    <t>سفته شماره 432137</t>
  </si>
  <si>
    <t>1402/08/25</t>
  </si>
  <si>
    <t>1401/07/13</t>
  </si>
  <si>
    <t>محمد حسین کامگار</t>
  </si>
  <si>
    <t>حساب 8582</t>
  </si>
  <si>
    <t>6362-1411-1484-9418</t>
  </si>
  <si>
    <t>ایستگاه صلواتی</t>
  </si>
  <si>
    <t>6104-3374-2830-8710</t>
  </si>
  <si>
    <t>تسویه مهر ماه و آبان ماه</t>
  </si>
  <si>
    <t>1401/07/14</t>
  </si>
  <si>
    <t>مهدی پابرجای</t>
  </si>
  <si>
    <t>شبا بانک 0343</t>
  </si>
  <si>
    <t>سجاد کامکاری</t>
  </si>
  <si>
    <t>5892-1013-9174-6993</t>
  </si>
  <si>
    <t>مبلغ 3 میلیون پرداخت شد و مبلغ 47 میلیون ماهانه شد - واریزی بعدی دوم آبان</t>
  </si>
  <si>
    <t>واریز به کارت 6668</t>
  </si>
  <si>
    <t>واریز به کارت 7769</t>
  </si>
  <si>
    <t>به حساب ساناز حسن زاده اضافه شد.</t>
  </si>
  <si>
    <t>واریز به کارت 4051</t>
  </si>
  <si>
    <t>واریز به کارت 1032</t>
  </si>
  <si>
    <t>باید برای 3 هفته حساب میشد و اشتباها کامل واریز شد - از سود آبان کسر گردد.</t>
  </si>
  <si>
    <t>علی صدیقی</t>
  </si>
  <si>
    <t>مبلغ ده میلیون افزایش سرمایه داشتند - افزایش سرمایه</t>
  </si>
  <si>
    <t>سودا حسنی ( دختر فاطمه حسنی )</t>
  </si>
  <si>
    <t>سودا حسنی ( دختر فاطمه حسینی )</t>
  </si>
  <si>
    <t>مبلغ ده میلیون افزایش سرمایه داشتند.</t>
  </si>
  <si>
    <t>1401/07/16</t>
  </si>
  <si>
    <t>شبا بانک 1708</t>
  </si>
  <si>
    <t>6104-3389-2810-0912</t>
  </si>
  <si>
    <t>شبا بانک 2864</t>
  </si>
  <si>
    <t>شبا بانک 4417</t>
  </si>
  <si>
    <t>شبا بانک 3522</t>
  </si>
  <si>
    <t>واریز به کارت ریحانه جازاری معمویی</t>
  </si>
  <si>
    <t>مبلغ 2/500/000 تومان اضافه واریز شد که از مهرماه کسر شود.</t>
  </si>
  <si>
    <t>مبلغ 2/500/000 در شهریور پرداخت شد.</t>
  </si>
  <si>
    <t>6037-7015-0438-2083</t>
  </si>
  <si>
    <t>واریز به کارت 3773</t>
  </si>
  <si>
    <t>امین تابانی</t>
  </si>
  <si>
    <t>1407/07/16</t>
  </si>
  <si>
    <t>تسویه اصل پول</t>
  </si>
  <si>
    <t>1401/07/17</t>
  </si>
  <si>
    <t>مشارکت جدید در تاریخ 1401/06/28- مبلغ 102 میلیون در تاریخ 1400/12/28 شش ماهه گذاشتند که 140 میلیون شده است.</t>
  </si>
  <si>
    <t>واریز به کارت 8415</t>
  </si>
  <si>
    <t>تسویه مهرماه</t>
  </si>
  <si>
    <t>5859-8310-0230-5562</t>
  </si>
  <si>
    <t>نرگس اقبال همت ابادی</t>
  </si>
  <si>
    <t>واریز به کارت 8374</t>
  </si>
  <si>
    <t>مبلغ 100 هزار تومان کم واریز شد. ابان ماه پرداخت شود.</t>
  </si>
  <si>
    <t>مبلغ 6 میلیون قرضی در شهریور ماه دادیم که از سود مهرماه کسر شد.</t>
  </si>
  <si>
    <t>امید دولتی میل کاریز</t>
  </si>
  <si>
    <t>واریز به کارت 1914</t>
  </si>
  <si>
    <t>حانیه زردادخانی</t>
  </si>
  <si>
    <t>واریز به کارت 7881</t>
  </si>
  <si>
    <t>فکر کنم از ماه اینده باید کسر شود</t>
  </si>
  <si>
    <t>شبا بانک 6545</t>
  </si>
  <si>
    <t>تسویه مهر و آبان - مبلغ 19 میلیون تومان ضمانت داده نشده است احتمال برداشت و یا یک چک کلی هر دو مبلغ وجود دارد.</t>
  </si>
  <si>
    <t>شبا بانک 5595</t>
  </si>
  <si>
    <t>شبا بانک 6105</t>
  </si>
  <si>
    <t>شبا بانک 6805</t>
  </si>
  <si>
    <t>شبا بانک 5059</t>
  </si>
  <si>
    <t>شبا بانک 7778</t>
  </si>
  <si>
    <t>شبا بانک 5593</t>
  </si>
  <si>
    <t>به کارت علی عزیز عربی واریز شد -شانزدهم تیر 57 تومان و شانزدهم مرداد 62 تومان</t>
  </si>
  <si>
    <t>مازاد چک 482 میلیون</t>
  </si>
  <si>
    <t>شبا بانک 2021</t>
  </si>
  <si>
    <t>شبا بانک 6094</t>
  </si>
  <si>
    <t>علی صمصامی</t>
  </si>
  <si>
    <t>سفته 996154</t>
  </si>
  <si>
    <t>1402/06/25</t>
  </si>
  <si>
    <t>سفته های 186642-698087-186643</t>
  </si>
  <si>
    <t>1401/12/30</t>
  </si>
  <si>
    <t>سی ام</t>
  </si>
  <si>
    <t>در تاریخ سی شهریور مبلغ 200 میلیون واریز شد.</t>
  </si>
  <si>
    <t>1401/07/23</t>
  </si>
  <si>
    <t>شبا بانک 4424</t>
  </si>
  <si>
    <t>تسویه سود یکم مهر ماه</t>
  </si>
  <si>
    <t>تسویه سود یکم آبان ماه</t>
  </si>
  <si>
    <t>شبا بانک 8905</t>
  </si>
  <si>
    <t>مبلغ 4 میلیون در تاریخ 1401/07/18 اضافه شد.</t>
  </si>
  <si>
    <t xml:space="preserve">مانئه مبلغ سپرده گذاری </t>
  </si>
  <si>
    <t>عصمت شبانی</t>
  </si>
  <si>
    <t>زهره کریمی</t>
  </si>
  <si>
    <t>اقدس علیزاده</t>
  </si>
  <si>
    <t>1401/07/19</t>
  </si>
  <si>
    <t>شبا بانک 6002</t>
  </si>
  <si>
    <t>1401/07/20</t>
  </si>
  <si>
    <t>واریز به حساب 5970</t>
  </si>
  <si>
    <t>واریز به کارت 1874</t>
  </si>
  <si>
    <t>1401/07/21</t>
  </si>
  <si>
    <t>شبا بانک 2137</t>
  </si>
  <si>
    <t>6277-6012-9135-5921</t>
  </si>
  <si>
    <t>شبا بانک 1008</t>
  </si>
  <si>
    <t>شبا بانک 0765</t>
  </si>
  <si>
    <t>در تاریخ 1401/07/19 به اصل مبلغ اضافه شد که تا تاریخ کم محاسبه شود.</t>
  </si>
  <si>
    <t>1401/07/24</t>
  </si>
  <si>
    <t>از مبلغ آبان ماه پرداخت شد - در تاریخ 1401/07/17 مقرر شد از آبان ماه درصد 6 درصد شود.</t>
  </si>
  <si>
    <t>قرضی</t>
  </si>
  <si>
    <t>مرتضی نیکفرجام</t>
  </si>
  <si>
    <t>مبلغ 45 میلیون به تاریخ 1402/06/05 سفته داده شد. شماره سفته : 438085</t>
  </si>
  <si>
    <t>مبلغ 60 میلیون تومان در تاریخ 1401/07/18 دریافت شد.</t>
  </si>
  <si>
    <t>1401/07/25</t>
  </si>
  <si>
    <t>شبا بانک 6455</t>
  </si>
  <si>
    <t>شبا بانک 1133</t>
  </si>
  <si>
    <t>شبا بانک 0843</t>
  </si>
  <si>
    <t>شبا بانک 0301</t>
  </si>
  <si>
    <t>زهرا خالقی</t>
  </si>
  <si>
    <t>مبلغ 10 میلیون به تاریخ 1402/07/25 سفته داده شد. شماره سفته : 659146 و 659148</t>
  </si>
  <si>
    <t>شبا بانک 0009</t>
  </si>
  <si>
    <t xml:space="preserve">جواد عباسپور </t>
  </si>
  <si>
    <t>مبلغ 200 میلیون به تاریخ 1402/07/26 سفته داده شد. شماره سفته : 588608 و 588612</t>
  </si>
  <si>
    <t>1401/07/26</t>
  </si>
  <si>
    <t>واریز به کارت 5184</t>
  </si>
  <si>
    <t>معصومه غلامی (علی غلامی)</t>
  </si>
  <si>
    <t>شبا بانک 8008</t>
  </si>
  <si>
    <t>فاطمه میرانی نژاد (علی میرانی)</t>
  </si>
  <si>
    <t>شبا بانک 5879</t>
  </si>
  <si>
    <t>شبا بانک 6009</t>
  </si>
  <si>
    <t>جواد خدا دوست (سمیه خدادوست)</t>
  </si>
  <si>
    <t>شبا بانک 8906</t>
  </si>
  <si>
    <t>واریز به کارت 2446</t>
  </si>
  <si>
    <t>واریز به کارت 6532</t>
  </si>
  <si>
    <t>سمانه شیردل شرقی</t>
  </si>
  <si>
    <t>6362-1411-1393-6745</t>
  </si>
  <si>
    <t>حسن عباسپور</t>
  </si>
  <si>
    <t>واریز به کارت 4415</t>
  </si>
  <si>
    <t>1401/07/27</t>
  </si>
  <si>
    <t>محمد پرویزی مقدم</t>
  </si>
  <si>
    <t>5892-1010-2897-6351</t>
  </si>
  <si>
    <t>صغری اسداللهی</t>
  </si>
  <si>
    <t>6274-1212-0006-6249</t>
  </si>
  <si>
    <t>1401/07/28</t>
  </si>
  <si>
    <t>واریز به کارت 2160</t>
  </si>
  <si>
    <t>منیره رستگار مقدم اصغری</t>
  </si>
  <si>
    <t>شبا بانک 9293</t>
  </si>
  <si>
    <t>1402/01/10</t>
  </si>
  <si>
    <t>سفته های 976090-976089-976091</t>
  </si>
  <si>
    <t>احمد رضا علی پور</t>
  </si>
  <si>
    <t>در تاریخ 1401/07/12 مبلغ 100 میلیون اضافه شد و برای 8 روز تا بیستم محاسبه شد که برابر 2/133/000 تومان شد.</t>
  </si>
  <si>
    <t>در تاریخ 1401/07/13 مبلغ 100 میلیون اضافه شد و برای 7 روز تا بیستم محاسبه شد که برابر 1/866/000 تومان شد.</t>
  </si>
  <si>
    <t>در تاریخ 1401/07/14 مبلغ 100 میلیون اضافه شد و برای 6 روز تا بیستم محاسبه شد که برابر 1/600/000 تومان شد.</t>
  </si>
  <si>
    <t>سود بیستم مهر ماه :</t>
  </si>
  <si>
    <t>جمع واریزی به ما درمهر ماه :</t>
  </si>
  <si>
    <t>اطلاعات جدید آقای جوینی</t>
  </si>
  <si>
    <t>قرار شد ماهی 39 میلیون از سودمهر و آبان کم شود تا 78 میلیون سفته راسی تسویه شود.</t>
  </si>
  <si>
    <t>بابت سفته راسی مهر و ابان کم میشود.</t>
  </si>
  <si>
    <t>ساناز حسن زاده</t>
  </si>
  <si>
    <t>مبلغ 9 میلیون در تاریخ 1401/07/16 واریز شد.</t>
  </si>
  <si>
    <t>مبلغ 5 میلیون در تاریخ 1401/07/16 واریز شد.</t>
  </si>
  <si>
    <t>مبلغ 10/800/000 تومان از حساب قاسم جوینی به خانم حسن زاده اضافه شد.</t>
  </si>
  <si>
    <t>برداشت از کارت</t>
  </si>
  <si>
    <t>هزینه ماهیانه حقوق</t>
  </si>
  <si>
    <t>هزینه تبلیغات</t>
  </si>
  <si>
    <t>غلام احمد حسینی</t>
  </si>
  <si>
    <t>مبلغ 93 میلیون در تاریخ 1401/07/30 واریز شد - الباقی یکم آبان</t>
  </si>
  <si>
    <t>1401/07/30</t>
  </si>
  <si>
    <t>سفته تحویل آقای عبداللهی شد.</t>
  </si>
  <si>
    <t>در تاریخ 1401/04/04 واریز شد.</t>
  </si>
  <si>
    <t>از گرفتن اصل پشیمون شدند . مبلغ 13/942/000 تومان در تاریخ 1401/07/23 برگشت زدند - باید 192/000 براشون بریزیم.</t>
  </si>
  <si>
    <t>سفته های 588606 - 069995</t>
  </si>
  <si>
    <t>چهار ساله</t>
  </si>
  <si>
    <t>مبلغ 10 میلیون در تاریخ 1401/07/11 افزایش سرمایه داشتند.</t>
  </si>
  <si>
    <t>مبلغ 100 میلیون آقای ابراهیم قویبازو شکوری ماهانه واریز کردند و مبلغ 15 میلیون اقای محمد بیدل سه ساله گذاشتند.</t>
  </si>
  <si>
    <t>ابراهیم قویبازو شکوری</t>
  </si>
  <si>
    <t>شروع سرمایه گذاری در تاریخ بیستم مهر ماه توسط مهدی غلامی</t>
  </si>
  <si>
    <t>محمد بیدل</t>
  </si>
  <si>
    <t>توسط مهدی غلامی در تاریخ 1401/07/20</t>
  </si>
  <si>
    <t>افزایش سرمایه در تاریخ 1401/07/04</t>
  </si>
  <si>
    <t>افزایش سرمایه در تاریخ 1401/07/11</t>
  </si>
  <si>
    <t>مبلغ 5 میلیون در تاریخ 1401/06/30افزایش سرمایه داشتند.</t>
  </si>
  <si>
    <t>لیلا جلالی - مراد غلامی</t>
  </si>
  <si>
    <t>در تاریخ دهم مهر ماه به حساب ملت آقای عبدالهی واریز شده است.</t>
  </si>
  <si>
    <t>محمد صادق خالقی ( داماد مراد غلامی)</t>
  </si>
  <si>
    <t>در تاریخ یازدهم مهر ماه مبلغ 190 میلیون به حساب ملت آقای عبداللهی واریز شد که صد میلیون سه ساله و 90 میلیون ماهانه محاسبه شود.</t>
  </si>
  <si>
    <t>1404/07/11</t>
  </si>
  <si>
    <t>واریز به کارت ابوالفضل برات نیا - اصل پول هفتاد میلیون ( مبلغ پنجاه میلیون در تاریخ 1401/07/03 رستوران کارت کشیدند و مبلغ 20 میلیون طی دو واریزی ده میلیون</t>
  </si>
  <si>
    <t>در تاریخ های سوم مهر و چهارم مهر به حساب ملی آقای عبداللهی واریز کردند.</t>
  </si>
  <si>
    <t>حلیمه خالقی</t>
  </si>
  <si>
    <t>سفته 435153</t>
  </si>
  <si>
    <t>چک 30/28/905041 بانک صادرات به تاریخ 1401/04/29 به مبلغ 38 میلیون تحویل ما شد و مبلغ راسی شد.</t>
  </si>
  <si>
    <t>حسین رضایی</t>
  </si>
  <si>
    <t>مبلغ 100 میلیون تومان توسط علی اقا در تاریخ 1401/07/30 به حساب ملت 3430 اقای عبداللهی واریز شد - شماره پیگیری : 706474</t>
  </si>
  <si>
    <t>مبلغ 30 میلیون تومان توسط علی اقا در تاریخ 1401/07/30 به حساب ملت 3430 اقای عبداللهی واریز شد - شماره پیگیری : 706474 و 20 میلیون تا اخر ماه - سفته 951395</t>
  </si>
  <si>
    <t>مبلغ 10 میلیون از سمت خانم نجمه ایمانی به سمت ایشان آمده است.</t>
  </si>
  <si>
    <t>مبلغ 10 میلیون از حساب خانم ایمانی به سمت آقای علی اکبر باقریان رفته اشت</t>
  </si>
  <si>
    <t>در تاریخ 1401/07/09 اضافه شد - اول آبان ماه 20 روز محاسبه میگردد و از اول آذر ماه کامل میشود.</t>
  </si>
  <si>
    <t>مبلغ 21 میلیون در تاریخ 1401/04/13 به حساب کشاورزی واریز شد.</t>
  </si>
  <si>
    <t>در تاریخ 1400/11/02 مبلغ 25 میلیون و 1400/12/01 مبلغ 10 میلیون واریز شد که تا دوم مهر شد 50 میلیون</t>
  </si>
  <si>
    <t>چک 3374/939972</t>
  </si>
  <si>
    <t>فکر کنم مبلغ ماهیانه شد.</t>
  </si>
  <si>
    <t>یازدهم</t>
  </si>
  <si>
    <t>مبلغ 20 میلیون ماهانه داشتند ماهی یک میلیون و مبلغ 20 میلیون سالانه داشتند که 33 میلیون شده بود.</t>
  </si>
  <si>
    <t>مبلغ 20 میلیون ماهانه تسویه شد و مبلغ 33 میلیون سالانه بصورت ماهانه شد.</t>
  </si>
  <si>
    <t>حسین کامگار</t>
  </si>
  <si>
    <t>مبلغ 470 میلیون در تاریخ 1401/07/30 به حساب سپه 8318 اقای عبداللهی واریز شد.</t>
  </si>
  <si>
    <t>1402/07/30</t>
  </si>
  <si>
    <t>قرار شد ماهی 28 میلیون سود بگیرند اما بعد یکسال ( دوازده ماه هر ماه 28 میلیون به اصل مبلغ اضافه میشود.)</t>
  </si>
  <si>
    <t>در تاریخ 1401/07/30 مبلغ 150 میلیون اضافه شد برای 5 روز تا تاریخ پنجم 1/600/000 تومان شد.</t>
  </si>
  <si>
    <t>سود پنجم آبان + 1/600/000 به اصل مبلغ اضافه شد و مبلغ 70/400/000 واریز میکنند.</t>
  </si>
  <si>
    <t>بابت این دوتا مبلغ ضمانت ندارند و چک آقای احمد کامگار باید برگشت شود.</t>
  </si>
  <si>
    <t>مهر 1401</t>
  </si>
  <si>
    <t>آبان 1401</t>
  </si>
  <si>
    <t>آذر 1401</t>
  </si>
  <si>
    <t>دی 1401</t>
  </si>
  <si>
    <t>بهمن 1401</t>
  </si>
  <si>
    <t>اسفند 1401</t>
  </si>
  <si>
    <t>سود اول شهریور -1401/06/01</t>
  </si>
  <si>
    <t>سود اول مهر-1401/07/04</t>
  </si>
  <si>
    <t>سود اول آذر</t>
  </si>
  <si>
    <t>حمیدرضا فلاحیان</t>
  </si>
  <si>
    <t>زینب کریمی</t>
  </si>
  <si>
    <t>مبلغ 10 میلیون تومان در تاریخ 1401/07/28 دریافت شد.</t>
  </si>
  <si>
    <t>مبلغ 5/488/000 تومان در تاریخ 1401/07/17 به کارت 1325 آقای عبداللهی واریز کردند.</t>
  </si>
  <si>
    <t>ملک جوینی</t>
  </si>
  <si>
    <t>مبلغ 1 تومان در تاریخ 1401/07/09 به کارت 1325 آقای عبداللهی و مبلغ 66 میلیون تومان در تاریخ1401/07/10 به حساب5978  واریز کردند.</t>
  </si>
  <si>
    <t>مبلغ 25 میلیون به اصل پول اضاف شد.</t>
  </si>
  <si>
    <t>از 25 میلیون افزایش سرمایه مبلغ 3 میلیون سود شهریور خودشون و مبلغ 18/250 سود شهربانو قدم دخت کسر و مبلغ3/750 در تاریخ 1401/06/29 به کارت 1325 واریز شد.</t>
  </si>
  <si>
    <t>مبلغ صد میلیون از سود اول آبان به اصل مبلغ اضافه شد - اول آذر ماه</t>
  </si>
  <si>
    <t>1401/07/29</t>
  </si>
  <si>
    <t>واریز به کارت 4580</t>
  </si>
  <si>
    <t xml:space="preserve">برداشت از حساب صادرات </t>
  </si>
  <si>
    <t>به اصل مبلغ اضافه مشود.</t>
  </si>
  <si>
    <t xml:space="preserve">مبلغ با قیمانده به اصل مبلغ اضافه شد. چک گرفتن به تاریخ 1402/07/08 </t>
  </si>
  <si>
    <t>واریز به ملت آقای غبداللهی</t>
  </si>
  <si>
    <t>واریز به کارت 1455</t>
  </si>
  <si>
    <t>سود اول آبان ماه پرداخت شد.</t>
  </si>
  <si>
    <t>واریز به کارت طاهره کامکاری</t>
  </si>
  <si>
    <t>شیرینی</t>
  </si>
  <si>
    <t>مبلغ 20 میلیون تومان در تاریخ 1401/06/25 واریز شد - فیش واریزی چک شود. (ده میلیون دوماهه و ده میلیون شش ماهه)</t>
  </si>
  <si>
    <t>شبا بانک 7002</t>
  </si>
  <si>
    <t>شبا بانک 9002</t>
  </si>
  <si>
    <t>شبا بانک 5961</t>
  </si>
  <si>
    <t>واریزی بعدی یکم آذر</t>
  </si>
  <si>
    <t>امیر مهدی رضایی</t>
  </si>
  <si>
    <t>مبلغ 288/000/000 تومان از سود مرداد ماه به اصل مبلغ اضافه شود - مرداد ماه تسویه شد</t>
  </si>
  <si>
    <t>مبلغ 10 میلیون تومان در تاریخ 1401/07/09 واریز شد.</t>
  </si>
  <si>
    <t>مبلغ پنج میلیون در تاریخ 1401/08/02 افزایش سرمایه داشتند. از پنجم آذر ماه درصد سود پنج درصد میشود.</t>
  </si>
  <si>
    <t>مبلغ 10 میلیون تومان در تاریخ 1401/08/02 به کارت 1401 اقای عبداللهی واریز شد.</t>
  </si>
  <si>
    <t>سود آبان ماه تسویه شده است.</t>
  </si>
  <si>
    <t>مبلغ صد میلیون از سود مشارکت آبان ماه ماه به اصل مبلغ اضافه شد - اصل مبلغ برای یکم آذر1/900/000 تومان</t>
  </si>
  <si>
    <t>اصل مبلغ برای یکم آذر</t>
  </si>
  <si>
    <t>سود آبان ماه پرداخت شده است.</t>
  </si>
  <si>
    <t>مبلغ 10/000/000 از سود آبان ماه در مهر پرداخت شد  - در تاریخ 1401/07/17 مقرر شد از آبان ماه درصد 6 درصد شود.</t>
  </si>
  <si>
    <t>مبلغ 110 میلیون قرار بود براشون واریز بشه اما از پول دستشون خودشون برداشت کردند.</t>
  </si>
  <si>
    <t>واریز به کارت امید ملکی</t>
  </si>
  <si>
    <t xml:space="preserve">بیست و هفتم </t>
  </si>
  <si>
    <t>مشارکت جدید در تاریخ 1401/07/10 - واریز به کارت پارسیان</t>
  </si>
  <si>
    <t>جمع تا اول مهر ماه :</t>
  </si>
  <si>
    <t>جمع تا اول آبان ماه :</t>
  </si>
  <si>
    <t>مبلغ 10 میلیون در تاریخ 1401/08/07 به کارت صادرات آقای عبداللهی واریز شد.</t>
  </si>
  <si>
    <t>پرداختی دهم آذرماه</t>
  </si>
  <si>
    <t>سود آبان ماه به اصل مبلغ اضافه شد.</t>
  </si>
  <si>
    <t>مبلغ ده میلیون در تاریخ 1401/07/07 واریز کردند.</t>
  </si>
  <si>
    <t>مبلغ ده میلیون در تاریخ 1401/07/08 واریز کردند.</t>
  </si>
  <si>
    <t>مبلغ ده میلیون در تاریخ 1401/07/09 واریز کردند.</t>
  </si>
  <si>
    <t>مبلغ ده میلیون در تاریخ 1401/07/10واریز کردند.</t>
  </si>
  <si>
    <t>مبلغ ده میلیون در تاریخ 1401/07/13 واریز کردند.</t>
  </si>
  <si>
    <t>مبلغ مشارکت اول آبان ماه به اصل مبلغ اضافه شد.</t>
  </si>
  <si>
    <t>آذر ماه - مبلغ 150 میلیون مشارکت با احتساب 27100 دریافت شد. سفته 200 میلیونی داده شد - 50 میلیون بعدا واریز شد.</t>
  </si>
  <si>
    <t>حسن ابراهیمی</t>
  </si>
  <si>
    <t>مبلغ 200 ملیون سفته داده شد - شماره سفته : 976098 - 976099</t>
  </si>
  <si>
    <t>سفته 50 میلیون تحویل آقای عبداللهی شد و سفته 90 میلیون تحویل شد.</t>
  </si>
  <si>
    <t>علیرضا خدادادی آهنگرانی</t>
  </si>
  <si>
    <t>یبیست و هشتم</t>
  </si>
  <si>
    <t>کبری مردان دوست</t>
  </si>
  <si>
    <t>1407/08/02</t>
  </si>
  <si>
    <t>1401/08/02</t>
  </si>
  <si>
    <t>سفته 369206</t>
  </si>
  <si>
    <t>مبلغ 10 میلیون  تاریخ 1401/08/01  از کارت 4882 به کارت 1325 و مبلغ 30 میلیون در تاریخ 1401/08/02 از کارت 9737 به کارت 8318 آقای عبداللهی واریز شد.</t>
  </si>
  <si>
    <t>در تاریخ 1401/08/01 مبلغ 10 میلیون به کارت 1325 و در تاریخ 1401/08/01  مبلغ 10 میلیون  به کارت 1325</t>
  </si>
  <si>
    <t>زینب حدید</t>
  </si>
  <si>
    <t>سفته 163078</t>
  </si>
  <si>
    <t>مجتبی نوشادی فر - محمد نوشادی فر</t>
  </si>
  <si>
    <t>شبا بانک 8752</t>
  </si>
  <si>
    <t>6063-7311-3663-9482</t>
  </si>
  <si>
    <t>مربوط به مهر ماه</t>
  </si>
  <si>
    <t>6037-9971-0194-3760</t>
  </si>
  <si>
    <t>1401/08/03</t>
  </si>
  <si>
    <t>واریز به کارت 0066</t>
  </si>
  <si>
    <t>سود اول آبان 1401/08/03</t>
  </si>
  <si>
    <t>شبا بانک 2689</t>
  </si>
  <si>
    <t>شبا بانک 6003</t>
  </si>
  <si>
    <t>احسان پا برجای</t>
  </si>
  <si>
    <t>محاسبه سود 12 روز مهدی پابرجای</t>
  </si>
  <si>
    <t>6037-9981-4389-7493</t>
  </si>
  <si>
    <t>تسویه کامل مهدی پابرجای</t>
  </si>
  <si>
    <t>قرار شد تمامی مبالغ تا تاریخ 29 مهر ماه یکی شوند - واریزی بعدی 29 آبان ماه</t>
  </si>
  <si>
    <t>برگشت اضافه پولشون</t>
  </si>
  <si>
    <t>واریز به کارت 2307</t>
  </si>
  <si>
    <t>تسویه کامل - واریز به کارت طیبه فیضی</t>
  </si>
  <si>
    <t>واریز به کارت 7183</t>
  </si>
  <si>
    <t>واریز به کارت سمیه نادی</t>
  </si>
  <si>
    <t>از ماه بعد مبلغ 3/500 واریز میشود.</t>
  </si>
  <si>
    <t>واریز به کارت 1078</t>
  </si>
  <si>
    <t>واریز به کارت 6767</t>
  </si>
  <si>
    <t>مبلغ 15 میلیون ( 9/800+ 5/200 ) در تاریخ 1401/05/03 اضافه شده است.</t>
  </si>
  <si>
    <t>سفته 369141</t>
  </si>
  <si>
    <t>1402/08/04</t>
  </si>
  <si>
    <t>1401/08/04</t>
  </si>
  <si>
    <t xml:space="preserve">محمد علی امینی </t>
  </si>
  <si>
    <t>واریز به کارت 0645</t>
  </si>
  <si>
    <t>مبلغ مشارکت جدید در تاریخ اول مهر</t>
  </si>
  <si>
    <t>تسویه پولی که دوم مهر داده بودن و بدون سود برداشت کردند.</t>
  </si>
  <si>
    <t>توسط دخترشون خانم نرگس رمضانی پرداخت شد.</t>
  </si>
  <si>
    <t>سود اول ماه 229/880/000 به اصل مبلغ 1/130/000/000 تومان اضافه میشود .</t>
  </si>
  <si>
    <t>سود برای بیست روز محاسبه میشود تا تاریخ بیستم شود - 12/260/000 تومان</t>
  </si>
  <si>
    <t>سود بیستم مهر ماه به اصل مبلغ تاریخ بیستم اضافه شد.</t>
  </si>
  <si>
    <t>در سود مهر ماه محاسبه شد.</t>
  </si>
  <si>
    <t>اصل مبلغ برای یکم آبان</t>
  </si>
  <si>
    <t>مبلغ 5 میلیون در تاریخ 7 مهر اضافه شد. (مربوط به خانم زینب صولتی مقدم)</t>
  </si>
  <si>
    <t>مبلغ 10/500/000 تومان در تاریخ 11 مهر اضافه شد. (مربوط به خانم فاطمه بخشی گلستانی)</t>
  </si>
  <si>
    <t>مشارکت جدید در تاریخ 1401/07/10</t>
  </si>
  <si>
    <t>تسویه سود ده میلیون</t>
  </si>
  <si>
    <t>سود مهرماه تسویه شد.</t>
  </si>
  <si>
    <t xml:space="preserve">تسویه اصل پول ماهانه </t>
  </si>
  <si>
    <t>سود مرداد و شهریور و مهر و 16 روز از ابان حساب شد :1/650/000 +(3/200/000*3)</t>
  </si>
  <si>
    <t>اصل مبلغ تسویه میشود.</t>
  </si>
  <si>
    <t>تسویه سفته راسی</t>
  </si>
  <si>
    <t>قرار شد ماهیانه دریافت نکنند.</t>
  </si>
  <si>
    <t>واریز به کارت 9241</t>
  </si>
  <si>
    <t>شبا بانک 5586</t>
  </si>
  <si>
    <t>واریز به کارت 8531</t>
  </si>
  <si>
    <t xml:space="preserve">اسدالله وطن پرست 100 مشارکت جدید و مبلغ 50 محمد علی پورمشارکت جدید -  </t>
  </si>
  <si>
    <t>سود آبان ماه تسویه شد. سودشونو از مشارکت های جدید برداشتند.</t>
  </si>
  <si>
    <t>تسویه اصل مبلغ</t>
  </si>
  <si>
    <t>واریز به حساب 2420</t>
  </si>
  <si>
    <t>در تاریخ 1401/07/10 به شبا 3430 واریز شد.</t>
  </si>
  <si>
    <t>در تاریخ 1401/07/09 به شبا 3430 واریز شد.</t>
  </si>
  <si>
    <t>1401/08/05</t>
  </si>
  <si>
    <t>شبا بانک 4492</t>
  </si>
  <si>
    <t>رویا غلامی</t>
  </si>
  <si>
    <t>شبا بانک 3021</t>
  </si>
  <si>
    <t>مبلغ 62/820/000 در تاریخ 1401/08/05 و مبلغ 6/980/000 در تاریخ 1401/08/05 به ملت اقای عبداللهی واریز شد.</t>
  </si>
  <si>
    <t>مبلغ آذر ماه</t>
  </si>
  <si>
    <t>از آذر ماه</t>
  </si>
  <si>
    <t>زهرا پردل</t>
  </si>
  <si>
    <t>واریز به کارت 1406</t>
  </si>
  <si>
    <t>واریز به کارت 9347</t>
  </si>
  <si>
    <t>اطلاعاتی از واریزی الباقی ایشان ندارم - سفته صد میلیونی تحویل شد.</t>
  </si>
  <si>
    <t>6037-9982-3029-4554</t>
  </si>
  <si>
    <t>کارت 1325</t>
  </si>
  <si>
    <t>حسین کوه پیکر</t>
  </si>
  <si>
    <t>مبلغ 100 میلیون تومان در تاریخ 1402/08/07 سفته داده شد.</t>
  </si>
  <si>
    <t>زهرا صهبائی کیاستی</t>
  </si>
  <si>
    <t>مبلغ 70 میلیون تومان در تاریخ 1402/08/07 سفته داده شد.</t>
  </si>
  <si>
    <t>مبلغ 70 میلیون از سود آبان ماه به اصل مبلغ اضافه شد.</t>
  </si>
  <si>
    <t>6037-7014-5606-2188</t>
  </si>
  <si>
    <t>شبا بانک 6269</t>
  </si>
  <si>
    <t>مبلغ 250 هزار تومان مهرماه کمتر واریز شده بود.</t>
  </si>
  <si>
    <t>شبا بانک 8913</t>
  </si>
  <si>
    <t>واریز به کارت 8031</t>
  </si>
  <si>
    <t>شبا بانک 6590</t>
  </si>
  <si>
    <t>1401/08/07</t>
  </si>
  <si>
    <t>شبابانک 6007</t>
  </si>
  <si>
    <t>نصرت چراغعلی پورطرقی</t>
  </si>
  <si>
    <t>سفته های 126572-778342</t>
  </si>
  <si>
    <t>اصل 50 میلیون دو ساله</t>
  </si>
  <si>
    <t>سفته 126575</t>
  </si>
  <si>
    <t>1403/08/07</t>
  </si>
  <si>
    <t>اسماعیل مختاری</t>
  </si>
  <si>
    <t>محسن دین پرور</t>
  </si>
  <si>
    <t>سفته 350 میلیونی به تاریخ 1402/08/07 داده شد. شماره سفته : 369140</t>
  </si>
  <si>
    <t>1401/08/08</t>
  </si>
  <si>
    <t>واریز به حساب 9003</t>
  </si>
  <si>
    <t>لیلا پنجکه</t>
  </si>
  <si>
    <t>سفته 50 میلیونی به تاریخ 1402/08/05 داده شد. شماره سفته : 192244</t>
  </si>
  <si>
    <t>سود آبان ماه</t>
  </si>
  <si>
    <t>سود آذر ماه - دو بار واریز شده است.</t>
  </si>
  <si>
    <t>شبا بانک 3426</t>
  </si>
  <si>
    <t>1401/08/09</t>
  </si>
  <si>
    <t>شبا بانک 6901</t>
  </si>
  <si>
    <t>سودمهر ماه</t>
  </si>
  <si>
    <t xml:space="preserve">وحید پروانه </t>
  </si>
  <si>
    <t>شبا بانک 9629</t>
  </si>
  <si>
    <t>شبا بانک 0007</t>
  </si>
  <si>
    <t>واریز به کارت 8773</t>
  </si>
  <si>
    <t>واریز به کارت زهرا علی اکبری</t>
  </si>
  <si>
    <t>الهام خدایی کریم آبادی</t>
  </si>
  <si>
    <t>شبا بانک 8440</t>
  </si>
  <si>
    <t>شبا بانک 9553</t>
  </si>
  <si>
    <t>منیر علیمیرزایی</t>
  </si>
  <si>
    <t>6104-3373-5816-5940</t>
  </si>
  <si>
    <t>شبا بانک 1161</t>
  </si>
  <si>
    <t>مشارکت جدید در تاریخ 1401/06/08 - سود تا 4 آبان محاسبه شد و کل پول راسی یک ساله شد و 40 میلیون هم دوباره واریز کردند.</t>
  </si>
  <si>
    <t>اولین واریزی 16 آذر</t>
  </si>
  <si>
    <t>شبا بانک 9746</t>
  </si>
  <si>
    <t>مبلغ 150 میلیون اضافه کردند. 42 میلیون سود علی عزیز عربی + 108 میلیون چک</t>
  </si>
  <si>
    <t>مبلغ 42 میلیون از سود به اصل پول آقای حسین کاشانی اضافه شد.</t>
  </si>
  <si>
    <t>سفته به مبلغ 150 میلیون تومان به تاریخ 1402/08/09 داده شد - شماره سفته : 204174</t>
  </si>
  <si>
    <t>محدثه محمدی استاد</t>
  </si>
  <si>
    <t>سفته به مبلغ 55 میلیون تومان به تاریخ 1402/08/08 داده شد - شماره سفته : 759115</t>
  </si>
  <si>
    <t>سفته به مبلغ 70 میلیون به تاریخ 1402/08/10 داده شد - شماره سفته : 088945</t>
  </si>
  <si>
    <t>اصل مبلغ 340 میلیون و سود 17 میلیون دهم هر ماه</t>
  </si>
  <si>
    <t>1401/08/10</t>
  </si>
  <si>
    <t>شبا بانک 2688</t>
  </si>
  <si>
    <t>شبا بانک 9131</t>
  </si>
  <si>
    <t>شبا بانک 5337</t>
  </si>
  <si>
    <t>افزایش سرمایه در تاریخ 1401/07/12</t>
  </si>
  <si>
    <t xml:space="preserve">مجتبی قیامی </t>
  </si>
  <si>
    <t>احسان حسینی زاده</t>
  </si>
  <si>
    <t>اسماعیل حسینی زاده</t>
  </si>
  <si>
    <t xml:space="preserve">در تاریخ 1401/07/12 به حساب 793730216 واریز شده است </t>
  </si>
  <si>
    <t xml:space="preserve">در تاریخ 1401/08/02 به حساب ملی واریز شده است </t>
  </si>
  <si>
    <t>1401/08/11</t>
  </si>
  <si>
    <t>تسویه آبان ماه</t>
  </si>
  <si>
    <t>قرضی احتمالا تسویه آذر ماه</t>
  </si>
  <si>
    <t>مجید توکلی</t>
  </si>
  <si>
    <t>شبا بانک 7182</t>
  </si>
  <si>
    <t>تسویه سود</t>
  </si>
  <si>
    <t>منصوره سهیلی فرد (حمید رازی)</t>
  </si>
  <si>
    <t>سود مهر در شهریور پرداخت شد.</t>
  </si>
  <si>
    <t>منصوره سهیلی فرد ( حمید رازی )</t>
  </si>
  <si>
    <t>تسویه سود مهر</t>
  </si>
  <si>
    <t>تسویه سود شهریور</t>
  </si>
  <si>
    <t>s</t>
  </si>
  <si>
    <t>شبا بانک 6929</t>
  </si>
  <si>
    <t>1401/08/12</t>
  </si>
  <si>
    <t>مبلغ 1/500/000 در تاریخ ........ برگشت دادند.</t>
  </si>
  <si>
    <t>مبلغ اصل 80 میلیون + سود مهر ماه توسط آقای علی عزیز عربی پرداخت شد و صد میلیون به آقای  محمد علی اکبر خانی انتقال یافت.</t>
  </si>
  <si>
    <t>شبا بانک 4393</t>
  </si>
  <si>
    <t>شبا بانک 4976</t>
  </si>
  <si>
    <t xml:space="preserve"> رامین عبداللهی</t>
  </si>
  <si>
    <t>شبا بانک 4068</t>
  </si>
  <si>
    <t>در تاریخ 1401/07/23 به حساب کشاورزی واریز شده است</t>
  </si>
  <si>
    <t>تسویه مهر ماه - واریز به کارت عذری غلامی</t>
  </si>
  <si>
    <t>تسویه شهریور ماه - واریز به کارت عذری غلامی</t>
  </si>
  <si>
    <t>5892-1014-0315-6595</t>
  </si>
  <si>
    <t>6037-7011-3056-4310</t>
  </si>
  <si>
    <t>شبا بانک 3242</t>
  </si>
  <si>
    <t>1401/08/14</t>
  </si>
  <si>
    <t>حساب 4126</t>
  </si>
  <si>
    <t>شبا بانک 7053</t>
  </si>
  <si>
    <t>مبلغ 200 میلیون چک به تاریخ 1401/07/10 تحویل آقای عبداللهی دادند.</t>
  </si>
  <si>
    <t>عاطفه جان محمد موسی آباد ( جلال دل آرام )</t>
  </si>
  <si>
    <t>6037-6976-0921-8869</t>
  </si>
  <si>
    <t>شیرین سادات موسوی ابرده</t>
  </si>
  <si>
    <t>سفته به مبلغ 75 میلیون تومان به تاریخ 1402/08/14 داده شد - شماره سفته : 088944</t>
  </si>
  <si>
    <t>شبا بانک 1006</t>
  </si>
  <si>
    <t>شبا بانک 9005</t>
  </si>
  <si>
    <t>5022-2910-6206-8604</t>
  </si>
  <si>
    <t>واریز به کارت عاطفه حسنی</t>
  </si>
  <si>
    <t>مبلغ 100 میلیون از اصل پول تسویه شد + 10 میلیون تاریخ چک راسی عقب افتاد.</t>
  </si>
  <si>
    <t>1401/08/16</t>
  </si>
  <si>
    <t>5859-8310-7760-0228</t>
  </si>
  <si>
    <t>مبلغ بیستم آذرماه</t>
  </si>
  <si>
    <t>محمد اسماعیلی</t>
  </si>
  <si>
    <t>1402/08/06</t>
  </si>
  <si>
    <t>سفته های 192239 192242</t>
  </si>
  <si>
    <t>سفته 192237</t>
  </si>
  <si>
    <t>1402/06/12</t>
  </si>
  <si>
    <t>محمد امیرشی بهلولی سفته 15 قبلی را گرفتن - 5 به ایشان پرداخت کرده بودیم - 10 میلیون راسی شد 17 به نام علی غلامی</t>
  </si>
  <si>
    <t>حجت امیرشی بهلولی</t>
  </si>
  <si>
    <t>سفته 192240</t>
  </si>
  <si>
    <t>سفته 070100</t>
  </si>
  <si>
    <t>1402/08/01</t>
  </si>
  <si>
    <t>سفته 150 میلیون به تاریخ 1402/08/15 داده شد.</t>
  </si>
  <si>
    <t>حمید فدایی</t>
  </si>
  <si>
    <t>سفته 204177</t>
  </si>
  <si>
    <t>1401/11/15</t>
  </si>
  <si>
    <t>مبلغ 15 میلیون در تاریخ 1401/07/14 واریز کردند که سود به اصل مبلغ اضافه شد</t>
  </si>
  <si>
    <t>مبلغ 14/250/000 تومان واریز کردند + سود 15 میلیون جمعا شد 15 میلیون جدید</t>
  </si>
  <si>
    <t>زهرا عباس پور</t>
  </si>
  <si>
    <t>مبلغ 100 میلیون چک ایران زمین به تاریخ 1401/08/16 تحویل اقای عبداللهی شد و مبلغ 50 میلیون در تاریخ 1401/08/16 به حساب 3430 واریز شد.</t>
  </si>
  <si>
    <t>زهرا بابادی</t>
  </si>
  <si>
    <t>مبلغ 5/488/000 تومان در تاریخ 1401/08/17 به کارت 1325 آقای عبداللهی واریز کردند.</t>
  </si>
  <si>
    <t xml:space="preserve">فاطمه گلبهاری </t>
  </si>
  <si>
    <t>1400/06/27</t>
  </si>
  <si>
    <t>تمدید شد</t>
  </si>
  <si>
    <t>1402/08/27</t>
  </si>
  <si>
    <t>چک 377146</t>
  </si>
  <si>
    <t>واریز به کارت مژگان پورخواجه</t>
  </si>
  <si>
    <t>اصل پول را طی چک 95 میلیون برداشت کردند.</t>
  </si>
  <si>
    <t>شبا بانک 9006</t>
  </si>
  <si>
    <t>مبلغ 70 میلیون در تاریخ 1402/08/16 سفته داده شد - مشارکت جدید شش درصد</t>
  </si>
  <si>
    <t>مبلغ 29 میلیون در تاریخ 1401/08/15 اضافه و تایید شد.</t>
  </si>
  <si>
    <t>محمود میرشکار</t>
  </si>
  <si>
    <t>1402/02/16</t>
  </si>
  <si>
    <t>برای سود چک داده شد - 857054</t>
  </si>
  <si>
    <t>برای اصل پول سفته داده شد - 369142</t>
  </si>
  <si>
    <t>واریز به کارت 5381</t>
  </si>
  <si>
    <t>حسین عطایی</t>
  </si>
  <si>
    <t>در تاریخ 1401/07/30 به حساب 3430 واریز کردند - سه ماهه گذاشتند.</t>
  </si>
  <si>
    <t xml:space="preserve">شبا بانک </t>
  </si>
  <si>
    <t xml:space="preserve">واریز به کارت ریحانه جازاری </t>
  </si>
  <si>
    <t>افزایش سرمایه - چک به مبلغ 25 میلیون و مبلغ 5 میلیون نقدا در تاریخ 1401/07/06 به اصل مبلغ اضافه شد.</t>
  </si>
  <si>
    <t>تاریخ ششم تا چهاردهم محاسبه شد - پرداختی چهاردهم هر ماه</t>
  </si>
  <si>
    <t>سفته به مبلغ 200/000/000 تومان به تاریخ 14012/08/16 داده شد - شماره سفته : 122846</t>
  </si>
  <si>
    <t>مبلغ سفته 130/000/000 تومان برگشت داده میشود.</t>
  </si>
  <si>
    <t>مبلغ 12 میلیون از سود آبان ماه توسط آقای علی صدیقی پرداخت شد.</t>
  </si>
  <si>
    <t>واریز به کارت صغری اسداللهی</t>
  </si>
  <si>
    <t>6037-7011-9310-2529</t>
  </si>
  <si>
    <t>این مبلغ در تاریخ 1401/08/18 برگشت زده شد چون باید 3/600/000 واریز میشد اما 9 میلیون واریزشد.</t>
  </si>
  <si>
    <t>هر سه ماهی دریافت میکنند. مبلغ سه ماه : 3/600/000 تومان</t>
  </si>
  <si>
    <t>شبا بانک 5112</t>
  </si>
  <si>
    <t>علی آخوند زاده</t>
  </si>
  <si>
    <t>تاریخ واریزی 1401/08/16</t>
  </si>
  <si>
    <t>حمیده خیامی ( مادر ارسیا صنعتی )</t>
  </si>
  <si>
    <t>سود این ماهشون به اصل مبلغ مادرشون اضافه شد + 40 میلیون فروش جمعا 57میلیون</t>
  </si>
  <si>
    <t>اصل پول تسویه میشود.</t>
  </si>
  <si>
    <t>شبا بانک 8010</t>
  </si>
  <si>
    <t>سفته 759115</t>
  </si>
  <si>
    <t>1402/08/08</t>
  </si>
  <si>
    <t>سود 50 میلیون از 8 ام تا 17 ام</t>
  </si>
  <si>
    <t>هزینه کیف</t>
  </si>
  <si>
    <t>زیبا فتاحی حصاری</t>
  </si>
  <si>
    <t>فیش واریزی در تاریخ 1401/08/18</t>
  </si>
  <si>
    <t>شبا بانک 1322</t>
  </si>
  <si>
    <t>1401/08/20</t>
  </si>
  <si>
    <t>جمع کل تا پایان مرداد</t>
  </si>
  <si>
    <t xml:space="preserve">جمع واریزی های شهریور ماه </t>
  </si>
  <si>
    <t>جمع واریزی های مهر ماه</t>
  </si>
  <si>
    <t>جمع کل تا پایان مهر ماه</t>
  </si>
  <si>
    <t>جمع کل تا پایان شهریور ماه</t>
  </si>
  <si>
    <t>سود مهر ماه</t>
  </si>
  <si>
    <t>حساب 0103706612005</t>
  </si>
  <si>
    <t>مبلغ سود اول آذر ماه + چک کشاورزی عزیز عربی به مبلغ 22/600/000 به تاریخ 18 آبان جمعا 70 میلیون اضافه میشود</t>
  </si>
  <si>
    <t>واریزی بعدی اول دی ماه</t>
  </si>
  <si>
    <t>زهرا هشمتی</t>
  </si>
  <si>
    <t>مبلغ 80 میلیون واریز کردند و مبلغ 30 میلیون از طرف اقای حمید عبداللهی انتقال شد و به مبلغ 10 میلیون چکشون عقب افتاده شد.</t>
  </si>
  <si>
    <t>شبا بانک 5466</t>
  </si>
  <si>
    <t>شبا بانک 4880</t>
  </si>
  <si>
    <t>6104-3389-7357-0563</t>
  </si>
  <si>
    <t>واریز به کارت 9824</t>
  </si>
  <si>
    <t>حانیه زردادخانی (خانم اسماعیل حسینی)</t>
  </si>
  <si>
    <t>مبلغ 10 میلیون در تاریخ 1401/07/13 و مبلغ 10 میلیون در تاریخ 1401/07/15 واریز کردند که یکی ماهیانه و بعدی راسی شد.</t>
  </si>
  <si>
    <t>6037-7014-3444-7881</t>
  </si>
  <si>
    <t>سفته 283130</t>
  </si>
  <si>
    <t>در تاریخ 1401/08/13 مبلغ 19 میلیون اضافه شد.</t>
  </si>
  <si>
    <t>بیست و چهارم مهر 1401</t>
  </si>
  <si>
    <t>بیست و چهارم آبان 1401</t>
  </si>
  <si>
    <t>بیست و چهارم آذر 1401</t>
  </si>
  <si>
    <t>بیست و چهارم دی 1401</t>
  </si>
  <si>
    <t>بیست و چهارم بهمن 1401</t>
  </si>
  <si>
    <t>بیست و چهارم اسفند 1401</t>
  </si>
  <si>
    <t>بیست و چهارم فروردین 1402</t>
  </si>
  <si>
    <t>بیست و چهارم اردیبهشت 1402</t>
  </si>
  <si>
    <t>بیست و چهارم خرداد 1402</t>
  </si>
  <si>
    <t>بیست و چهارم  تیر 1402</t>
  </si>
  <si>
    <t>بیست و چهارم مرداد 1402</t>
  </si>
  <si>
    <t>بیست و چهارم شهریور1402</t>
  </si>
  <si>
    <t>بیست و چهارم مهر 1402</t>
  </si>
  <si>
    <t>زهرا خو</t>
  </si>
  <si>
    <t>1404/06/07</t>
  </si>
  <si>
    <t>شبا بانک 5994</t>
  </si>
  <si>
    <t>امید غلامی ( حمیدرضا غلامی )</t>
  </si>
  <si>
    <t>6037-6975-7826-8309</t>
  </si>
  <si>
    <t>برای دو ماه مهر و آبان پرداخت شد. مبلغ واریزی 50 میلیون در تاریخ 1401/06/12 به حساب 0216 آقای عبداللهی</t>
  </si>
  <si>
    <t>اشتباها دوبار واریز کردیم - واریزی آبان ماه</t>
  </si>
  <si>
    <t>شبا بانک 4000</t>
  </si>
  <si>
    <t>شبا بانک 9996</t>
  </si>
  <si>
    <t>توحید مظفری پهلوانلو</t>
  </si>
  <si>
    <t>واریز به کارت 0362</t>
  </si>
  <si>
    <t>واریز به حساب 379657</t>
  </si>
  <si>
    <t>واریز به کارت الهام حقی پناه</t>
  </si>
  <si>
    <t>واریز به کارت 4178</t>
  </si>
  <si>
    <t>مسعود رامی</t>
  </si>
  <si>
    <t>مبلغ آذرماه</t>
  </si>
  <si>
    <t>مشارکت جدید در 15 آبان ماه</t>
  </si>
  <si>
    <t>6104-3378-2586-7664</t>
  </si>
  <si>
    <t>چک 140005/645053</t>
  </si>
  <si>
    <t>سفته به مبلغ 100 میلیون به تاریخ 1402/08/19 تحویلشون شد - شماره سفته : 340386</t>
  </si>
  <si>
    <t>مبلغ 60 میلیون از قبل + 40 میلیون جدید</t>
  </si>
  <si>
    <t>1401/0/21</t>
  </si>
  <si>
    <t>1401/08/22</t>
  </si>
  <si>
    <t>واریز به کارت 2847</t>
  </si>
  <si>
    <t>مبلغ 20 میلیون تومان بابت بدهی پدرشون از اصل مبلغشون کم شد.</t>
  </si>
  <si>
    <t>واریز به کارت 4263</t>
  </si>
  <si>
    <t>شبا بانک 3848</t>
  </si>
  <si>
    <t>واریز به کارت 9209</t>
  </si>
  <si>
    <t>واریز به حساب 0451</t>
  </si>
  <si>
    <t>تاریخ چک شون رو عقب انداختند</t>
  </si>
  <si>
    <t>واریز به کارت 1389</t>
  </si>
  <si>
    <t>حمید گلچین</t>
  </si>
  <si>
    <t>مبلغ 150/000/000 تومان در تاریخ 1401/08/02 واریز کردند.</t>
  </si>
  <si>
    <t>مبلغ 4 میلیون نقدی و 96 میلیون تاریخ 1401/08/07به شبا 6662 آقای عبداللهی واریز شد سفته صد میلیونی به تاریخ 1402/08/08 داده شد شماره سفته : 770528</t>
  </si>
  <si>
    <t>مبلغ 200 میلیون ماهی 11 میلیون 15 ام محمد عبداللهی غلام + 100 میلیون مصیب ماهی 5 میلیون + 10 میلیون سود تا اول مهر دوتاییشون جمعا 310 میلیون</t>
  </si>
  <si>
    <t>محمدعلی گلچین</t>
  </si>
  <si>
    <t>سعید خالقی</t>
  </si>
  <si>
    <t>پری خالقی</t>
  </si>
  <si>
    <t>1401/12/11</t>
  </si>
  <si>
    <t>سفته 023676 به مبلغ 33 میلیون به تاریخ 1401/08/09 سعید خالقی و سفته 780168 به مبلغ 50 میلیون به تاریخ 1401/08/12 پری خالقی جمعا 83 میلیون راسی چهارماهه شد.</t>
  </si>
  <si>
    <t>جمع سه تا مبلغ 39/500 میشود که 11 میلیون آن ماهانه شد و 1/500 واریز کردند</t>
  </si>
  <si>
    <t xml:space="preserve"> و 30 میلیون یکساله 43 میلیون شد.</t>
  </si>
  <si>
    <t xml:space="preserve">چک 1401/07/22 بانک کشاورزی به شماره 174151 به مبلغ 166 میلیون تومان حذف شد </t>
  </si>
  <si>
    <t>و 200 میلیون تاریخ 1401/08/08 واریزی داشتند + 4/150/000 جمعا 370 میلیون راسی</t>
  </si>
  <si>
    <t>اسدالله عبداللهی</t>
  </si>
  <si>
    <t>1401/08/23</t>
  </si>
  <si>
    <t>مانده از سود شهریور:</t>
  </si>
  <si>
    <t>ابراهیم رازی</t>
  </si>
  <si>
    <t>واریزی مهر و آبان - هر دوماهی واریز میشود.</t>
  </si>
  <si>
    <t>سود 6 درصد شد</t>
  </si>
  <si>
    <t>مبلغ 50 میلیون در تاریخ 1401/07/12 افزایش سرمایه داشتند.</t>
  </si>
  <si>
    <t xml:space="preserve">از ماه آذر مبلغ 18 میلیون از سود به مدت هفت ماه کم میشود. ( از آذر تا خرداد ) </t>
  </si>
  <si>
    <t>مبلغ 126 میلیون به چک 87 میلیون به شماره 1712/562443/22 به تاریخ 1402/03/23 اضافه شد.</t>
  </si>
  <si>
    <t>مبلغ 60/500 میلیون از سمت محمدرضا عبداللهی کسر شد و 39/500 میلیون به حساب 0616 واریز کردند.</t>
  </si>
  <si>
    <t>مبلغ 60/500 میلیون از سمت محمدرضا عبداللهی کسر شود به حساب ابوالفضل عبداللهی (مصطفی عبداللهی) انتقال یافت.</t>
  </si>
  <si>
    <t>خدیجه کامگارپور</t>
  </si>
  <si>
    <t>1403/09/13</t>
  </si>
  <si>
    <t>به حساب 3603</t>
  </si>
  <si>
    <t>مبلغ 90 میلیون تومان 1401/07/24 به حساب واریز شد.</t>
  </si>
  <si>
    <t>مبلغ 20 میلیون تومان در تاریخ 1401/06/25 واریز شد - فیش واریزی چک شود. (بیست میلیون شش ماهه)</t>
  </si>
  <si>
    <t>مبلغ 2 میلیون تومان در تاریخ 1401/08/02 به حساب 7748 اضافه شد.</t>
  </si>
  <si>
    <t>مبلغ 10 میلیون تومان در تاریخ 1401/08/06 به حساب 4996 اضافه شد.</t>
  </si>
  <si>
    <t>مبلغ 10 میلیون تومان در تاریخ 1401/08/07 به حساب 4996 اضافه شد.</t>
  </si>
  <si>
    <t>مبلغ 10 میلیون تومان در تاریخ 1401/08/08 به حساب 4996 اضافه شد.</t>
  </si>
  <si>
    <t>مبلغ 500/000 تومان از سود آذر ماه کم شود و به اصل مبلغ اضافه می شود.</t>
  </si>
  <si>
    <t>مبلغ 18 میلیون مانده آن ماه به اصل مبلغ اضافه شد.</t>
  </si>
  <si>
    <t xml:space="preserve">سود آبان ماه به اصل مبلغ اضافه شد </t>
  </si>
  <si>
    <t>مبلغ 14/500/000 تومان اضافه کرده ما دو تا فش 5 میلیون داریم الباقی 4/500 تومان پیگیری شود.</t>
  </si>
  <si>
    <t>مبلغ 10 میلیون در تاریخ 1401/08/01 افزایش سرمایه داشتند.</t>
  </si>
  <si>
    <t>مبلغ 6 میلیون در تاریخ 1401/05/30 و مبلغ 4 میلیون در تاریخ 1401/05/31 افزایش سرمایه داشتند.</t>
  </si>
  <si>
    <t>در تاریخ 1401/07/16 مبلغ 100 میلیون از یاسر گلچین به حساب 3430 واریز شد.</t>
  </si>
  <si>
    <t>مبلغ 40 میلیون در تاریخ 1401/08/15 به حساب 3430 واریز شد.</t>
  </si>
  <si>
    <t>سفته 951396</t>
  </si>
  <si>
    <t>مبلغ 10 میلیون در تاریخ 1401/08/04 و مبلغ 11/350/000 تومان در تاریخ 1401/08/05 و مبلغ 50 میلیون در تاریخ 1401/08/05 واریز شد</t>
  </si>
  <si>
    <t>مبلغ 40 میلیون در تاریخ 1401/05/04 به حساب 01-03706612005 واریز شد.</t>
  </si>
  <si>
    <t>سود اول آبان به اصل مبلغ اضافه شد.</t>
  </si>
  <si>
    <t>واریزی سی مهرماه</t>
  </si>
  <si>
    <t>سود آبان ماه به اصل مبلغ اضافه شد. مجموعا مبلغ صد میلیون به اصل مبلغ اضافه شد.</t>
  </si>
  <si>
    <t>در تاریخ 1401/08/26 مبلغ 9 میلیون اضافه شد.</t>
  </si>
  <si>
    <t>مبلغ 64 میلیون راسی شش ماهه داشتند که  8/8 شده 84 میلیون - 50 میلیون نقد دریافت کردند و 34 میلیون راسی یکساله گذاشتند 55 میلیون</t>
  </si>
  <si>
    <t>تمدید  شد - 50 میلیون نقدی دریافت کردند و 34 میلیون راسی یکساله شد.</t>
  </si>
  <si>
    <t>در تاریخ 1401/07/02 مبلغ 71/500/000 میلیون به حساب 3430 واریز شد.</t>
  </si>
  <si>
    <t>سود مهر ماه به اصل مبلغ اضافه شد.</t>
  </si>
  <si>
    <t>مجتبی نارویی</t>
  </si>
  <si>
    <t>مبلغ 10 میلیون در تاریخ 1401/07/24 به کارت 4996 واریز شد.</t>
  </si>
  <si>
    <t>1401/08/29</t>
  </si>
  <si>
    <t>واریزی آبان ماه</t>
  </si>
  <si>
    <t xml:space="preserve">واریزی مرداد ماه </t>
  </si>
  <si>
    <t>مبلغ جدید از بیست و هشتم شهریور ماه</t>
  </si>
  <si>
    <t>پرداخت سود مهر ماه در هشتم آبان ماه</t>
  </si>
  <si>
    <t>مبلغ 15 میلیون اضافه شده است.</t>
  </si>
  <si>
    <t>واریزی خرداد در تیرماه انجام شد.</t>
  </si>
  <si>
    <t>واریزی مرداد ماه در شهریور انجام شد.</t>
  </si>
  <si>
    <t>میثم ساری</t>
  </si>
  <si>
    <t>محمد خنده می</t>
  </si>
  <si>
    <t>نرگس نجفی</t>
  </si>
  <si>
    <t>سفته 770530 - واریزی از آبان ماه - مبلغ 60 میلیون در تاریخ 1401/08/02 به 1325 و مبلغ 20 میلیون به 0216 واریز شد.</t>
  </si>
  <si>
    <t>واریزی در تاریخ 1401/08/17 به ملت</t>
  </si>
  <si>
    <t>مبلغ 10 تومان در تاریخ 1401/08/21 از کارت 5184 به کارت 1325 واریز شد.</t>
  </si>
  <si>
    <t>مبلغ 2/600/000 تومان در تاریخ 1401/08/21 از کارت 4972 به کارت 1325 واریز شد.</t>
  </si>
  <si>
    <t>مبلغ سود آبان به اصل مبلغ اضافه شد.</t>
  </si>
  <si>
    <t>سود در مهر پرداخت شده است.</t>
  </si>
  <si>
    <t>شهرزاد هژبر</t>
  </si>
  <si>
    <t>در تاریخ 1401/08/15 مبلغ 110 میلیون  به حساب 8318 سپه واریز کردند ماهانه تا عید (سفته ندارند)</t>
  </si>
  <si>
    <t>فریبا وطیفه دان</t>
  </si>
  <si>
    <t>سفته نگرفتند.</t>
  </si>
  <si>
    <t>کارت 4996</t>
  </si>
  <si>
    <t xml:space="preserve"> مبلغ 10 میلیون تاریخ 1401/05/24 به حساب 0216 و10 میلیون تاریخ 1401/05/24 به کارت 0661 و 14 میلیون تاریخ 1401/05/25 به حساب 0216 واریز کردند.</t>
  </si>
  <si>
    <t>سود سه ماهه - اول شهریور مبلغ 150 میلیون واریز کردند. شماره سفته : 480436  - مبلغ 70 میلیون راسی اول شهریور 116 میلیون به اصل اضافه شد.</t>
  </si>
  <si>
    <t>مبلغ 9/250/000 تومان تاریخ 1401/08/18 و مبلغ 5/000/000 تومان تاریخ 1401/08/17 به کارت 1325 واریز شد.</t>
  </si>
  <si>
    <t xml:space="preserve">اکرم قربانیان </t>
  </si>
  <si>
    <t>مبلغ 7/100/000  تومان در تاریخ 1401/08/19 به کارت 1325 واریز شد.</t>
  </si>
  <si>
    <t>مبلغ 3/000/000  تومان در تاریخ 1401/08/19 به کارت 1325 واریز شد.</t>
  </si>
  <si>
    <t>مبلغ 10/000/000  تومان در تاریخ 1401/08/18 به کارت 3430 واریز شد.</t>
  </si>
  <si>
    <t>مبلغ 10/000/000  تومان در تاریخ 1401/08/18 به کارت 5379 واریز شد.</t>
  </si>
  <si>
    <t>مبلغ 8/000/000  تومان در تاریخ 1401/08/24 به کارت 1325 واریز شد.</t>
  </si>
  <si>
    <t>سفته 135 میلیون تحویل شد - شماره سفته : 123845</t>
  </si>
  <si>
    <t>مبلغ 37/300/000 تومان در تاریخ 1401/08/22 به حساب 3430 واریز شد.</t>
  </si>
  <si>
    <t>مرضیه بادرنگین نور آبادی</t>
  </si>
  <si>
    <t>سفته به تاریخ 1402/07/16 داده شد. شماره سفته ها : 069993 - 435151</t>
  </si>
  <si>
    <t>سفته به تاریخ 1402/07/07 داده شد. شماره سفته ها : 798224 - 629194 - 629193 - 181998</t>
  </si>
  <si>
    <t>ایمان جوینی</t>
  </si>
  <si>
    <t>مبلغ 4/700/000 تومان به حساب 4009 و 43 میلیون تاریخ 1401/07/23 به حساب 3430 واریز شد و 2/300 نقدی به علی جوینی دادند.</t>
  </si>
  <si>
    <t>مبلغ 12 میلیون سود آقای رضا نورآبادی رو تسویه کردند + 58 تومان  1401/08/21 به حساب 8318 واریز کردند.</t>
  </si>
  <si>
    <t>در تاریخ 1401/08/30 مبلغ 2 میلیون اضافه شد.</t>
  </si>
  <si>
    <t>حجت احمدی مقدم</t>
  </si>
  <si>
    <t>چک 183/930/000 به تاریخ 1401/09/12 و چک 183/000/000 به تاریخ 1401/09/07 دادند.</t>
  </si>
  <si>
    <t>باید مبلغ 33/070/000 واریز میکردند اما مبلغ 33/700/000 واریز کردند تاریخ 1401/08/22 به پست بانک</t>
  </si>
  <si>
    <t>مبلغ 630/000 تومانی که اضافه زدند ار سود ماه آذرشان کسر شود.</t>
  </si>
  <si>
    <t>سود 20 روز 33/070/000 از 22 آبان تا 12 آذر میشود 1/560/000 که 630 هزار تومن کسر میشود.</t>
  </si>
  <si>
    <t>مبلغ 300/000/000 میلیون در تاریخ 1401/07/10 اضافه شد.</t>
  </si>
  <si>
    <t>مبلغ 27/000/000 میلیون در تاریخ 1401/07/25 اضافه شد.</t>
  </si>
  <si>
    <t>مبلغ 385/000/000 میلیون در تاریخ 1401/07/28 اضافه شد.</t>
  </si>
  <si>
    <t>مبلغ 115/000/000 میلیون در تاریخ 1401/08/02 اضافه شد.</t>
  </si>
  <si>
    <t>مبلغ 47/000/000 میلیون در تاریخ 1401/08/03 اضافه شد.</t>
  </si>
  <si>
    <t>مبلغ قبلی</t>
  </si>
  <si>
    <t>مبلغ 25 آذر ماه</t>
  </si>
  <si>
    <t>چک 340/000/000 میلیون تومان پاس و از اصل پول کم شد.</t>
  </si>
  <si>
    <t>چک 228/000/000 میلیون تومان پاس و از اصل پول کم شد.</t>
  </si>
  <si>
    <t>کارت اعتباری پست بانک در تاریخ 1401/08/21 تحویل آقای عبداللهی شد.</t>
  </si>
  <si>
    <t>مبلغ جدید برای آذر ماه</t>
  </si>
  <si>
    <t>برای 21 روز 4/900/00</t>
  </si>
  <si>
    <t>مبلغ جدید برای دی ماه</t>
  </si>
  <si>
    <t>در تاریخ 1401/08/21 نقدی به آقای عبداللهی پرداخت شد.</t>
  </si>
  <si>
    <t>برای 21 روز 294/000 تومان</t>
  </si>
  <si>
    <t>توضیحات در شیت خصوصی-سود آبان ماه تسویه شده است.</t>
  </si>
  <si>
    <t>مبلغ 50 میلیون از حساب رستوران در آبان ماه تسویه شده است.</t>
  </si>
  <si>
    <t>سود مهر ماه تسویه شده است.</t>
  </si>
  <si>
    <t>مبلغ 100 میلیون در تاریخ 1401/07/29 و مبلغ 50 میلیون در تاریخ 1401/07/30 به 3430 واریز شد.</t>
  </si>
  <si>
    <t>مبلغ 40 میلیون و 8 میلیون 1401/07/15 و مبلغ 100 میلیون 1401/07/14 به حساب 0216 واریز شد.</t>
  </si>
  <si>
    <t>مبلغ 199 میلیون  و مبلغ 118 میلیون 1401/07/14 واریز شده است.</t>
  </si>
  <si>
    <t>تمامی تاریخ ها تا 18 ام محاسبه شد.</t>
  </si>
  <si>
    <t>علی اصغر عروضی</t>
  </si>
  <si>
    <t>مبلغ 150 میلیون فروردین گذاشتند که 7 ماهه تا 1401/07/18 شده 200 میلیون - مبلغ 150 میلیون هم در تاریخ 1401/07/27 واریز کردند.</t>
  </si>
  <si>
    <t xml:space="preserve">چک به شماره 939983 به مبلغ 393/000/000 تومان اصل آن پرداخت شد - مبلغ 108 میلیون چک آقای علی عزیز عربی 206120 به تاریخ 1401/08/10 بهشون داده شد </t>
  </si>
  <si>
    <t>و مبلغ الباقی که 285 میلیون بود بهشون چک پشت نویسی شده ملت داده شد و چک 393 میلیون کامل پرداخت شد.</t>
  </si>
  <si>
    <t>دو تا چک راسی دارند یکی 43 میلیون بانک مسکن به تاریخ 1401/09/24 و دیگری 250 میلیون بانک ملت به تاریخ 1401/10/02</t>
  </si>
  <si>
    <t>مبلغ 14/950/000 تومان در تاریخ 1401/07/28 واریز شد.</t>
  </si>
  <si>
    <t>مبلغ 30 میلیون در تاریخ 1401/06/31 واریز شد.</t>
  </si>
  <si>
    <t>سود سی ام شهریور به اصل مبلغ اضافه شد.</t>
  </si>
  <si>
    <t>سود سی ام مهر به اصل مبلغ اضافه شد.</t>
  </si>
  <si>
    <t>سود سی آبان ماه</t>
  </si>
  <si>
    <t>سود سی ام آبان ماه به اصل مبلغ اضافه شد.</t>
  </si>
  <si>
    <t>مبلغ جدید برای سی ام آذر ماه</t>
  </si>
  <si>
    <t>پاس شد به نام علیرضا دلشاد</t>
  </si>
  <si>
    <t xml:space="preserve">سود 260 میلیون </t>
  </si>
  <si>
    <t>برای شش ماه</t>
  </si>
  <si>
    <t>مبلغ 40 میلیون 1401/04/26 -  20 میلیون 1401/06/15 -  20 میلیون 1401/06/16 -  20 میلیون 1401/06/17</t>
  </si>
  <si>
    <t>سود 260 میلیون یکساله میشد 450 میلیون که سود شش ماه اول میشد 100 میلیون چک 672610</t>
  </si>
  <si>
    <t>و سود شش ماه دوم میشد 100 میلیون + اصل مبلغ که 260 بود جمعا 350 میلیون چک 672609</t>
  </si>
  <si>
    <t>پرداخت چک 100 میلیون صادرات 672610</t>
  </si>
  <si>
    <t>مبلغ 25 میلیون در تاریخ 1401/06/27 واریز شد.</t>
  </si>
  <si>
    <t>بست وهفتم</t>
  </si>
  <si>
    <t>مبلغ 40/000/000 تومان در تاریخ 1401/07/11  به حساب 3430 واریز شد.</t>
  </si>
  <si>
    <t>از 27 مهر تا 5 آبان برای 8 روز محاسبه شد : 333/000 تومان</t>
  </si>
  <si>
    <t>از 11 مهر تا 5 آبان برای 24 روز محاسبه شد : 1/600/000 تومان</t>
  </si>
  <si>
    <t>در تاریخ 1401/08/05 مبلغ 43 میلیون به حساب 3430 واریز شد.</t>
  </si>
  <si>
    <t>واریزی پنجم آذر</t>
  </si>
  <si>
    <t>تا 1401/07/10 تسویه کامل با مهدی غلامی پل بند</t>
  </si>
  <si>
    <t>در تاریخ 1401/07/19 به اصل مبلغ اضافه شد که تا تاریخ یکم محاسبه شود.</t>
  </si>
  <si>
    <t>چک بانک صادرات به تاریخ 1401/09/03 به مبلغ 100 میلیون تحویل اقای عبداللهی شد.</t>
  </si>
  <si>
    <t>شهناز قندی</t>
  </si>
  <si>
    <t>سفته به مبلغ 50 میلیون تومان تاریخ 1402/08/25 داده شد - شماره سفته : 240385 - قرار شد اصل پول را خانم منصوره غلامی واریز کنند.</t>
  </si>
  <si>
    <t>مبلغ 25 میلیون از این مبلغ مربوط به خانم زهرا بابایی می باشد.</t>
  </si>
  <si>
    <t>سفته های 122848 - 976090 - 976089</t>
  </si>
  <si>
    <t>احمدرضا علیپور</t>
  </si>
  <si>
    <t>مبلغ 10 میلیون در تاریخ 1401/08/20 به کارت 4996 واریز شد. شماره سفته : 737386</t>
  </si>
  <si>
    <t>1401/08/24</t>
  </si>
  <si>
    <t>6037-9973-7360-7564</t>
  </si>
  <si>
    <t>مبلغ 100 میلیون در تاربخ 1401/08/23 به حساب 3430 واریز کردند.</t>
  </si>
  <si>
    <t>شبا بانک 1360</t>
  </si>
  <si>
    <t>6037-7011-9701-0777</t>
  </si>
  <si>
    <t>شبا بانک 5606</t>
  </si>
  <si>
    <t>هاجر محمدی</t>
  </si>
  <si>
    <t>5076-7710-0259-1737</t>
  </si>
  <si>
    <t>1401/08/26</t>
  </si>
  <si>
    <t>6037-6974-7099-8805</t>
  </si>
  <si>
    <t>تسویه آبان ماه - به کارت زهرا صمصامی</t>
  </si>
  <si>
    <t>تسویه مهر ماه - به کارت زهرا صمصامی</t>
  </si>
  <si>
    <t>واریز به کارت 4337</t>
  </si>
  <si>
    <t>واریز به کارت 4525</t>
  </si>
  <si>
    <t>1401/08/27</t>
  </si>
  <si>
    <t>شبا بانک 2002</t>
  </si>
  <si>
    <t>6037-9919-4659-9903</t>
  </si>
  <si>
    <t>1401/08/28</t>
  </si>
  <si>
    <t>تسویه سود مهر ماه</t>
  </si>
  <si>
    <t>تسویه سود آبان ماه</t>
  </si>
  <si>
    <t>شبا بانک 9496</t>
  </si>
  <si>
    <t>شبا بانک 9188</t>
  </si>
  <si>
    <t>به شبا 5030</t>
  </si>
  <si>
    <t>واریز به کارت 1449</t>
  </si>
  <si>
    <t>الباقی سود روی چکشون آورده شده است - تسویه آبان ماه</t>
  </si>
  <si>
    <t>1401/08/30</t>
  </si>
  <si>
    <t>شبا بانک 4411</t>
  </si>
  <si>
    <t>شبا بانک 8004</t>
  </si>
  <si>
    <t>سود آذرماه تسویه شده است.</t>
  </si>
  <si>
    <t>1401/08/</t>
  </si>
  <si>
    <t>علی آقا براشون واریز کردند.</t>
  </si>
  <si>
    <t>محمدجواد سعادتمند</t>
  </si>
  <si>
    <t>در تاریخ 1401/09/01 مبلغ 100 میلیون به حساب 4009 واریز شد.</t>
  </si>
  <si>
    <t>در تاریخ 1401/09/02 مبلغ 8/565/000 تومان به حساب 4009 واریز شد.</t>
  </si>
  <si>
    <t>مبلغ 250 میلیون در طی دو سفته 162076 - 192245 - 50 میلیون سفته بیشتر دارند.</t>
  </si>
  <si>
    <t>مبلغ 96/900/000  تومان در تاریخ 1401/08/18 به کارت 3430 واریز شد.</t>
  </si>
  <si>
    <t>مبلغ 90 میلیون تومان در تاریخ 1401/</t>
  </si>
  <si>
    <t>مبلغ 144/975/000 تومان در تاریخ 1401/08/25 به حساب پست بانک واریز شد.</t>
  </si>
  <si>
    <t>در تاریخ 1401/08/23به حساب پست بانک واریز شد.</t>
  </si>
  <si>
    <t>سود آذر ماه خانم شهربانو قدم دخت توسط ایشون پرداخت شد</t>
  </si>
  <si>
    <t>مبلغ 3/500/000 تومان در تاریخ 1401/08/30 به کارت 1325 واریز شد.</t>
  </si>
  <si>
    <t>سود اول  آذر توسط خانم نرگس رمضانی پرداخت شد.</t>
  </si>
  <si>
    <t>از سود آذر ماه پرداخت شده است.</t>
  </si>
  <si>
    <t>از سود آذر ماه هشت میلیون پرداخت شده است.</t>
  </si>
  <si>
    <t>از سود آذر ماه 23 میلیون پرداخت شده است.</t>
  </si>
  <si>
    <t>سود بیستم آبان ماه به اصل مبلغ اضافه شد.</t>
  </si>
  <si>
    <t>مبلغ 500/000 تومان از سود آذر ماه کم شود و به اصل مبلغ اضافه شد.</t>
  </si>
  <si>
    <t>اصل مبلغ برای یکم دی</t>
  </si>
  <si>
    <t>مبلغ صد میلیون از سود مشارکت آذر ماه ماه به اصل مبلغ اضافه شد - اصل مبلغ برای یکم دی 2 میلیارد</t>
  </si>
  <si>
    <t>مبلغ 150/000/000 تومان چک آقای احمد کامگار رو پاس کردند و مبلغ چک به اصل مبلغ اضافه شد.</t>
  </si>
  <si>
    <t>برای 1/500/000/000 کامل ضمانت دریافت شد - چک اقای احمد کامگار برگشت شد.</t>
  </si>
  <si>
    <t>مبلغ 37 میلیون در تاریخ 1401/09/02 به 12005 واریز شد.</t>
  </si>
  <si>
    <t>1401/08/25</t>
  </si>
  <si>
    <t>شبا بانک 7834</t>
  </si>
  <si>
    <t>شبا بانک 4159</t>
  </si>
  <si>
    <t xml:space="preserve">مهران جلالی </t>
  </si>
  <si>
    <t>مبلغ 50 میلیون در آبان ماه بیشتر واریز شده است - قرضی احتمالا تسویه آذر ماه</t>
  </si>
  <si>
    <t>سود پنجم دی ماه</t>
  </si>
  <si>
    <t>مبلغ 70/400/000 از سود پنجم آذر ماه به اصل مبلغ اضافه شد.</t>
  </si>
  <si>
    <t>قبلا پرداخت شده است.</t>
  </si>
  <si>
    <t>مجید توکلی ( همسر هایده خیامی )</t>
  </si>
  <si>
    <t>اصل مبلغ طی چک بانک کشاورزی در تاریخ 1401/09/05 برداشت شد و تسویه کامل شدند.</t>
  </si>
  <si>
    <t>مبلغ 20 میلیون تومان در تاریخ 1401/06/24 طی دو واریزی به حساب 4996 واریز شد - فیش واریزی چک شود. (بیست میلیون شش ماهه)</t>
  </si>
  <si>
    <t>مبلغ 20 میلیون تومان در تاریخ 1401/09/03 به حساب 2005 طی دو واریزی و مبلغ 10 میلیون 1401/09/04 به 4996  واریز شد - (سی میلیون شش ماهه)</t>
  </si>
  <si>
    <t>سود آبان ماه به اصل مبلغ اضافه شد - مبلغ 37/300/000 تومان در تاریخ 1401/08/22 به حساب 3430 واریز شد.</t>
  </si>
  <si>
    <t>سود اول آذر به اصل مبلغ اضافه شد.</t>
  </si>
  <si>
    <t>سود اول دی ماه</t>
  </si>
  <si>
    <t>هر دوماهی واریز میشود.</t>
  </si>
  <si>
    <t>مبلغ 2 میلیون از واریزی آذر در آبان پرداخت شده است - مانده سود آذر  ماه : 3/500/000 تومان</t>
  </si>
  <si>
    <t>در تاریخ 1401/09/01 مبلغ 100 میلیون به حساب 4009 واریز ش</t>
  </si>
  <si>
    <t>مبلغ 5 میلیون تسویه چک راسی سالانه - چک رو باید برگردونه بهمون</t>
  </si>
  <si>
    <t>مبلغ سود آذر ماه به اصل مبلغ اضافه شد.</t>
  </si>
  <si>
    <t xml:space="preserve">سود دی ماه </t>
  </si>
  <si>
    <t>سود اول آبان به مبلغ 19/600 ( رند 20 میلیون ) اضافه شد.</t>
  </si>
  <si>
    <t>مبلغ 100 میلیون در تاریخ 1401/08/23ساعت 19:33 و مبلغ100 میلیون در تاریخ 1401/08/23 ساعت 22:01 به شبای 3430 واریز شد .</t>
  </si>
  <si>
    <t>مبلغ 100 میلیون در تاریخ 1401/09/02ساعت 20:37 و مبلغ 100 میلیون در تاریخ 1401/09/03 ساعت 10:32 به حساب 0216 واریز شد .</t>
  </si>
  <si>
    <t>مبلغ 100 میلیون در تاریخ 1401/09/05ساعت 06:51 و مبلغ 93 میلیون در تاریخ 1401/09/06 ساعت 06:46 به حساب 0216 واریز شد .</t>
  </si>
  <si>
    <t>سود یکم آذر ماه به مبلغ راسی شون اضافه شد.</t>
  </si>
  <si>
    <t>1401/09/01</t>
  </si>
  <si>
    <t>مجتبی ناروئی</t>
  </si>
  <si>
    <t>واریز به کارت 0745</t>
  </si>
  <si>
    <t>شبا بانک 8979</t>
  </si>
  <si>
    <t>شبا بانک 8766</t>
  </si>
  <si>
    <t>شبا بانک 5265</t>
  </si>
  <si>
    <t>شبا بانک 9298</t>
  </si>
  <si>
    <t>1401/09/02</t>
  </si>
  <si>
    <t>شبا بانک 5984</t>
  </si>
  <si>
    <t>5892-1010-2823-2987</t>
  </si>
  <si>
    <t>واریز به کارت 0554</t>
  </si>
  <si>
    <t>شبا بانک 8310</t>
  </si>
  <si>
    <t>واریز به کارت آقای علی محمودی</t>
  </si>
  <si>
    <t>بابت صد میلیون سوم آذر تا 15 آذر قرار شد 15 آذر یکماه کامل پرداخت شود و اضافه پرداختی بعدا محاسبه شود.</t>
  </si>
  <si>
    <t>نادیا شادکی</t>
  </si>
  <si>
    <t xml:space="preserve">طی چک بدون تاریخ پست بانک 9912/423022 - سفته 240393  </t>
  </si>
  <si>
    <t>مبلغ 100 میلیون طی چک 9912/423023 پست بانک  1401/09/03 داده شد - سفته 962523</t>
  </si>
  <si>
    <t>سود مشارکت تا 1401/10/20 پرداخت شده است و دومیلیون از اصل پول هم تسویه شد - مانده اصل 48 میلیون از 1401/10/20</t>
  </si>
  <si>
    <t>سفته 448564 از 50 میلیون به 48 میلیون تغییر کرد.</t>
  </si>
  <si>
    <t>اصل 287 سفته 423956 + 713 واریز میکنند - یکساله راسی شد 1770</t>
  </si>
  <si>
    <t>1402/07/01</t>
  </si>
  <si>
    <t>1401/09/03</t>
  </si>
  <si>
    <t>شبا بانک 2251</t>
  </si>
  <si>
    <t>شبا بانک 7911</t>
  </si>
  <si>
    <t>شبا بانک 0226</t>
  </si>
  <si>
    <t>واریز به کارت 7934</t>
  </si>
  <si>
    <t>شبا بانک 4527</t>
  </si>
  <si>
    <t>شبا بانک 2734</t>
  </si>
  <si>
    <t>میگن تشویقی</t>
  </si>
  <si>
    <t>مبلغ 52/000/000 تومان در تاریخ 1401/08/01 به حساب 8318 واریز شد.</t>
  </si>
  <si>
    <t>شبا بانک 3523</t>
  </si>
  <si>
    <t>شبا بانک 5286</t>
  </si>
  <si>
    <t>شبا بانک 2239</t>
  </si>
  <si>
    <t>6277-6013-3318-7563</t>
  </si>
  <si>
    <t>مبلغ 150 میلیون سفته به تاریخ 1402/09/05 داده شد. شماره سفته : 123849</t>
  </si>
  <si>
    <t>1401/09/05</t>
  </si>
  <si>
    <t>1401/09/04</t>
  </si>
  <si>
    <t>قرار شد تاریخ چکشون عقب بیفته</t>
  </si>
  <si>
    <t>مبلغ باقیمانده دی ماه پرداخت شود.</t>
  </si>
  <si>
    <t>به اصل مبلغ اشافه شد</t>
  </si>
  <si>
    <t>سفته به مبلغ 45 میلیون به تاریخ 1402/09/04 داده شد. شماره سفته : 828564</t>
  </si>
  <si>
    <t>شبا بانک 8357</t>
  </si>
  <si>
    <t>مهدی دانائی زاده</t>
  </si>
  <si>
    <t>مبلغ 5 میلیون از سود آذر ماه به اصل مبلغ اضافه شد.</t>
  </si>
  <si>
    <t>مبلغ سود اول آذر ماه + چک کشاورزی عزیز عربی به مبلغ 22/600/000 به تاریخ 18 آبان جمعا 70 میلیون اضافه میشود.</t>
  </si>
  <si>
    <t>شبا بانک 7038</t>
  </si>
  <si>
    <t>شبا بانک 8353</t>
  </si>
  <si>
    <t>غلامعلی خالقی</t>
  </si>
  <si>
    <t>1402/09/15</t>
  </si>
  <si>
    <t>سفته 149808</t>
  </si>
  <si>
    <t>مبلغ 100 میلیون دهم آذر باید به حساب واریز کنند.</t>
  </si>
  <si>
    <t>چک کشاورزی082884 مبلغ 501 میلیون بابت مشارکت 458 15 آذر + 43 میلیون راسی داده شد.</t>
  </si>
  <si>
    <t>1401/09/06</t>
  </si>
  <si>
    <t>شبا بانک 8862</t>
  </si>
  <si>
    <t>محمودرضا حریفی</t>
  </si>
  <si>
    <t>شبا بانک 5749</t>
  </si>
  <si>
    <t>مبلغ 200 میلیون تاریخ 1401/08/02 به حساب 4009 و مبلغ 100 میلیون تاریخ 1401/08/02 به حساب 4009 واریز شد.</t>
  </si>
  <si>
    <t>شبا بانک7210</t>
  </si>
  <si>
    <t>شبا بانک 5325</t>
  </si>
  <si>
    <t>واریز به حساب سحر حسن زاده</t>
  </si>
  <si>
    <t>6037-6975-2044-7498</t>
  </si>
  <si>
    <t>شبا بانک 0329</t>
  </si>
  <si>
    <t>سود آذر ماه از واریزی اقای دانایی کم شد.</t>
  </si>
  <si>
    <t>آقای فرهاد حسینی احمد آبادی از گرماب</t>
  </si>
  <si>
    <t>همسر امید حاجی میری</t>
  </si>
  <si>
    <t>اصل مبلغ 10 میلیون سه ماه و سه روز شد 12 میلیون که تسویه کامل شد - تاریخ سفته 1401/09/03</t>
  </si>
  <si>
    <t>تسویه آذر ماه</t>
  </si>
  <si>
    <t>تسویه دی ماه</t>
  </si>
  <si>
    <t>واریز به کارت 5624</t>
  </si>
  <si>
    <t>شبا بانک 6850</t>
  </si>
  <si>
    <t>سفته 737378</t>
  </si>
  <si>
    <t>1402/04/05</t>
  </si>
  <si>
    <t>مریم ناروقه</t>
  </si>
  <si>
    <t>1404/09/06</t>
  </si>
  <si>
    <t>سفته 828565</t>
  </si>
  <si>
    <t>سید عباس طباطبایی</t>
  </si>
  <si>
    <t>سفته به مبلغ 200 میلیون به تاریخ 1402/08/18 داده شد - شماره سفته : 123844</t>
  </si>
  <si>
    <t>سفته به تاریخ 1402/09/10 به مبلغ صد میلیون داده شد. شماره سفته : 316588</t>
  </si>
  <si>
    <t>مهدی چرده</t>
  </si>
  <si>
    <t>سفته 240389</t>
  </si>
  <si>
    <t>1402/03/07</t>
  </si>
  <si>
    <t>1401/09/07</t>
  </si>
  <si>
    <t>مبلغ 45 میلیون به تاریخ 1401/09/06 به حساب 3430 واریز شد.</t>
  </si>
  <si>
    <t>علیرضا رجبی زاده</t>
  </si>
  <si>
    <t>چک به مبلغ 600 میلیون به تاریخ 1402/09/07 داده شد. شماره چک : 424004</t>
  </si>
  <si>
    <t>واریز به کارت 6476</t>
  </si>
  <si>
    <t>واریز به کارت محمد غلامی</t>
  </si>
  <si>
    <t>شبا بانک 8521</t>
  </si>
  <si>
    <t>واریز به حساب علی اصغر شادکی</t>
  </si>
  <si>
    <t>شبا بانک 3231</t>
  </si>
  <si>
    <t>5894-6315-9655-7769</t>
  </si>
  <si>
    <t>تسویه سود چهار روز چک  100 میلیون</t>
  </si>
  <si>
    <t>شبا بانک 1710</t>
  </si>
  <si>
    <t>شبا بانک 7646</t>
  </si>
  <si>
    <t>تسویه الباقی سود آذر ماه</t>
  </si>
  <si>
    <t>واریز به حساب 1916827291</t>
  </si>
  <si>
    <t>مبلغ 100 میلیون از اصل پول تسویه شد.</t>
  </si>
  <si>
    <t>1401/09/10</t>
  </si>
  <si>
    <t>اصل مبلغ 150 میلیون 7 ماهه با سود 6 درصد تسویه میشود.</t>
  </si>
  <si>
    <t>شبا بانک 0617</t>
  </si>
  <si>
    <t>1401/09/08</t>
  </si>
  <si>
    <t>انتقال به آقای دادخدا  نادی</t>
  </si>
  <si>
    <t>تسویه 19 میلیون از اصل پول</t>
  </si>
  <si>
    <t>شبا بانک 2345</t>
  </si>
  <si>
    <t>شبا بانک 4541</t>
  </si>
  <si>
    <t>از آذر ماه - مبلغ 62/820/000 در تاریخ 1401/08/05 و مبلغ 6/980/000 در تاریخ 1401/08/05 به ملت اقای عبداللهی واریز شد.</t>
  </si>
  <si>
    <t>شبا بانک 0724</t>
  </si>
  <si>
    <t>احمد چوپان زاده</t>
  </si>
  <si>
    <t>سبحان اسدی</t>
  </si>
  <si>
    <t>1407/09/02</t>
  </si>
  <si>
    <t>سفته 369429</t>
  </si>
  <si>
    <t>مبلغ 93 میلیون در تاریخ 1401/07/30 واریز شد - الباقی سوم آبان به حساب 25 واریز شده است.</t>
  </si>
  <si>
    <t>مبلغ 165/000/000 تومان در تاریخ 1401/08/08 به حساب 4009 واریز شد.</t>
  </si>
  <si>
    <t>مبلغ 105/000/000 تومان در تاریخ 1401/08/24 به حساب 4009 واریز شد.</t>
  </si>
  <si>
    <t>سود در آذر ماه به اصل مبلغ اضافه شد.</t>
  </si>
  <si>
    <t>سود شهریور 8/250 + سود مهر 2/750 + سود آبان 1/375 + سود آذر 1.375 +1.250 ارفاق</t>
  </si>
  <si>
    <t>سود یکم دی ماه</t>
  </si>
  <si>
    <t>مبلغ 10 میلیون تاریخ 1401/09/12 ساعت 11:09 به کارت 1325 واریز کردند.</t>
  </si>
  <si>
    <t>سود به اصل مبلغ اضافه میشود.</t>
  </si>
  <si>
    <t>سفته های 342551 و 302610 تحویل آقای عبداللهی و باطل شدند.</t>
  </si>
  <si>
    <t>1401/09/12</t>
  </si>
  <si>
    <t>سود 20 روز 33/070/000 از 22 آبان تا 12 آذر میشود 1/544/000 که 630 هزار تومن اضافه میشود.</t>
  </si>
  <si>
    <t>باید 33/070/000 واریز میکردند اما مبلغ 33/700/000 واریز کردند مبلغ 630/000 تومان اضافه زدند تاریخ 1401/08/22 به پست بانک</t>
  </si>
  <si>
    <t>سود 5 روز 183 میلیون  از 7 آذر تا 12 آذر میشود  2/135/000 تومان</t>
  </si>
  <si>
    <t>مبلغ 2 میلیون در تاریخ 1401/09/09 به حساب 2005 و مبلغ 56 میلیون در تاریخ 1401/08/23 به حساب 3430 و مبلغ 60 میلیون در تاریخ 1401/08/23 به حساب</t>
  </si>
  <si>
    <t>شماره 3430 و مبلغ 50 میلیون در تاریخ 1401/09/09 به حساب 0216 واریز شد که از این مبلغ 8 میلیون مربوط به خانم قربان نژاد میباشد.</t>
  </si>
  <si>
    <t>طاهره قربان نژاد</t>
  </si>
  <si>
    <t>مبلغ 100 میلیون در تاریخ 1401/09/05 به حساب 4425 واریز شد.</t>
  </si>
  <si>
    <t>اسماعیل لشگری حکم آباد</t>
  </si>
  <si>
    <t>مبلغ 100 میلیون در تاریخ 1401/09/08 به حساب 25 و مبلغ 50 میلیون در تاریخ 1401/09/09 به حساب 25 واریز شد. سفته 150 میلیونی تحویل شد - 210386</t>
  </si>
  <si>
    <t>سید علی حسینی 2</t>
  </si>
  <si>
    <t>مبلغ 100 میلیون در تاریخ 1401/09/07 به حساب ملی واریز کردند. شماره سفته : 663023</t>
  </si>
  <si>
    <t>مبلغ 800 میلیون در تاریخ 1401/08/28 به حساب 3417 واریز شد - سفته 500 میلیونی و 300 میلیونی داده شد. شماره سفته ها :خوانا نیست</t>
  </si>
  <si>
    <t>مبلغ 10 میلیون در تاریخ 1401/09/06 به کارت صادرات 4996 واریز شد.</t>
  </si>
  <si>
    <t>افزایش سرمایه در تاریخ 1401/09/05 به حساب  0216</t>
  </si>
  <si>
    <t>سود مشارکت آذر ماه به اصل مبلغ اضافه شد.</t>
  </si>
  <si>
    <t>مبلغ دی ماه</t>
  </si>
  <si>
    <t>مبلغ 166 هزار تومان بیشتر واریز کردند که از ماهیانه ماه بعد کم خواهد شد.</t>
  </si>
  <si>
    <t>مبلغ 200 میلیون در تاریخ 1401/08/16 به حساب 3417 واریز شد - اشتباها سفته ایشون با برادرشون جا به جا نوشته شد - سفته 250 میلیون تحویل شد.</t>
  </si>
  <si>
    <t>مبلغ 10 میلیون در تاریخ 1401/09/08 ساعت 15:25:30 به حساب 4996 واریز شد.</t>
  </si>
  <si>
    <t>مبلغ 10 میلیون در تاریخ 1401/09/08 ساعت 15:21:39 به حساب 4996 واریز شد.</t>
  </si>
  <si>
    <t>سود آذر ماه به اصل مبلغشون اضافه شد.</t>
  </si>
  <si>
    <t>مبلغ 3/750/00 تومان در تاریخ 1401/09/08 به کارت 5379 واریز شد.</t>
  </si>
  <si>
    <t>مبلغ 30/000/00 تومان در تاریخ 1401/09/08 به حساب 8318 واریز شد.</t>
  </si>
  <si>
    <t>مبلغ 10 میلیون در تاریخ 1401/09/05 در ساعت 23:14 به حساب پارسیان واریز شد.</t>
  </si>
  <si>
    <t>مبلغ 6 میلیون در تاریخ 1401/09/05 در ساعت 23:51 به حساب ملت واریز شد.</t>
  </si>
  <si>
    <t>مبلغ 10 میلیون در تاریخ 1401/09/06 در ساعت 23:24 به حساب پارسیان واریز شد.</t>
  </si>
  <si>
    <t>مبلغ 9 میلیون در تاریخ 1401/09/07 در ساعت 01:13 به حساب پارسیان واریز شد.</t>
  </si>
  <si>
    <t>مبلغ 8 میلیون در تاریخ 1401/09/09 در ساعت 00:22 به حساب پارسیان واریز شد.</t>
  </si>
  <si>
    <t>مبلغ 10 میلیون در تاریخ 1401/09/08 در ساعت 00:12 به حساب پارسیان واریز شد.</t>
  </si>
  <si>
    <t>مبلغ 6 میلیون در تاریخ 1401/09/05 ساعت 17:56 به حساب ملت 1325 واریز شد.</t>
  </si>
  <si>
    <t>مبلغ 93 میلیون در تاریخ 1401/07/30 به حساب 25 و مبلغ 27 میلیون در تاریخ 1401/08/03 به حساب 25 واریز شد.</t>
  </si>
  <si>
    <t>مبلغ 5 میلیون در تاریخ 1401/09/03 به کارت 4996 واریز شد.</t>
  </si>
  <si>
    <t>مبلغ 70 میلیون تومان در تاریخ 1402/08/07 به حساب 3430 واریز و سفته داده شد.</t>
  </si>
  <si>
    <t>مبلغ 57 تومان به حساب ارسیا و مبلغ 43 تومان 1401/08/17 به حساب 3430 واریز کردند.</t>
  </si>
  <si>
    <t>مبلغ 25 میلیون بابت درصد فروش به ارسیا صنعتی در تاریخ 1401/09/13 توسط ارمغان صنعتی واریز شد.</t>
  </si>
  <si>
    <t>مبلغ 65 میلیون در تاریخ 1401/09/13 به حساب 3430  توسط ارمغان صمعتی واریز شد.</t>
  </si>
  <si>
    <t>مبلغ 10 میلیون سود آذر  به اصل مبلغشون در تاریخ 1401/09/12 توسط ارمغان صنعتی اضافه شد.</t>
  </si>
  <si>
    <t>برای 17 روز 5/750/000</t>
  </si>
  <si>
    <t>برای 19 روز 1/550/000 تومان</t>
  </si>
  <si>
    <t>مبلغ 60/500 میلیون از سمت محمدرضا عبداللهی کسر شد و 39/500 میلیون به حساب 0616 واریز کردند - واریزی 14 آبان</t>
  </si>
  <si>
    <t>واریز به کارت 0761</t>
  </si>
  <si>
    <t>سفته به تاریخ 1402/02/08 به مبلغ 100 میلیون داده شد. شماره سفته : 316575</t>
  </si>
  <si>
    <t>سود آذر ماه به اصل مبلغ اضافه شد - مبلغ 55 میلیون و 10 میلون تاریخ 1401/09/08 در سینما پیتزا و 10 میلیون در تاریخ 1401/09/08 به کارت 5379 واریز شد.</t>
  </si>
  <si>
    <t>مبلغ 137/500/000در تاریخ 1401/09/03 ساعت 10 اضافه شد.</t>
  </si>
  <si>
    <t>سود آذر ماه به اصل مبلغ خانم فاطمه جواهری اضافه شد.</t>
  </si>
  <si>
    <t>علی علیمیرزایی ( همسر منیر علیمیرزایی )</t>
  </si>
  <si>
    <t>مبلغ 10 میلیون در تاریخ 1401/09/13 به کارت 4996 در ساعت 23:24 واریز شد.</t>
  </si>
  <si>
    <t>مبلغ 5 میلیون در تاریخ 1401/09/14 به کارت 4996 در ساعت 00:21 واریز شد.</t>
  </si>
  <si>
    <t>خدیجه علی اکبری ( زهرا علی اکبری )</t>
  </si>
  <si>
    <t>1401/09/09</t>
  </si>
  <si>
    <t>5859-8311-9269-5616</t>
  </si>
  <si>
    <t>واریزی دو ماه آبان و آذر</t>
  </si>
  <si>
    <t>واریز به کارت 2178</t>
  </si>
  <si>
    <t>وحید پروانه ( نوید پروانه )</t>
  </si>
  <si>
    <t>شبا بانک 7806</t>
  </si>
  <si>
    <t>1401/09/14</t>
  </si>
  <si>
    <t>1401/09/15</t>
  </si>
  <si>
    <t>شبا بانک 7471</t>
  </si>
  <si>
    <t>افزایش سرمایه در تاریخ 1401/09/14 به حساب  3430</t>
  </si>
  <si>
    <t>رضا سرشت طینت</t>
  </si>
  <si>
    <t>مبلغ 130 میلیون تومان در تاریخ 1401/09/13 به حساب 3430 واریز شد - سفته 130 میلیون تحویل شد - شماره سفته : 252755</t>
  </si>
  <si>
    <t>سید محسن وهاب زاده</t>
  </si>
  <si>
    <t>مبلغ 200 میلیون تومان در تاریخ 1401/09/15 به حساب کشاورزی 6662 واریز شد -</t>
  </si>
  <si>
    <t>یک چک داشتن برای 21 برج 10 مبلغ 12 میلیون که چون زودتر میخواستن برداشت کنن 800 از پولشون کم شد و توسط خانم فائزه نیازجو 8 میلیون اضافه شد که جمعا شد 19/200 - این ماه سود نمیگیرن تا 20 تومنشون کامل بشه و سفته 19/200 تومنی تحویلشون شد. شماره سفته : 012644</t>
  </si>
  <si>
    <t>سفته 252780</t>
  </si>
  <si>
    <t>سی و شش ماهه</t>
  </si>
  <si>
    <t>1404/08/28</t>
  </si>
  <si>
    <t>حسن نیازجو</t>
  </si>
  <si>
    <t>چک  40 میلیون شماره 174152 به تاریخ 1401/08/28 در وجه حامل راسی 36 ماهه شد.</t>
  </si>
  <si>
    <t>سود 1401/09/21 پرداخت شد - واریزی بعدی 1401/10/21 - سفته 19/200 به 20 تغییر یافت.</t>
  </si>
  <si>
    <t>مبلغ 10 میلیون در تاریخ 1401/09/09 به حساب سپه 1743 واریز شد.</t>
  </si>
  <si>
    <t>علی پور</t>
  </si>
  <si>
    <t>واریز به کارت 6214</t>
  </si>
  <si>
    <t>فرزانه وحیدی خواه</t>
  </si>
  <si>
    <t>واریز به کارت 1236</t>
  </si>
  <si>
    <t>شبا بانک 10000</t>
  </si>
  <si>
    <t>در تاریخ 1401/09/11 مبلغ 20 میلیون رو ساعت 38 : 18 مغازه علی اقا کارت کشیدن - سفته 20 میلیونی تحویل شد - شماره سفته : 737379</t>
  </si>
  <si>
    <t>حسن یادگار</t>
  </si>
  <si>
    <t>مبلغ قرار شد دوازدهم آذر به حساب واریز شود - سفته 60 میلیونی به تاریخ 1402/09/12 تحویل شد - شماره سفته : 316568</t>
  </si>
  <si>
    <t>سود مهر - آبان - آذر ماهی 3 میلیون سفته 9 میلیون به تاریخ 1401/09/20 داده شد - شماره سفته : 267310</t>
  </si>
  <si>
    <t>حسن سعادتمند</t>
  </si>
  <si>
    <t>مبلغ 15 میلیون 1401/09/13 و مبلغ 5 میلیون تاریخ 1401/09/14 و مبلغ 10 میلیون 1401/09/13 به کارت 6824 واریز شد. (فاطمه رمضانی)</t>
  </si>
  <si>
    <t>مبلغ 100 میلیون در تاریخ 1401/09/15 به حساب 2005 واریز شد.</t>
  </si>
  <si>
    <t>1401/09/16</t>
  </si>
  <si>
    <t>تسویه سود دیرکرد</t>
  </si>
  <si>
    <t>بابت دو هفته تاخیر کم میشود.</t>
  </si>
  <si>
    <t>بابت سر رسید چک 15 / 8 به مبلغ 171/000/000 تومان</t>
  </si>
  <si>
    <t>بابت سر رسید چک 15 / 9 به مبلغ 160/500/000 تومان</t>
  </si>
  <si>
    <t>مبلغ 100 میلیون در تاریخ 1402/09/10 سفته داده شد - مشارکت جدید شش درصد</t>
  </si>
  <si>
    <t>حساب 0070</t>
  </si>
  <si>
    <t>1399/10/30</t>
  </si>
  <si>
    <t>1400/10/30</t>
  </si>
  <si>
    <t>1401/09/11</t>
  </si>
  <si>
    <t>نصرت چراغعلی پور طرقی (غلامرضا سعادتمند)</t>
  </si>
  <si>
    <t>1401/10/30</t>
  </si>
  <si>
    <t>مبلغ 38/500/000 تاریخ 30 دی پرداخت کنیم.</t>
  </si>
  <si>
    <t>د</t>
  </si>
  <si>
    <t>از دی ماه 5 درصد میشود.</t>
  </si>
  <si>
    <t>سفته ها کامل تحویل شد.</t>
  </si>
  <si>
    <t>شبا بانک 3278</t>
  </si>
  <si>
    <t>حساب 3029</t>
  </si>
  <si>
    <t>شبا بانک 1648</t>
  </si>
  <si>
    <t>در آذر ماه پرداخت شد.</t>
  </si>
  <si>
    <t>برای سه ماه مهر آبان آذر واریز شد.</t>
  </si>
  <si>
    <t>محمد علی حسینی نژاد</t>
  </si>
  <si>
    <t>مسعود حسینی نژاد</t>
  </si>
  <si>
    <t>اسکرین شات آقای عبداللهی</t>
  </si>
  <si>
    <t>علیرضا حسینی بهلولی</t>
  </si>
  <si>
    <t>مبلغ 20 میلیون تومان در تاریخ 1402/09/12 سفته داده شد - شماره سفته : 012646</t>
  </si>
  <si>
    <t>اطلاعات تا شانزدهم آذر</t>
  </si>
  <si>
    <t xml:space="preserve">جمع مبلغ تا 16آذر : </t>
  </si>
  <si>
    <t>1402/07/08</t>
  </si>
  <si>
    <t>1730/852716/22</t>
  </si>
  <si>
    <t>1887/204449</t>
  </si>
  <si>
    <t>حامل</t>
  </si>
  <si>
    <t>مسکن</t>
  </si>
  <si>
    <t>50014/082868</t>
  </si>
  <si>
    <t>سفته</t>
  </si>
  <si>
    <t>1402/09/12</t>
  </si>
  <si>
    <t>مبلغ 200 میلیون به اقای عبداللهی داده بودند که 200 میلیون رو پس گرفتند.</t>
  </si>
  <si>
    <t>سود آبان</t>
  </si>
  <si>
    <t>آخر ماه</t>
  </si>
  <si>
    <t>مبلغ جدید برای آخر ماه آبان</t>
  </si>
  <si>
    <t>1401/09/13</t>
  </si>
  <si>
    <t>مبلغ 90 میلیون تومان در تاریخ 1401/08/23به حساب 3430 واریز شد.</t>
  </si>
  <si>
    <t>شبا بانک 6354</t>
  </si>
  <si>
    <t>6037-6915-2960-8010</t>
  </si>
  <si>
    <t>واریز به کارت 4210</t>
  </si>
  <si>
    <t>مبلغ مشارکت 12 دی ماه</t>
  </si>
  <si>
    <t>مبلغ 4/800/000 تومان در تاریخ 1401/09/16 به کارت 4996 واریز شد و مبلغ 5/200/000 تومان نقدی دادن.</t>
  </si>
  <si>
    <t>مشارکت جدید در تاریخ 1401/08/04</t>
  </si>
  <si>
    <t>سفته 2/200/000/000 داده شد.</t>
  </si>
  <si>
    <t>از سود آذر ماه مبلغ 23 میلیون + 50 میلیون پرداخت شده است.</t>
  </si>
  <si>
    <t>شبا ابنک 3901</t>
  </si>
  <si>
    <t>مبلغ واریزی 50 میلیون در تاریخ 1401/06/12 به حساب 0216 آقای عبداللهی</t>
  </si>
  <si>
    <t>6037-7014-0665-1692</t>
  </si>
  <si>
    <t>شبا بانک 2738</t>
  </si>
  <si>
    <t>در تاریخ 1401/09/14 پرداخت شد.</t>
  </si>
  <si>
    <t>واریزی برای سه ماه مهر - آبان - آذر</t>
  </si>
  <si>
    <t>شبا بانک 1005</t>
  </si>
  <si>
    <t>اطلاعات تا هفدهم آذر</t>
  </si>
  <si>
    <t>6068/377105</t>
  </si>
  <si>
    <t>حسام راد حسینی</t>
  </si>
  <si>
    <t>6068/377104</t>
  </si>
  <si>
    <t>6068/377106</t>
  </si>
  <si>
    <t>1401/09/26</t>
  </si>
  <si>
    <t>1401/09/29</t>
  </si>
  <si>
    <t>1809/415648/17</t>
  </si>
  <si>
    <t>1803/152088/51</t>
  </si>
  <si>
    <t>1803/152086/28</t>
  </si>
  <si>
    <t>اصل مبلغ چک 30 آذر به میزان یک میلیارد تومان نزد حسام میباشد.</t>
  </si>
  <si>
    <t>واریزی بعدی مشارکت سی ام دی ماه</t>
  </si>
  <si>
    <t>مبلغ یک میلیارد در تاریخ 1401/06/30 سه ماهه اضافه شد.</t>
  </si>
  <si>
    <t>مراد محمد بلوچ زهی</t>
  </si>
  <si>
    <t>شبابانک 1137</t>
  </si>
  <si>
    <t>بتول سلیمان زاده سنگ سیاه</t>
  </si>
  <si>
    <t>6037-6976-5711-1032</t>
  </si>
  <si>
    <t>6037-6976-5893-4051</t>
  </si>
  <si>
    <t>اصل پول در تاریخ 20 آذر تحویل گردد - سفته ها در تاریخ 1401/09/15 تحویل آقای عبداللهی گردید.</t>
  </si>
  <si>
    <t>تاریخ چک : 1401/09/15 پاس شد.</t>
  </si>
  <si>
    <t>6037-7015-4114-1674</t>
  </si>
  <si>
    <t>شبا بانک 8032</t>
  </si>
  <si>
    <t>شبا بانک 2516</t>
  </si>
  <si>
    <t>برای 12 روز محاسبه شد.</t>
  </si>
  <si>
    <t>لیلا عبداللهی</t>
  </si>
  <si>
    <t>واریز به کارت 7034</t>
  </si>
  <si>
    <t>مبلغ 520 میلیون تومان سفته به تاریخ 1404/09/12 داده شد. شماره سفته : 369149</t>
  </si>
  <si>
    <t>سفته 369149</t>
  </si>
  <si>
    <t>1404/09/12</t>
  </si>
  <si>
    <t>ابراهیم نصری</t>
  </si>
  <si>
    <t>واریز به کارت 1743</t>
  </si>
  <si>
    <t>6037-7011-8608-8131</t>
  </si>
  <si>
    <t>شبا بانک 1144</t>
  </si>
  <si>
    <t>شبابانک 4049</t>
  </si>
  <si>
    <t>مبلغ 150 میلیون از سفته های آقای محمد ترخ پور از پست بانک برداشت شد. ( سفته های 182475 - 182474- 180089 به مبلغ 190 میلیون باطل شدند.)</t>
  </si>
  <si>
    <t>نیلوفر آخوند زاده</t>
  </si>
  <si>
    <t>مبلغ 10 میلیون در تاریخ 1401/09/17 به کارت کشاورزی 0661 در ساعت 19:06 واریز شد.</t>
  </si>
  <si>
    <t>مبلغ 50 میلیون تاریخ 1401/09/17 به حساب 4009  در ساعت 09:44 واریز شد.</t>
  </si>
  <si>
    <t>مبلغ 10 میلیون از مانده سود مهر در آبان پرداخت شد و تسویه شدند.</t>
  </si>
  <si>
    <t>دو مبلغ جدید + 781/250/000 تومان جمعا 925 میلیون به اصل مبلغ اضافه و سفته 925 میلیون  گرفته شد.</t>
  </si>
  <si>
    <t>مبلغ پایان آبان ماه</t>
  </si>
  <si>
    <t>سود 100 میلیون 24 / 8</t>
  </si>
  <si>
    <t>سود 100 میلیون 25 / 8</t>
  </si>
  <si>
    <t xml:space="preserve">جمعا : </t>
  </si>
  <si>
    <t xml:space="preserve">مبلغ آخر ماه آذر ماه </t>
  </si>
  <si>
    <t>الباقی سود آبان</t>
  </si>
  <si>
    <t>مبلغ 10 میلیارد</t>
  </si>
  <si>
    <t>مبالغ بالای 10 میلیارد + مبالغ جدید</t>
  </si>
  <si>
    <t>پول یکساله راس داشتند شده بود اول آبان 80 میلیون - 80 تومان برای 18 روز و 120 تومان برای یکماه تا 18 آذر محاسبه شد.</t>
  </si>
  <si>
    <t>مبلغ سی میلیون در تاریخ 1401/09/09 به حساب 3417 واریز شد. شماره سفته : 316566</t>
  </si>
  <si>
    <t>واریزی  تاریخ 1401/08/18 - فیش دست علی آقا - شماره سفته : 73738</t>
  </si>
  <si>
    <t>مبلغ 175 میلیون تومان در تاریخ 1401/09/19 به حساب کشاورزی 6662 و مبلغ 25 میلیون در تاریخ 1401/09/19 به حساب 0574 ارسیا  واریز شد.</t>
  </si>
  <si>
    <t>مبلغ 44/730/000 تومان در تاریخ 1401/09/17 به کارت 1325 واریز کرند.</t>
  </si>
  <si>
    <t>مبلغ 10/000/000 تومان در تاریخ 1401/09/17  در ساعت 12:20 به کارت 1325 واریز کرند.</t>
  </si>
  <si>
    <t>1401/09/17</t>
  </si>
  <si>
    <t>شبا بانک 5147</t>
  </si>
  <si>
    <t>بابت چک از آذر ماه تا خرداد ماه کسر میشود.</t>
  </si>
  <si>
    <t>الباقی سود آذر ماه به اصل مبلغ اضافه شد.</t>
  </si>
  <si>
    <t>اطلاعات جدید آقای جوینی آذر ماه</t>
  </si>
  <si>
    <t>باقیمانده سود آذر</t>
  </si>
  <si>
    <t xml:space="preserve"> تاریخ 1401/09/12 به به حساب ملت 3430 واریز شد.</t>
  </si>
  <si>
    <t>مبلغ 100 میلیون در تاریخ 1401/08/15 علی اقا از حسابشون کسر کردن ( 50+40+10)</t>
  </si>
  <si>
    <t>سود آبان ماه به اصل مبلغ پیرزن ها اضافه شد و مبلغ 3/800/000 در تاریخ 1401/09/23 و مبلغ 10 تومان در تاریخ 1401/09/22 به کارت 1401 واریز شد.</t>
  </si>
  <si>
    <t xml:space="preserve">شیرینی </t>
  </si>
  <si>
    <t>مبلغ 300 میلیون مادرشون (5 درصد )  + 500 میلیون خاله شون ( 5 درصد )  + 445 میلیون محسن بیک ( 4/5 درصد ) - هر کدام تا 6 درصد برای اقای صنعتی</t>
  </si>
  <si>
    <t>افزایش سرمایه در تاریخ 1401/09/06 به حساب  0216 - مبلغ 166 هزار تومان بیشتر واریز شد - (166000-71/051/000)</t>
  </si>
  <si>
    <t>برای 15 روز سود محاسبه میشه - مبلغ 50 میلیون در تاریخ 1401/09/15 به حساب 1325 اضافه شد - چک ضمانت نگرفتند.</t>
  </si>
  <si>
    <t>مازاد سودشون تا 950 رو واریز کردند</t>
  </si>
  <si>
    <t>سود نهایی :</t>
  </si>
  <si>
    <t>مبلغ 6/850/000 میلیون بابت مازاد سود تا 950 میلیون در تاریخ 1401/09/12 به حساب 3430 اضافه شد.</t>
  </si>
  <si>
    <t>الباقی مانده سود آبان به مبلغ 850/000/000 به اصل مبلغ اضافه شد - آخر ماه آبان تسویه شد.</t>
  </si>
  <si>
    <t>الباقی مانده سود مهربه مبلغ 925/000/000 به اصل مبلغ اضافه شد.</t>
  </si>
  <si>
    <t>مبلغ پایان آذر ماه  مبلغ 1/010/250/000 میباشد- سود 50 میلیون نصف حساب خواهد شد</t>
  </si>
  <si>
    <t>واریز به کارت 0042</t>
  </si>
  <si>
    <t>1401/09/19</t>
  </si>
  <si>
    <t>6037-7011-8620-7855</t>
  </si>
  <si>
    <t>واریز به کارت خانم زینب کریمی</t>
  </si>
  <si>
    <t xml:space="preserve">امیر شریف زاده </t>
  </si>
  <si>
    <t>شبا بانک 7436</t>
  </si>
  <si>
    <t>غلامحسین فروزان پور</t>
  </si>
  <si>
    <t>مبلغ 223 میلیون در تاریخ 1401/09/19 به حساب پست بانک 3417  واریز شد.</t>
  </si>
  <si>
    <t>مبلغ 177 میلیون در تاریخ 1401/09/19 به حساب پست بانک 3417  واریز شد.</t>
  </si>
  <si>
    <t>مصطفی سارانی</t>
  </si>
  <si>
    <t>مبلغ 150 میلیون درتاریخ 1401/09/19 در ساعت 11:03 واریز شد. ( گالیکش )</t>
  </si>
  <si>
    <t>مبلغ 10 میلیون در تاریخ 1401/09/15 به کارت1325 در ساعت 19:36 واریز شد.</t>
  </si>
  <si>
    <t>مبلغ 10 میلیون در تاریخ 1401/09/16 به کارت1325 در ساعت 18:49 واریز شد.</t>
  </si>
  <si>
    <t>مبلغ 10 میلیون در تاریخ 1401/09/13 به کارت1325 در ساعت 17:33 واریز شد.</t>
  </si>
  <si>
    <t>مبلغ 10 میلیون در تاریخ 1401/09/14 به کارت1325 در ساعت 19:11 واریز شد.</t>
  </si>
  <si>
    <t>مبلغ 10 میلیون در تاریخ 1401/09/17 به کارت1325 در ساعت 18:54 واریز شد.</t>
  </si>
  <si>
    <t>این مبلغ از خواهرشون به ایشون انتقال یافت.</t>
  </si>
  <si>
    <t>مبلغ 50 میلیون در تاریخ 1401/09/19 به حساب 3430 واریز شد - مبلغ 150 میلیون سفته به تاریخ 1401/09/04 داده شد - 252757</t>
  </si>
  <si>
    <t>مبلغ 100 میلیون در تاریخ 1401/09/17 به حساب 3430 واریز شد - مبلغ 150 میلیون سفته به تاریخ 1401/09/04 داده شد - 252757</t>
  </si>
  <si>
    <t>مبلغ 200 میلیون از حساب اقای لنگرک کسر و به حساب خانم مرضیه خدادوست انتقال یافت. 10/10 36 میلیون و 11/10 39 میلیون</t>
  </si>
  <si>
    <t>از  10/10 36 میلیون و 11/10 39 میلیون</t>
  </si>
  <si>
    <t>مبلغ 200 میلیون بابت ابراهیم تیموری از اصل مبلغ کسر شود.</t>
  </si>
  <si>
    <t>مبلغ قرار هست به حساب ما واریز شود</t>
  </si>
  <si>
    <t>واریز به حساب 44975341</t>
  </si>
  <si>
    <t>شیریتی بلوچ</t>
  </si>
  <si>
    <t>از سود دی ماه مبلغ 6 میلیون کسر شود.</t>
  </si>
  <si>
    <t>جلال کرمانی</t>
  </si>
  <si>
    <t>چک 25018/174152</t>
  </si>
  <si>
    <t>1402/03/25</t>
  </si>
  <si>
    <t>مبلغ 6 طلب ما از دی ماه - سفته 20 میلیونی به تاریخ 1402/03/19 داده شد - شماره سفته : 220971</t>
  </si>
  <si>
    <t>1401/09/20</t>
  </si>
  <si>
    <t>شبا بانک 7000</t>
  </si>
  <si>
    <t>6277-6013-0933-6392</t>
  </si>
  <si>
    <t xml:space="preserve">مبلغ 200 میلیون چک پاس و از اصل مبلغ کم شود. </t>
  </si>
  <si>
    <t>مشارکت دی ماه</t>
  </si>
  <si>
    <t>مبلغ 250 میلیون سفته به تاریخ 1402/10/09 داده شد - شماره سفته : 320972</t>
  </si>
  <si>
    <t>مبلغ 100 میلیون سفته به تاریخ 1402/12/16 داده شد - شماره سفته : 316577 - سفته 50 میلیونی به شماره 722809 باطل شد.</t>
  </si>
  <si>
    <t>سفته 50 میلیونی به شماره 701544 برگشت داده شود.</t>
  </si>
  <si>
    <t>سفته 60 میلون مبالغ جدید به تاریخ 1402/09/12 داده شد - شماره سفته : 451288</t>
  </si>
  <si>
    <t>1401/09/21</t>
  </si>
  <si>
    <t>شبا بانک 0865</t>
  </si>
  <si>
    <t>بیستو دوم</t>
  </si>
  <si>
    <t>زهرا لالوزایی</t>
  </si>
  <si>
    <t>تسویه سفته خانمشون خانم فاطمه شیرین هزار - شماره سفته : 518041</t>
  </si>
  <si>
    <t>مبلغ 945 میلیون افزایش سرمایه داشتند که برای مهرماه با سود 7 درصد و از مهرماه سئد 8 درصد خواهد گردید - چک 945 میلیون بود به تاریخ 1401/06/02</t>
  </si>
  <si>
    <t>خدیجه خالقی (غلامعلی کامگار پور)</t>
  </si>
  <si>
    <t>حسین هوشیار</t>
  </si>
  <si>
    <t>مبلغ 32 میلیون در تاریخ 1401/08/24 به حساب 6662 واریز شد.</t>
  </si>
  <si>
    <t>اصل مبلغ تسوشه شد.</t>
  </si>
  <si>
    <t>شبا بانک 0003</t>
  </si>
  <si>
    <t>اصل پول با سود آذر ماه تسویه شد.</t>
  </si>
  <si>
    <t>شبا بانک 8406</t>
  </si>
  <si>
    <t>سفته 500 میلیون تاریخ 1402/09/22 داده شد. شماره سفته : 369438</t>
  </si>
  <si>
    <t>شبا بانک 11001</t>
  </si>
  <si>
    <t>1401/09/27</t>
  </si>
  <si>
    <t>1401/09/23</t>
  </si>
  <si>
    <t xml:space="preserve"> سود آذر ماه به خانم زهرا عبداللهی فرزند اسدالله اضافه شد.</t>
  </si>
  <si>
    <t>زهراعبداللهی (اسدالله )</t>
  </si>
  <si>
    <t>مبلغ 7 میلیون  سه ساله تا تاریخ 1400/09/09 شد 35 میلیون - یکسال دیگه تمدید شد 56 میلیون</t>
  </si>
  <si>
    <t>مبلغ 100 میلیون از آقای احمد عبداللهی و خانم مرضیه عبداللهی انتقال یافت.</t>
  </si>
  <si>
    <t>مبلغ 77/810/000 تومان از سود آذر ماه به خانم زهرا عبداللهی فرزند اسدالله اضافه شد.</t>
  </si>
  <si>
    <t>مبلغ 50 میلیون از اصل پول تسویه شد.</t>
  </si>
  <si>
    <t>شبا بانک 2064</t>
  </si>
  <si>
    <t>واریز به حساب مهدی میرانی</t>
  </si>
  <si>
    <t>مبلغ 100 میلیون در تاریخ 1401/08/29 از حساب 4007 به حساب 2376 واریز شد.</t>
  </si>
  <si>
    <t>مبلغ 50 میلیون در تاریخ 1401/08/30 از حساب 4007 به حساب 4009 واریز شد.</t>
  </si>
  <si>
    <t>مبلغ 300 میلیون در تاریخ 1401/09/17 به حساب 4009 واریز کردند.</t>
  </si>
  <si>
    <t>مبلغ 55 میلیون در تاریخ 1401/09/21 به حساب 3430 واریز شد.</t>
  </si>
  <si>
    <t>مبلغ 10/000/000 تومان در تاریخ 1401/09/17 در ساعت 12:15 به کارت 1325 واریز کرند.</t>
  </si>
  <si>
    <t>مصطفی قربانی</t>
  </si>
  <si>
    <t>مبلغ 38 میلیون تاریخ 1401/08/25 از 2049 به  0216 واریز و مبلغ 10 میلیون تاریخ 1401/08/24 از 5115 به 0661 واریز کردند.</t>
  </si>
  <si>
    <t xml:space="preserve">جعفر تابانی </t>
  </si>
  <si>
    <t>1402/03/30</t>
  </si>
  <si>
    <t>سفته 375005</t>
  </si>
  <si>
    <t>یک سفته به مبلغ 142 میلیون که مبلغ 100 میلیون آن تمدید و الباقی 42 + 4 میلیون براشون واریز شد.</t>
  </si>
  <si>
    <t xml:space="preserve"> مبلغ  130 میلیون در تاریخ  1401/09/01  و  مبلغ 100 میلیون در تاریخ  1401/08/22 به 3430 تایید شد و مبلغ 60 میلیون در تا ریخ 1401/08/23 به حساب 3430 واریز شد </t>
  </si>
  <si>
    <t xml:space="preserve"> به علاوه مبلغ 10 میلیون سود آبان</t>
  </si>
  <si>
    <t>سود آبان به اصل مبلغ اضافه شد</t>
  </si>
  <si>
    <t>سید مهدی حسینی</t>
  </si>
  <si>
    <t xml:space="preserve">سفته 100 میلیونی به تاریخ 1402/09/26 داده شد - شماره سفته : 929861 - </t>
  </si>
  <si>
    <t>محمدرضا جلالی</t>
  </si>
  <si>
    <t>مبلغ 3/500/000 و مبلغ 10/000/000 تومان در تاریخ 1401/09/13 به کارت 1325 واریز شد.</t>
  </si>
  <si>
    <t xml:space="preserve"> سفته 160 میلیونی تحویل شد.</t>
  </si>
  <si>
    <t>مبلغ 1/500/000 تومان در تاریخ 1401/09/08 به کارت 4996 برگشت زدند.</t>
  </si>
  <si>
    <t>مبلغ 20 میلیون در تاریخ 1401/09/05 به حساب 3417 واریز شد و به تاریخ 1402/09/04 سفته داده شد شماره سفته : 737384</t>
  </si>
  <si>
    <t>مبلغ 27 میلیون در تاریخ 1401/09/05 به حساب 3417 واریز شد و به تاریخ 1402/09/04 سفته داده شد شماره سفته : 828566</t>
  </si>
  <si>
    <t>تسوع آبان ماه</t>
  </si>
  <si>
    <t>واریزی دی ماه</t>
  </si>
  <si>
    <t>واریزی آذر ماه</t>
  </si>
  <si>
    <t>مبلغ 650/000/000 تومان چک به تاریخ 1402/01/15 داده شد -  شماره چک : 424006</t>
  </si>
  <si>
    <t>1401/09/22</t>
  </si>
  <si>
    <t>مبلغ 10 میلیون در تاریخ 1401/08/20 به کارت 4996 واریز شد.</t>
  </si>
  <si>
    <t>مشارکت 7 میلیارد - 5 میلیارد 8 درصد و از 5 بیشتر 9 درصد.</t>
  </si>
  <si>
    <t>مبلغ 60 میلیون قرار شد واریز کنند - سفته 160 میلیون بابت 100 قبلی و 60 جدید داده شد - شماره سفته : 333711</t>
  </si>
  <si>
    <t>چک 457 - 160 + 200 چک + مشارکت 16 دی ماه 72/500 + 23 روز تا 16 دی ماه - واریزی بعدی 16 بهمن ماه مبلغ 104/500</t>
  </si>
  <si>
    <t>مبلغ 25 میلیون از اصل پول در یکم دی ماه  تسویه شد.</t>
  </si>
  <si>
    <t>سفته 62 میلیون به تاریخ 1402/10/30 و سفته 75 میلیون جدید به تاریخ 1402/10/12 داده شد.</t>
  </si>
  <si>
    <t>مبلغ 75 میلیون ماهیانه 5 درصد</t>
  </si>
  <si>
    <t>1402/10/30</t>
  </si>
  <si>
    <t>سفته 584958</t>
  </si>
  <si>
    <t>مبلغ 457 میلیون در تاریخ 1401/09/23 طی چک (200+160+72/500+24/500) اضافه شد.</t>
  </si>
  <si>
    <t>از دی ماه کسر شود.</t>
  </si>
  <si>
    <t>مبلغ 1/500 از سود به اصل مبلغ اضافه شد.</t>
  </si>
  <si>
    <t>5859-8311-5134-4263</t>
  </si>
  <si>
    <t>مبلغ 39/500 در تاریخ 1401/08/19 به حساب 3417 واریز شد.</t>
  </si>
  <si>
    <t xml:space="preserve"> </t>
  </si>
  <si>
    <t>مبلغ 50 میلیون در تاریخ 1401/09/27 از 3203 به 2005 واریز شد. شماره سفته : 222593</t>
  </si>
  <si>
    <t>سفته 156/000/000 تومان به تاریخ 1402/09/25 داده شد - شماره سفته : 252262</t>
  </si>
  <si>
    <t>مبلغ 20 میلیون در تاریخ 1401/09/24 و مبلغ 30 میلیون در تاریخ 1401/09/24  به حساب 2005 صادرات واریز شد - شماره سفته : 222594</t>
  </si>
  <si>
    <t>واریز به کارت 7612</t>
  </si>
  <si>
    <t>سود یکماه کامل + 22 روز از دوم تا بیست وچهارم محاسبه شد - 2/350+1/725</t>
  </si>
  <si>
    <t>واریزی هر ماه شد 24 ام</t>
  </si>
  <si>
    <t>واریز به کارت 3168</t>
  </si>
  <si>
    <t>فیش واریزی داخل روبیکا آقای عبداللهی ارسال کردند.</t>
  </si>
  <si>
    <t>واریز به کارت 0973</t>
  </si>
  <si>
    <t>شبا بانک 0601</t>
  </si>
  <si>
    <t>شبا بانک 600</t>
  </si>
  <si>
    <t>1401/09/28</t>
  </si>
  <si>
    <t>افزایش سرمایه مبلغ 200 میلیون  و دوتا مبلغ 50 میلیون در تاریخ 1401/03/07 به حساب 3430</t>
  </si>
  <si>
    <t>افزایش سرمایه در تاریخ 1401/04/10 به حساب 0216</t>
  </si>
  <si>
    <t>افزایش سرمایه در تاریخ 1401/05/05 به حساب 3430</t>
  </si>
  <si>
    <t>افزایش سرمایه در تاریخ 1401/06/01 به حساب 3430</t>
  </si>
  <si>
    <t>افزایش سرمایه در تاریخ 1401/06/02 به حساب 3430</t>
  </si>
  <si>
    <t>افزایش سرمایه در تاریخ 1401/06/03 به حساب 3430</t>
  </si>
  <si>
    <t>الباقی سود تیر</t>
  </si>
  <si>
    <t>افزایش سرمایه در تاریخ 1401/07/12 به حساب 3430</t>
  </si>
  <si>
    <t>افزایش سرمایه در تاریخ 1401/07/04 به حساب 3430</t>
  </si>
  <si>
    <t>افزایش سرمایه تاریخ 1401/03/22 به حساب 0216 ( مبلغ 130 میلیون واریز شد که 100 سالانه معظم یگانه + 30 ماهانه)</t>
  </si>
  <si>
    <t>از اول بهمن ماه این سود 7 درصد میشود.</t>
  </si>
  <si>
    <t>مبلغ 60 میلیون در تاریخ 1401/09/05 به حساب 4001 یا 8318 واریز شد.</t>
  </si>
  <si>
    <t>مبلغ 10 میلیون در تاریخ 1401/08/19 به کارت 4996 واریز شد.</t>
  </si>
  <si>
    <t>مبلغ 19/500/000 تومان در تاریخ 1401/09/19 به حساب 2005 واریز شد + مبلغ 500 تومان سود 19 ام به اصل اضافه شد.</t>
  </si>
  <si>
    <t>ناصر حسینی احمدی</t>
  </si>
  <si>
    <t>مبلغ 200 میلیون در تاریخ 1401/09/28 به حساب 0216 واریز شد. سقته به تاریخ 1402/09/28 تحویل شد - شماره سفته :375004</t>
  </si>
  <si>
    <t>مبلغ دو میلیون تومان واریز شود میشود 998 با ده سفته عطیه اصل یک میلیارد مشارکت 61400</t>
  </si>
  <si>
    <t>سفته 130 میلیون به تاریخ 1402/02/15 داده شد - شماره سفته : 252758</t>
  </si>
  <si>
    <t>سفته 130 میلیون به تاریخ 1402/02/15 داده شد - شماره سفته : 333716</t>
  </si>
  <si>
    <t>واریزی 15 دی ماه 3/900 بابت 130 جدید و 9 تومان بابت قبلی جمعا 12/900</t>
  </si>
  <si>
    <t>بتول پیروزی</t>
  </si>
  <si>
    <t>فاطمه طباطبایی</t>
  </si>
  <si>
    <t>واریز به کارت سپه آقای عبداللهی و ایشون تایید دادن - تاریخ : 27 و 28 و29 آذر</t>
  </si>
  <si>
    <t>واریز به کارت سپه آقای عبداللهی و ایشون تایید دادن - تاریخ : 29 آذر</t>
  </si>
  <si>
    <t>شبا بانک 9354</t>
  </si>
  <si>
    <t>تسویه سود آذر ماه</t>
  </si>
  <si>
    <t>6037-6976-3947-8533</t>
  </si>
  <si>
    <t>مبلغ 4/700/000 تومان را در تاریخ برگشت زدند.</t>
  </si>
  <si>
    <t>اشتباهی واریز شده است.</t>
  </si>
  <si>
    <t>مهشید حسین زاده</t>
  </si>
  <si>
    <t>چک 110 میلیون به تاریخ 1401/10/01 بانک سپه به ما داده شد - سفته 100 میلیون و 10 میلیون تحویلشون شد - شماره سفته : 316579-627433</t>
  </si>
  <si>
    <t>سفته به مبلغ 100 میلیون به تاریخ 1402/09/30 داده شد - شماره سفته : 316587</t>
  </si>
  <si>
    <t>مبلغ 55 میلیون در تاریخ 1401/09/30 از حساب 3337 به 0216 و مبلغ 25 میلیون در تاریخ 1401/09/29 از حساب 3337 به 0216 واریز کردند.</t>
  </si>
  <si>
    <t>مبلغ 20 میلیون در تاریخ 1401/09/30 واریز شد - سفته به مبلغ 20 میلیون تحویل شد - شماره سفته : 012649</t>
  </si>
  <si>
    <t>مبلغ 30 میلیون در تاریخ 1401/09/30 واریز شد - سفته به مبلغ 30 میلیون تحویل شد - شماره سفته : 210678</t>
  </si>
  <si>
    <t>حسین عباسپور</t>
  </si>
  <si>
    <t>6037-9973-9524-1335</t>
  </si>
  <si>
    <t>قرضی داده شد.</t>
  </si>
  <si>
    <t>تسویه اردیبهشت</t>
  </si>
  <si>
    <t>تسویه خرداد و تیر</t>
  </si>
  <si>
    <t>تسویه شهریور</t>
  </si>
  <si>
    <t>شبا بانک 7147</t>
  </si>
  <si>
    <t>اعظم کهنسال</t>
  </si>
  <si>
    <t>6277-6012-5734-3002</t>
  </si>
  <si>
    <t>مبلغ 10 میلیون از دی ماه کسر شود.</t>
  </si>
  <si>
    <t>سفته به مبلغ 20 میلیون تومان به تاریخ 1402/10/10 داده شد - شماره سفته : 012648</t>
  </si>
  <si>
    <t>مبلغ 20 میلیون قرار شد به کارت صادرات آقای عبداللهی واریز شود.</t>
  </si>
  <si>
    <t>سفته به مبلغ 380 میلیون به تاریخ 1401/07/02 داده شد - شماره سفته : 320966 - سفته های قبلی همگی باطل شدند.</t>
  </si>
  <si>
    <t>جمع تا اول دی ماه :</t>
  </si>
  <si>
    <t>جمع تا اول آذر ماه :</t>
  </si>
  <si>
    <t>1401/10/01</t>
  </si>
  <si>
    <t>تسویه آذرماه</t>
  </si>
  <si>
    <t>مبلغ 25 میلیون از اصل پول در یکم دی ماه  تسویه شد - سفته 62 میلیون به تاریخ 1402/10/30 و سفته 75 میلیون جدید به تاریخ 1402/10/12 داده شد.</t>
  </si>
  <si>
    <t>مبلغ 75 میلیون ماهیانه از دی ماه 5 درصد میشود.</t>
  </si>
  <si>
    <t>سود 13 روز برای 300 میلیون تا اول دی ماه محاسبه شد 9/100/000 تومان</t>
  </si>
  <si>
    <t>1401/10/07</t>
  </si>
  <si>
    <t>مبلغ 150 میلیون در تاریخ 1401/10/03 به حساب 4009 واریز شد.</t>
  </si>
  <si>
    <t>1401/10/08</t>
  </si>
  <si>
    <t>سود 19/600/000 تومان یکم دی ماه به اصل مبلغ اضافه شد.</t>
  </si>
  <si>
    <t>مبلغ 25 میلیون شهریور ماه واریز شده که 17/500 سود مهر رو برداشتند و مابقی رو برگشت میزنند.</t>
  </si>
  <si>
    <t>مبلغ 13/000/000 میلیون رستوران کارت کشیدند -تاریخ اعلام نکردن - مبلغ 7 تومن با تاییدیه اقای عبداللهی اضافه و اصل پول 100 تومان شد.</t>
  </si>
  <si>
    <t>6063-7310-2403-0745</t>
  </si>
  <si>
    <t>شبا بانک 0066</t>
  </si>
  <si>
    <t>تصمیم گرفتند راسی بشه</t>
  </si>
  <si>
    <t>چک 80 میلیون بانک صادرات به تاریخ 1401/10/05 بابت ماشرکت دی ماه در 10 دی پاس شد.</t>
  </si>
  <si>
    <t>مبلغ 10 میلیون از مشارکت دی ماه در آذر ماه پرداهت شد</t>
  </si>
  <si>
    <t>واریزی از مشارکت دی ماه - به کارت مجتبی خدادوست</t>
  </si>
  <si>
    <t>سفته 144 میلیون قبلی به شماره 149806 به تاریخ 1402/09/01 + سفته 16 میلیون جدید به شماره 012650 به تاریخ 1402/10/01 داده شد.</t>
  </si>
  <si>
    <t>1401/10/02</t>
  </si>
  <si>
    <t>واریز به کارت 2545</t>
  </si>
  <si>
    <t>زهرا غلامی (دختر اسد)</t>
  </si>
  <si>
    <t>علی پیکری</t>
  </si>
  <si>
    <t>فاطمه رازی</t>
  </si>
  <si>
    <t>سفته به مبلغ 11 میلیون به تاریخ 1402/10/10 داده شد - شماره سفته : 627424 - مبلغ قرارشد توسط عباس غلامی تا دهم واریز گردد.</t>
  </si>
  <si>
    <t>سفته به مبلغ 60 میلیون به تاریخ 1402/10/08 داده شد - شماره سفته : 316580</t>
  </si>
  <si>
    <t>عباسی مقدم</t>
  </si>
  <si>
    <t>بابت چک</t>
  </si>
  <si>
    <t>1401/10/11</t>
  </si>
  <si>
    <t>اطلاعات جدید آقای جوینی دی ماه</t>
  </si>
  <si>
    <t>کسر بابت دوماه یاسر حسینی + 7 ماه رضا خاکسار + 8 روز مبلغ جدید خاکسار</t>
  </si>
  <si>
    <t>زهرا رستمی</t>
  </si>
  <si>
    <t>کارت اعتباری وام دادن به آقای عبداللهی</t>
  </si>
  <si>
    <t>کارت اعتباری وام دادن به آقای عبداللهی - سفته به مبلغ 50 میلیون در تاریخ 1402/09/29 داده شد - شماره سفته : 584951</t>
  </si>
  <si>
    <t>ارفاق</t>
  </si>
  <si>
    <t xml:space="preserve">جمع واریزی های آذر ماه </t>
  </si>
  <si>
    <t>جمع کل تا پایان آذر ماه</t>
  </si>
  <si>
    <t>جمع واریزی های دی ماه</t>
  </si>
  <si>
    <t>درصد سود</t>
  </si>
  <si>
    <t>سود یکماه کامل</t>
  </si>
  <si>
    <t>تعداد روز سرمایه گذاری</t>
  </si>
  <si>
    <t>سود بر حسب تعداد روز سرمایه گذاری</t>
  </si>
  <si>
    <t>واریزی های خانم زهره رحمانی (0.60 درصد)</t>
  </si>
  <si>
    <t>ماه قبل</t>
  </si>
  <si>
    <t>جمع کل تا سی آذر ماه</t>
  </si>
  <si>
    <t>سود تا سی آذر ماه</t>
  </si>
  <si>
    <t>جمع کل تا سی دی ماه</t>
  </si>
  <si>
    <t>سود تا سی دی ماه</t>
  </si>
  <si>
    <t>جمع اصل مبلغ + سود تا سی دی ماه</t>
  </si>
  <si>
    <t>جمع اصل مبلغ + سود تا سی آذر ماه</t>
  </si>
  <si>
    <t>جمع واریزی های آبان ماه</t>
  </si>
  <si>
    <t>جمع کل تا پایان آبان ماه</t>
  </si>
  <si>
    <t>جمع واریزی های آذر ماه</t>
  </si>
  <si>
    <t>سود آذر ماه</t>
  </si>
  <si>
    <t>جمع کل تا اول شهریور</t>
  </si>
  <si>
    <t>جمع کل تا اول مهر</t>
  </si>
  <si>
    <t>جمع کل تا اول آبان</t>
  </si>
  <si>
    <t>جمع کل تا اول آذر</t>
  </si>
  <si>
    <t>جمع کل تا اول دی</t>
  </si>
  <si>
    <t>1401/10/03</t>
  </si>
  <si>
    <t>حسن آذربویه</t>
  </si>
  <si>
    <t>مبلغ 450 میلیون چک به تاریخ 1402/04/03 داده شد. شماره جک : 140005/645065</t>
  </si>
  <si>
    <t>ریحانه کریمی</t>
  </si>
  <si>
    <t>واریز به کارت 1770</t>
  </si>
  <si>
    <t>سوم دی پرداخت شد.</t>
  </si>
  <si>
    <t>مبلغ 26 میلیون بابت مشارکت دی ماه به ما بدهکار هستند.</t>
  </si>
  <si>
    <t>مبلغ 90 میلیون در تاریخ 1401/10/03 ساعت 12:08 از حساب 6009 به حساب ملت واریز شد.</t>
  </si>
  <si>
    <t>مبلغ 160 میلیون در تاریخ 1401/10/03 از حساب 4049 به حساب 3430 واریز شد - سفته داده شد - شماره سفته : 333717</t>
  </si>
  <si>
    <t>غلامعلی کامگار پور</t>
  </si>
  <si>
    <t>1407/10/04</t>
  </si>
  <si>
    <t>سفته 316581</t>
  </si>
  <si>
    <t>مبلغ 21 ملیون مانده واریزی</t>
  </si>
  <si>
    <t>مریم خرازی پور</t>
  </si>
  <si>
    <t>سفته به مبلغ 8 میلیون به تاریخ 1402/10/04 داده شد - شماره سفته : 627422</t>
  </si>
  <si>
    <t>مبلغ 8 میلیون در تاریخ 1401/10/03 از کارت 5353 به 1325 واریز شد.</t>
  </si>
  <si>
    <t>مبلغ 60 میلیون قرار شد واریز کنند.</t>
  </si>
  <si>
    <t>چک به مبلغ 260 میلیون به تاریخ 1401/12/02 داده شد - شماره چک : 067564</t>
  </si>
  <si>
    <t>5859-8311-3761-0514</t>
  </si>
  <si>
    <t>6104-3389-0746-8769</t>
  </si>
  <si>
    <t>شبابانک 8001</t>
  </si>
  <si>
    <t>امیر محمد گلچین</t>
  </si>
  <si>
    <t>شبا بانک 6630</t>
  </si>
  <si>
    <t>فاطمه بهلوری</t>
  </si>
  <si>
    <t>شبا بانک 5005</t>
  </si>
  <si>
    <t>6037-9971-9766-4981</t>
  </si>
  <si>
    <t>الباقی چک 152 میلیون داده شد که پاس شد.</t>
  </si>
  <si>
    <t>تسویه آذر ماه - مبلغ 25 آذر ماه</t>
  </si>
  <si>
    <t>احمد حسینی پور ( طیبه فضی )</t>
  </si>
  <si>
    <t>سفته 130 میلیون تسویه شد.</t>
  </si>
  <si>
    <t>سفته به مبلغ 100 میلیون به تاریخ 1401/10/04 و سفته به مبلغ 30 میلیون به تاریخ 1401/10/04 تحویل و باطل شدند.</t>
  </si>
  <si>
    <t>سفته 210680</t>
  </si>
  <si>
    <t>اصلاح شد.</t>
  </si>
  <si>
    <t>1402/10/04</t>
  </si>
  <si>
    <t>مبلغ 2 میلیون در تاریخ 1401/10/04 از 2054 به 1325 و مبلغ 8 میلیون در تاریخ1401/10/04 از 8040 به 1325 واریز شد.</t>
  </si>
  <si>
    <t>تسویه آذرماه - چک 900 میلیون آقای عبداللهی ثبت کردند.</t>
  </si>
  <si>
    <t>1401/10/05</t>
  </si>
  <si>
    <t>واریز به کارت سپه آقای عبداللهی و ایشون تایید دادن - تاریخ : 27 و 28 و29 آذر - سفته 30 میلیونی به تاریخ 1402/09/26 تحویل شد - شماره سفته : 592065</t>
  </si>
  <si>
    <t>شبا بانک 2615</t>
  </si>
  <si>
    <t>واریز به کارت سپه آقای عبداللهی و ایشون تایید دادن - تاریخ : 29 آذر - سفته 10 میلیونی به تاریخ 1402/09/26 تحویل شد - شماره سفته : 627434</t>
  </si>
  <si>
    <t>مبلغ 20 میلیون تومان بابت چک و 7 میلیون بابت ماشرکت ماهانه جمعا 27 واریز شود.</t>
  </si>
  <si>
    <t>بابت مازاد 2 میلیارد و صد</t>
  </si>
  <si>
    <t>سعید ناروئی</t>
  </si>
  <si>
    <t>سفته به مبلغ 250 میلیون تومان به تاریخ 1401/10/06 داده شد - شماره سفته : 320969</t>
  </si>
  <si>
    <t>تاریخ چکشون 1402/10/27 شد.</t>
  </si>
  <si>
    <t>زهرا سادات حسینی</t>
  </si>
  <si>
    <t>سفته 333718</t>
  </si>
  <si>
    <t>1402/05/10</t>
  </si>
  <si>
    <t>اطلاعات تا پنجم دی آذر</t>
  </si>
  <si>
    <t>1402/10/05</t>
  </si>
  <si>
    <t>سفته 50 میلیون اصل پول 609332</t>
  </si>
  <si>
    <t>سفته باطل شد.</t>
  </si>
  <si>
    <t>سفته به شماره 609332 باطل شد.</t>
  </si>
  <si>
    <t>سفته راسی 85 میلیون + سود 28 میلیون تسویه شد.</t>
  </si>
  <si>
    <t>اصل پول + سود در دی ماه پرداخت شد.</t>
  </si>
  <si>
    <t>چک 90 میلیون تومان به تاریخ 1401/10/30 بانک سپه بابت مشارت دی ماه داده شد.</t>
  </si>
  <si>
    <t>علی اکبر قدم دخت شادیشه</t>
  </si>
  <si>
    <t>1404/10/07</t>
  </si>
  <si>
    <t>چک بانک ملی 424016</t>
  </si>
  <si>
    <t>سفته به مبلغ 100 میلیون به تاریخ 1402/10/07 داده شد - شماره سفته : 929866</t>
  </si>
  <si>
    <t>بابت مشارکت بهمن و اسفند ماه دو تا چک 164 میلیونی پست بانک  به تاریخ دهم هرماه داده شد.</t>
  </si>
  <si>
    <t>چک 90 میلیون تومان به تاریخ 1401/11/30 پست بانک بابت مشارت بهمن ماه داده شد.</t>
  </si>
  <si>
    <t>از دی ماه مشارکتشون راسی شد.</t>
  </si>
  <si>
    <t>5892-1012-3716-3536</t>
  </si>
  <si>
    <t>شبا بانک 2522</t>
  </si>
  <si>
    <t>اصل مبلغ تسویه کامل شد.</t>
  </si>
  <si>
    <t>محمد عبداللهی ( گل )</t>
  </si>
  <si>
    <t>6037-6916-7111-1169</t>
  </si>
  <si>
    <t>مهدی دانایی زاده</t>
  </si>
  <si>
    <t>فریبا دانایی زاده</t>
  </si>
  <si>
    <t>6037-7016-1414-6204</t>
  </si>
  <si>
    <t>6277-6013-2874-8031</t>
  </si>
  <si>
    <t>شبا بانک 3963</t>
  </si>
  <si>
    <t>حامد حسنی</t>
  </si>
  <si>
    <t>واریز به کارت 3697</t>
  </si>
  <si>
    <t>شبا ابنک 6269</t>
  </si>
  <si>
    <t>مبلغ 5 میلیون از سود دی ماه به اصل مبلغ اضافه شد.</t>
  </si>
  <si>
    <t>واریز به کارت 7451</t>
  </si>
  <si>
    <t>واریز به حساب جلال دل آرام</t>
  </si>
  <si>
    <t>در تاریخ 1401/09/20 سرمایه گذاری شد.</t>
  </si>
  <si>
    <t>واریز به کارت 9545</t>
  </si>
  <si>
    <t>الباقی سود مشارکت دی ماه به اصل مبلغ اضافه شد.</t>
  </si>
  <si>
    <t>چک به مبلغ 100 میلیون به تاریخ 1402/09/27 داده شد - شماره چک : 419317</t>
  </si>
  <si>
    <t>شبا بانک 6389</t>
  </si>
  <si>
    <t>تسویه اصل پول + سود مشارکت چهارماه مهر - آبان - آذر و دی</t>
  </si>
  <si>
    <t>خانم صلاحی پور</t>
  </si>
  <si>
    <t>الباقی سود دی مله به اصل مبلغ اضافه شد.</t>
  </si>
  <si>
    <t>تسویه بهمن ماه</t>
  </si>
  <si>
    <t>واریز به حساب 2176</t>
  </si>
  <si>
    <t>تا تاریخ 1402/10/09 تمدید شد - شماره سفته : 222595</t>
  </si>
  <si>
    <t>1404/07/02</t>
  </si>
  <si>
    <t>سفته 996156</t>
  </si>
  <si>
    <t xml:space="preserve">محمدرضا آراسته </t>
  </si>
  <si>
    <t>سفته 369431</t>
  </si>
  <si>
    <t>1405/01/03</t>
  </si>
  <si>
    <t>قرار شد از فروردین 1402 راسی شود . مبلغ 35 میلیون1401/10/07 به 8318 واریز شد.</t>
  </si>
  <si>
    <t>مبلغ 35 میلیون1401/10/07 به 8318 واریز شد.</t>
  </si>
  <si>
    <t>قرار شد لز بهمن ماه تا فروردین 1402 سود ماهیانه دریافت نکنند تا جمع پولشون بشه صد میلیون و صد میلیون رو راسی سه ساله گذاشتند.</t>
  </si>
  <si>
    <t>علی اصغر شادکی</t>
  </si>
  <si>
    <t>چک به مبلغ 250 میلیون به تاریخ 1402/10/08 به ما دادند و چک ضمانت بابت اص پولشون به تاریخ 1402/10/08 از ما گرفتند.</t>
  </si>
  <si>
    <t>چهارده ماه</t>
  </si>
  <si>
    <t>به ماهیانه اضافه شد.</t>
  </si>
  <si>
    <t>آقای غلامرضا یگانه -کل ضمانت ها 1/036/000/000 میلیون تومان + 2 میلیارد تومان است.</t>
  </si>
  <si>
    <t>شبا بانک 9785</t>
  </si>
  <si>
    <t>شبا بانک 8867</t>
  </si>
  <si>
    <t>6362-1411-0805-0288</t>
  </si>
  <si>
    <t>مبلغ 90 میلیون شنبه دهم دی ماه واریز میکنند - اصل میشود 270 میلیون ماهیانه 13/500</t>
  </si>
  <si>
    <t>سفته به مبلغ 270 میلیون به تاریخ 1402/11/10 داده شد. شماره سفته : 369433</t>
  </si>
  <si>
    <t>مادر حسین ساعی 40 میلیون تومان واریز میکنند</t>
  </si>
  <si>
    <t>مبلغ 7 واریزی نقدی - 21 دلار - 65 یکم دی ماه - 65 یکم بهمن ماه - 32/500 بیستم - 335 واریز به کشاورزی + سود 5% یکماه</t>
  </si>
  <si>
    <t xml:space="preserve">مبلغ 500 میلیون چک به تاریخ 1402/04/12 داده شد - عکس چک موجود نیست فقط تاییدیه چک </t>
  </si>
  <si>
    <t>مبلغ 6 میلیون در تاریخ 1401/09/12 از حساب 1492 به 4996 واریز شد.</t>
  </si>
  <si>
    <t>سود به اصل مبلغ اضافه شد + 13 میلیون نقدی دادن</t>
  </si>
  <si>
    <t>مرتضی میرمحرابی</t>
  </si>
  <si>
    <t>مبلغ 125 میلیون در تاریخ 1401/09/12 در ساعت 8:56 واریز شده است.</t>
  </si>
  <si>
    <t>سفته به مبلغ 125 میلیون به تاریخ 1402/09/12 داده شد - شماره سفته : 333713</t>
  </si>
  <si>
    <t>سفته به مبلغ 43 میلیون به تاریخ 1402/10/06 داده شد - شماره سفته : 222598</t>
  </si>
  <si>
    <t>سفته به مبلغ 150 میلیون به تاریخ 1402/10/10 داده شد - شماره سفته : 333719</t>
  </si>
  <si>
    <t>سفته 18 میلیون سرمایه جدید رو دریافت کردند.</t>
  </si>
  <si>
    <t>معصومه کفایی</t>
  </si>
  <si>
    <t>سفته به مبلغ 40 میلیون به تاریخ 1402/04/12 داده شد - شماره سفته : 222597</t>
  </si>
  <si>
    <t>واریز به کارت 8802</t>
  </si>
  <si>
    <t>شبا بانک 7503</t>
  </si>
  <si>
    <t>6037-6975-1505-4028</t>
  </si>
  <si>
    <t>5892-1013-6602-8773</t>
  </si>
  <si>
    <t>شیرینی خانم طاهره کامکاری</t>
  </si>
  <si>
    <t>شبا بانک 2412</t>
  </si>
  <si>
    <t>شبا بانک 6935</t>
  </si>
  <si>
    <t>مبلغ 200 میلیون اضافه شد - مبلغ از مشارکت 25 دی ماه محاسبه شود.</t>
  </si>
  <si>
    <t>بابت محمد احمدی</t>
  </si>
  <si>
    <t>سفته به مبلغ 200 میلیون به تاریخ 1402/10/25 داده شد - شماره سفته : 375001</t>
  </si>
  <si>
    <t>تاریخ 25 دی ماه 176/990/000 - تاریخ 25 بهمن ماه 185/990/000</t>
  </si>
  <si>
    <t>مبلغ 71 میلیون تاریخ 1401/10/11 به حساب 4425 و مبلغ 214/000/000 تومان در تاریخ 1401/10/11 به حساب 4996 واریز شد - سفته 300 میلیونی : 369437</t>
  </si>
  <si>
    <t>قرار شد 15 میلیون سود بهمن دریافت نکنن و به اصل مبلغ اضافه بشه تا اصل مبلغ بشه 300 میلیون</t>
  </si>
  <si>
    <t>مهدی وظیفه شناس</t>
  </si>
  <si>
    <t>قرار شده به حساب واریز کنند.</t>
  </si>
  <si>
    <t>چک به مبلغ 300 میلیون به تاریخ 1402/10/11 بانک ملی داده شد - قرار شده به حساب واریز کنند.</t>
  </si>
  <si>
    <t>کبری مختاری</t>
  </si>
  <si>
    <t>سفته 222599</t>
  </si>
  <si>
    <t>1403/10/10</t>
  </si>
  <si>
    <t>سفته به مبلغ 400 میلیون به تاریخ 1402/10/12 داده شد - شماره سفته : 415714</t>
  </si>
  <si>
    <t>مبلغ 6 میلیون و 4 میلیون و 10 میلیون طی سه واریزی در تاریخ 1401/09/12 به 1325 واریز شد.</t>
  </si>
  <si>
    <t>شبا بانک 6160</t>
  </si>
  <si>
    <t>6104-3373-2844-6214</t>
  </si>
  <si>
    <t>6104-3389-4424-7721</t>
  </si>
  <si>
    <t>حساب 03</t>
  </si>
  <si>
    <t>الباقی سود به اصل مبلغ اضافه شد.</t>
  </si>
  <si>
    <t>اطلاعات جدید آقای جوینی برای بهمن ماه</t>
  </si>
  <si>
    <t>باقیمانده دی ماه</t>
  </si>
  <si>
    <t>مبلغ باقیمانده سود دی ماه به مبلغ 70 میلیون به اصل مبلغ اضافه شد.</t>
  </si>
  <si>
    <t>مبلغ باقیمانده سود آبان ماه به مبلغ 70 میلیون به اصل مبلغ اضافه شد.</t>
  </si>
  <si>
    <t xml:space="preserve">جمیع مبالغ </t>
  </si>
  <si>
    <t>علی اکبر حسینی</t>
  </si>
  <si>
    <t>سفته به مبلغ 100 میلیون به تاریخ 1402/10/12 داده شد - شماره سفته : 316582</t>
  </si>
  <si>
    <t>خدا مراد قندی مطلق</t>
  </si>
  <si>
    <t>سفته به مبلغ 40 میلیون به تاریخ 1402/10/11 داده شد - شماره سفته : 210684</t>
  </si>
  <si>
    <t>آقای عبداللهی نوشتن مبلغ 40 میلیون به حساب صادرات من واریز شده و تایید میباشد.</t>
  </si>
  <si>
    <t>مبلغ 2 میلیون تاریخ 1401/10/11 و مبلغ 36 میلیون در تاریخ 1401/10/11 به صادرات واریز شد.</t>
  </si>
  <si>
    <t>مریم علیزاده</t>
  </si>
  <si>
    <t>مبلغ 40 میلیون در تاریخ 1401/10/11 در سینما پیتزا کارت کشیده شد.</t>
  </si>
  <si>
    <t>سفته به مبلغ 40 میلیون به تاریخ 1402/10/12 داده شد - شماره سفته : 210691</t>
  </si>
  <si>
    <t>آقای عبداللهی نوشتن 5/550+400 = 5950 /  با ارفاق 6 میلیون - 450 بابت خانم علیزاده اضافه شد.</t>
  </si>
  <si>
    <t>خودشون اعلام کردند</t>
  </si>
  <si>
    <t>چک به مبلغ 215 میلیون به تاریخ 1402/04/12 داده شد.</t>
  </si>
  <si>
    <t>مبلغ 30 میلیون در تاریخ 1401/10/11 از شبا 6606 به شبا 3430 واریز شد.</t>
  </si>
  <si>
    <t>سفته به مبلغ 30 میلیون به تاریخ 1402/10/11 داده شد - شماره سفته 210685</t>
  </si>
  <si>
    <t>حلمد حسنی</t>
  </si>
  <si>
    <t>سفته به مبلغ 120 میلیون به تاریخ 1402/10/12 داده شد - شماره سفته : 252760</t>
  </si>
  <si>
    <t>از سود دهم دی ماه مبلغ 50 میلیون به راسی 18 اردیبهشت 1402 اضافه شد الباقی واریز گردد.</t>
  </si>
  <si>
    <t>امیرحسین مردان دوست</t>
  </si>
  <si>
    <t>شبا بانک 7171</t>
  </si>
  <si>
    <t>شبا بانک 2921</t>
  </si>
  <si>
    <t>عذرا بیگم طباطبایی ( جعفر رضائیان یزدی )</t>
  </si>
  <si>
    <t>سفته به مبلغ 25 میلیون به تاریخ 1402/10/12 داده شد - شماره سفته : 210686</t>
  </si>
  <si>
    <t>حسین پورخواجه</t>
  </si>
  <si>
    <t>یکسال + ده روز</t>
  </si>
  <si>
    <t>1402/10/25</t>
  </si>
  <si>
    <t>سفته 316585</t>
  </si>
  <si>
    <t>6037-9975-6361-3174</t>
  </si>
  <si>
    <t>6037-7011-5883-5386</t>
  </si>
  <si>
    <t>علی امیری نسب</t>
  </si>
  <si>
    <t>حسن نریمانی تقی آباد</t>
  </si>
  <si>
    <t>واریز به کارت 7505</t>
  </si>
  <si>
    <t>شبا بانک 0870</t>
  </si>
  <si>
    <t>اصل پول + سود تسویه شد.</t>
  </si>
  <si>
    <t>چک به مبلغ 400 میلیون به تاریخ 1402/10/13 داده شد.</t>
  </si>
  <si>
    <t>مبلغ 300 میلیون طی چک 200 و 100 ( در اصل 80 ) میلیونی علی عزیز عربی بانک کشاورزی جمعا 300 به قبلی اضافه شد.</t>
  </si>
  <si>
    <t>مبلغ 2 میلیلرد + 500 میلیون + 500 میلیون چک داده شد - ( مبلغ 2/100 پدر + 450 پسر )</t>
  </si>
  <si>
    <t xml:space="preserve"> از پول پدر 400 میلیون بیشتر چک داده شد که قرار شد از یکم بهمن تا یکم اردیبهشت به مدت چهارماه مبلغ 100 میلیون از سود پول کسر و به اصل مبلغ اضافه گردد.</t>
  </si>
  <si>
    <t>اصل مبلغ 500 میلیون را میخواستن که ما با کسر سود از 5 درصد به 2 درصد برای دو ماه آبان و آذر به مبلغ 30 + سود 500 میلیون 2 درصد برای دی - بهمن - اسفند</t>
  </si>
  <si>
    <t>جمعا به مبلغ 500 میلیون طی چک پست بانک به تاریخ 1401/12/18 تحویل خانم رضایی شد.</t>
  </si>
  <si>
    <t>سود 500 میلیون 2 درصد برای سه ماه دی - بهمن و اسفند روی اصل  مبلغ چک کشیده شد.</t>
  </si>
  <si>
    <t>1401/10/13</t>
  </si>
  <si>
    <t>شبا ابنک 6901</t>
  </si>
  <si>
    <t>6104-3389-5145-7015</t>
  </si>
  <si>
    <t>واریز به کارت علی اصغر محمد پور نادی</t>
  </si>
  <si>
    <t>6104-3375-6485-2307</t>
  </si>
  <si>
    <t>رجب افشار</t>
  </si>
  <si>
    <t>سفته به مبلغ 71 میلیون به تاریخ 1402/04/12 داده شد - شماره سفته : 929875</t>
  </si>
  <si>
    <t>اصل تا 15 آذر شده 126/200/000 تومان</t>
  </si>
  <si>
    <t>مشارکت ماهیانه : 6/310/000 تومان</t>
  </si>
  <si>
    <t>مبلغ 2/210/000/000 ضمانت داده شد - چک بانک ملی به تاریخ 1402/11/01</t>
  </si>
  <si>
    <t>سفته به مبلغ 200 میلیون به تاریخ 1402/10/15 داده شد - شماره سفته : 375003</t>
  </si>
  <si>
    <t>1401/10/14</t>
  </si>
  <si>
    <t>سفته به مبلغ 125 میلیون به تاریخ 1402/09/12 داده شد - شماره سفته : 333713 - مبلغ 125 میلیون در تاریخ 1401/09/12 در ساعت 8:56 واریز شده است.</t>
  </si>
  <si>
    <t>واریز به کارت 5889</t>
  </si>
  <si>
    <t>از 27 آذر تا 13 دی محاسبه شد - از این به بعد 13 هر ماه واریزی</t>
  </si>
  <si>
    <t>مبلغ 250 میلیون در تاریخ 1401/08/14 به حساب 3417 واریز شد - اشتباها سفته ایشون با برادرشون جا به جا نوشته شد - سفته 200 میلیون تحویل شد.</t>
  </si>
  <si>
    <t>صادرات 4996</t>
  </si>
  <si>
    <t>کشاورزی 0661</t>
  </si>
  <si>
    <t>از 1401/01/18 تا 1401/02/20</t>
  </si>
  <si>
    <t>شبا بانک 4862</t>
  </si>
  <si>
    <t>شبا بانک 3943</t>
  </si>
  <si>
    <t>مبلغ 850 میلیون برای دی ماه کامل حساب شد و مبلغ 150 میلیون برای ده روز</t>
  </si>
  <si>
    <t>شبا بانک 8482</t>
  </si>
  <si>
    <t>صادرت 4996</t>
  </si>
  <si>
    <t>از 1401/02/21 تا 1401/03/20</t>
  </si>
  <si>
    <t>از 1401/03/21 تا 1401/04/20</t>
  </si>
  <si>
    <t>از 1401/04/21 تا 1401/05/20</t>
  </si>
  <si>
    <t>1401/05/3</t>
  </si>
  <si>
    <t>از 1401/05/21 تا 1401/06/20</t>
  </si>
  <si>
    <t>از 1401/06/21 تا 1401/07/20</t>
  </si>
  <si>
    <t>از 1401/07/21 تا 1401/08/20</t>
  </si>
  <si>
    <t>از 1401/08/21 تا 1401/09/20</t>
  </si>
  <si>
    <t>از 1401/09/21 تا 1401/10/20</t>
  </si>
  <si>
    <t>جمع واریزی های قبل + جدید</t>
  </si>
  <si>
    <t>جمع واریزی های جدید</t>
  </si>
  <si>
    <t>سود 6 درصد</t>
  </si>
  <si>
    <t>سود 6 درصد + جمع واریزی ها</t>
  </si>
  <si>
    <t>ملی 1401</t>
  </si>
  <si>
    <t>سود قبل</t>
  </si>
  <si>
    <t>سود واریزی ها جدید</t>
  </si>
  <si>
    <t>سود واریزی های جدید + جمع قبلی</t>
  </si>
  <si>
    <t>جمع کل ( اصل + سود )</t>
  </si>
  <si>
    <t>سود اول آذر 1401/09/03</t>
  </si>
  <si>
    <t>سود اول دی 1401/10/01</t>
  </si>
  <si>
    <t>مبلغ 295 میلیون در تاریخ 1401/10/10 به حساب 0216 واریز شد.</t>
  </si>
  <si>
    <t>زهرا صیاد نبی</t>
  </si>
  <si>
    <t>مبلغ 10 میلیون در تاریخ 1401/10/15 از 9190 به 4996 و مبلغ 10 میلیون در تاریخ 1401/10/15 از 5592 به 4996 و مبلغ 10 میلیون در تاریخ 1401/10/16</t>
  </si>
  <si>
    <t>از 9190 به 4996 و مبلغ 10 میلیون در تاریخ 1401/10/16 از 5592 به 4996 و مبلغ 10 میلیون در تاریخ 1401/10/17 از 6403 به 4996 واریز شد.</t>
  </si>
  <si>
    <t>مبلغ 10 میلیون و 15 میلیون طی دو فیش در تاریخ 1401/10/17 از 1708 به 0661 واریز شد.</t>
  </si>
  <si>
    <t>مبلغ 10 میلیون در تاریخ 1401/10/17 از کارت 3071 به کارت 4996 واریز شد - سفته نگرفتند.</t>
  </si>
  <si>
    <t>1401/10/17</t>
  </si>
  <si>
    <t>مبلغ 150 میلیون درتاریخ 1401/09/19 در ساعت 11:03 به کارت 4996واریز شد. ( گالیکش )</t>
  </si>
  <si>
    <t>سود دی ماه به اصل مبلغ اضافه شد.</t>
  </si>
  <si>
    <t>مبلغ 44 میلیون در تاریخ 1401/10/17 به 4004 واریز شد.</t>
  </si>
  <si>
    <t>رقیه رستمی سورگ</t>
  </si>
  <si>
    <t>ماندگار رستمی سورگ</t>
  </si>
  <si>
    <t>مبلغ 10 میلیون در تاریخ 1401/10/19 از کارت 4158 به کارت 4996 و مبلغ 10 میلیون در تاریخ 1401/10/19 از کارت 0483 به 4996 واریز شد.</t>
  </si>
  <si>
    <t>مبلغ 5 میلیون در تاریخ 1401/10/18 از کارت 1708 به کارت 0661 واریز شد.</t>
  </si>
  <si>
    <t>مبلغ 2 میلیون در تاریخ 1401/10/18 و مبلغ 8 میلیون در تاریخ 1401/10/12 از کارت 3908 به 6301 واریز شد</t>
  </si>
  <si>
    <t>مبلغ 31 میلیون در تاریخ 1401/10/06 از حساب 628 به حساب 0216 واریز شد.</t>
  </si>
  <si>
    <t>از بهمن ماه ششم هرماه واریز شود.</t>
  </si>
  <si>
    <t>مبلغ 50 میلیونی که آذر ماه اضافه شد + 50 میلیون بالا بود سفته راسی خانم زهرا سادات حسینی + باقیمانده سود آذرماه سفته داده شد.</t>
  </si>
  <si>
    <t>سفته 500 میلیونی و 370 میلیونی به تاریخ 1402/10/05 داده شد. آذر ماه تسویه شدند.</t>
  </si>
  <si>
    <t>مشارکت پایان دی ماه</t>
  </si>
  <si>
    <t>الباقی سود آذر ماه + 50 میلیون بالا بود سفته راسی خانم زهرا سادات حسینی به اصل مبلغ اضافه شد.</t>
  </si>
  <si>
    <t>پایان هر ماه</t>
  </si>
  <si>
    <t>الباقی سود آذرماه - از مشارکت پایان آذرماه  1401 مبلغ 100 میلیون راسی شدخانم زهرا  سادات حسینی - سفته 200</t>
  </si>
  <si>
    <t>مشارکت دی ماه چک به تاریخ 1401/11/06 پست بانک به مبلغ 1/077/850/000 داده شد.</t>
  </si>
  <si>
    <t>مبلغ 83/700/000 در تاریخ 1401/10/11 به حساب 4009 واریز شد.</t>
  </si>
  <si>
    <t>مبلغ 60 میلیون در تاریخ 1401/10/11 از 7474 به 3430 و مبلغ 30 میلیون در تاریخ 1401/10/13 از 7474 به 3430 واریز شد.</t>
  </si>
  <si>
    <t>مبلغ 150 میلیون در تاریخ 1401/10/10 ساعت 11:01:11 به حساب 0216 واریز شد.</t>
  </si>
  <si>
    <t>مبلغ 115 میلیون در تاریخ 1401/10/10 از حساب 7764 به حساب 0216 واریز شد.</t>
  </si>
  <si>
    <t>چک به مبلغ 600 میلیون به تاریخ 1402/09/07 داده شد. شماره چک : 424004 - مبلغ 600 میلیون در تاریخ 1401/09/09 به حساب 3430 واریز شد.</t>
  </si>
  <si>
    <t>مبلغ 140 میلیون در تاریخ 1401/09/06 به حساب 3417 واریز کردند که 20 میلیون از اقای مهدی غلامی  پس گرفتن و مبلغ 100 ماهیانه و 20 تومنم سه ساله گذاشتند.</t>
  </si>
  <si>
    <t>مبلغ 30 میلیون در تاریخ 1401/10/07 به حساب 4009 واریز شد.</t>
  </si>
  <si>
    <t>اصل 800 میلیون در سه سفته ماهیانه 50 میلیون</t>
  </si>
  <si>
    <t>عرفان حلیمی کریم آبادی</t>
  </si>
  <si>
    <t>مبلغ 50 میلیون در تاریخ 1401/10/01 از حساب 2001 به حساب 3430 واریز شد.</t>
  </si>
  <si>
    <t>مبلغ 130 میلیون در تاریخ 1401/10/01  از حساب 7001 به حساب 3430 واریز شد.</t>
  </si>
  <si>
    <t>مبلغ 30 میلیون در تاریخ 1401/09/21 از حساب 1113 به حساب 3430 واریز شد.</t>
  </si>
  <si>
    <t>مبلغ 12 میلیون تاریخ 1401/10/01 به 3430 و 8 میلیون تاریخ 1401/10/01 به 1325 واریز شد.</t>
  </si>
  <si>
    <t>مبلغ 40 میلیون تاریخ 1401/10/04 به 2005 و مبلغ 2 و 8 میلیون تاریخ 1401/10/04 به 1325 واریز شد.</t>
  </si>
  <si>
    <t>مبلغ 40 میلیون تاریخ 1401/10/04 به 2005 واریز شد - سفته 30 میلیون تاریخ 1402/10/04 داده شد - شماره سفته 210681</t>
  </si>
  <si>
    <t>مبلغ 30 میلیون ماهیانه و مبلغ 20 میلیون راسی هشت ماهه شد. قرار شد سی ام هرماه دریافت کنند.</t>
  </si>
  <si>
    <t>مبلغ 10 میلیون در تاریخ 1401/10/20 از کارت 4158 به کارت 4996 و مبلغ 10 میلیون در تاریخ 1401/10/20 از کارت 0483 به کارت 4996 واریز شد.</t>
  </si>
  <si>
    <t>مبلغ 100 میلیون راسی کمباین بعد 14 ماه شد 34 میلیون که به جمع ماهانه اضافه شد - معظمه یگانه</t>
  </si>
  <si>
    <t>افزایش سرمایه در تاریخ 1401/10/09 از حساب 5462 به حساب 0216 - معظمه یگانه</t>
  </si>
  <si>
    <t>افزایش سرمایه در تاریخ 1401/10/11  از حساب 5462 به حساب 0216 - ایمان علی پور</t>
  </si>
  <si>
    <t>افزایش سرمایه در تاریخ 1401/10/10 ازحساب 5462 به حساب 0216 - معظمه یگانه</t>
  </si>
  <si>
    <t>افزایش سرمایه در تاریخ 1401/10/12 از حساب 5462 به حساب 0216 - ایمان علی پور</t>
  </si>
  <si>
    <t>افزایش سرمایه در تاریخ 1401/10/13 از حساب 5462 به حساب 0216 - مهدی یگانه</t>
  </si>
  <si>
    <t>مبلغ 49 میلیون تاریخ 1401/10/03 از حساب 8006 به حساب 2005 واریز شد - چک به مبلغ 120 میلیون به تاریخ 14012/10/03 داده شد - شماره چک : 934252</t>
  </si>
  <si>
    <t>مرتضی رمضانی</t>
  </si>
  <si>
    <t xml:space="preserve"> غلامعلی کامگار پور</t>
  </si>
  <si>
    <t>مبلغ 3 میلیون در تاریخ 1401/09/19 به کارت 4996 واریز شد.</t>
  </si>
  <si>
    <t>مبلغ 3 میلیون تاریخ 1401/10/03 به کارت 1325 واریز شد - یک تومن از آقای کامگارپور</t>
  </si>
  <si>
    <t>مبلغ 3 میلیون تاریخ 1401/10/03 به کارت 1325 واریز شد - دو تومن از خانم خدیجه خالقی</t>
  </si>
  <si>
    <t>مبلغ 10 میلیون در تاریخ 1401/10/04 به کارت 1325 و مبلغ 49 میلیون در تاریخ 1401/10/03 به</t>
  </si>
  <si>
    <t>حساب 2005 و مبلغ 10 میلیون در تاریخ 1401/10/03 توسط ابراهیم در رستوران واریز شد.</t>
  </si>
  <si>
    <t>سفته به مبلغ 50 میلیون به تاریخ 1402/09/16 داده شد - شماره سفته : 210679</t>
  </si>
  <si>
    <t>علی تابانی</t>
  </si>
  <si>
    <t>مبلغ 10 میلیون تاریخ 1401/10/19 و مبلغ 10 میلیون تاریخ 1401/10/20 از 5554 به 4996 واریز شد.</t>
  </si>
  <si>
    <t>سفته به مبلغ 20 میلیون به تاریخ 1402/10/19 داده شد - شماره سفته : 012656</t>
  </si>
  <si>
    <t>سفته به مبلغ 200 میلیون به تاریخ 1402/10/15 داده شد - شماره سفته : 252790</t>
  </si>
  <si>
    <t>فاطمه داوری</t>
  </si>
  <si>
    <t>سفته به مبلغ 4 میلیون به تاریخ 1402/10/14 داده شد - شماره سفته : 267311</t>
  </si>
  <si>
    <t xml:space="preserve">وحید کرمانی </t>
  </si>
  <si>
    <t>محمد گل محمدی کاریزنویی</t>
  </si>
  <si>
    <t>سفته به مبلغ 60 میلیون به تاریخ 1401/10/15 داده شد - شماره سفته : 929863</t>
  </si>
  <si>
    <t>سفته و اصل مبلغ 20 میلیون به مدت یکسال تمدید شد تا 23 آبان 1402</t>
  </si>
  <si>
    <t>تا 15 فروردین 1402 تمدید شد - سفته های قبلی باطل و سفته جدید داده شد.</t>
  </si>
  <si>
    <t>6104-3389-8116-3500</t>
  </si>
  <si>
    <t>از سود دی ماه مبلغ 6 میلیون در آذر ماه پرداخت شد.</t>
  </si>
  <si>
    <t>1401/10/16</t>
  </si>
  <si>
    <t>شبا بانک 2534</t>
  </si>
  <si>
    <t>6037-6916-3589-8760</t>
  </si>
  <si>
    <t>دو بار واریز شده است.</t>
  </si>
  <si>
    <t>برای مبلغ همکارشون</t>
  </si>
  <si>
    <t>شبا بانک 7878</t>
  </si>
  <si>
    <t>وام 10 میلیون بهشون داده شد ماهی 1/500 برای ما واریز میکنند.</t>
  </si>
  <si>
    <t>بابت سرهنگ ایوبی مقدم</t>
  </si>
  <si>
    <t>سفته 130 میلیون باطل شد - شماره سفته : 364927</t>
  </si>
  <si>
    <t>سفته به مبلغ 100 میلیون به تاریخ 1402/10/14 داده شد - شماره سفته : 962520 - هر زمان احتمال برداشت وجود دارد.</t>
  </si>
  <si>
    <t>از بهمن ماه کامل</t>
  </si>
  <si>
    <t xml:space="preserve">شبا بانک 2008 </t>
  </si>
  <si>
    <t>واریز به کارت معصومه ذوالقرنین</t>
  </si>
  <si>
    <t>مبلغ 5 میلیون از سود ماه اول به اصل مبغ اضافه شود.</t>
  </si>
  <si>
    <t xml:space="preserve">سفته به مبلغ 120 میلیون به تاریخ 1402/10 داده شد - شماره سفته : 047217 </t>
  </si>
  <si>
    <t>سفته 120 میلیون توسط حسن غلامی پدر منصوره تحویل آقای پیکر شد.</t>
  </si>
  <si>
    <t>سود دی ماه + 5 میلیون نقدی واریز کردند برای مادرشون</t>
  </si>
  <si>
    <t>مادر حسین ساعی - معصومه کیخواهی</t>
  </si>
  <si>
    <t>خیر النسا دلیر ارژنگی</t>
  </si>
  <si>
    <t>چک به مبلغ 280 میلیون بانک صادرات به بانک ملت کوهسنگی به تاریخ 1401/10/17 داده شد - 100 مال ایشون و 180 مال پدرشون رمضان دلیر ارژنگی</t>
  </si>
  <si>
    <t>سفته به مبلغ 100 میلیون به تاریخ 1401/10/18 داده شد - شماره سفته : 929873</t>
  </si>
  <si>
    <t xml:space="preserve">دو ساله </t>
  </si>
  <si>
    <t>سفته 210688</t>
  </si>
  <si>
    <t>1403/10/18</t>
  </si>
  <si>
    <t>سفته 175 میلیون - 375002</t>
  </si>
  <si>
    <t>مبلغ 15 میلیون و 5 میلیون در تاریخ 1401/10/17 از 1582 به 3430 واریز شد که 10 مال رمضان و 10 از زهرا مختاری</t>
  </si>
  <si>
    <t>چک به مبلغ 280 میلیون بانک صادرات به بانک ملت کوهسنگی به تاریخ 1401/10/17 داده شد - 100 مال دخترشون و 180 مال خودشون</t>
  </si>
  <si>
    <t>زهرا مختاری ( خواهرزن روح الله دلیر ارژنگی )</t>
  </si>
  <si>
    <t>سفنه 175 میلیون - 252761</t>
  </si>
  <si>
    <t>مبلغ 130 میلیون تاریخ 1401/10/17 به حساب 25 واریز و سفته 130 میلیون به تاریخ 1402/10/17 داده شد - شماره سفته : 252759</t>
  </si>
  <si>
    <t>صدیقه ساعی ( علی اصغر عباسپور )</t>
  </si>
  <si>
    <t>مبلغ 200 میلیون در تاریخ 1401/10/17 از حساب 2698 به حساب کشاورزی 4748 واریز شد.</t>
  </si>
  <si>
    <t>مبلغ 50 تومن در آذر ماه کمتر پرداخت شده است.</t>
  </si>
  <si>
    <t>مبلغ 10 میلیون در آذر ماه بیشتر واریز شد قرار شد ماهی 5 میلیون از سود دی و بهمن کسر شود.</t>
  </si>
  <si>
    <t>سفته به مبلغ 80 میلیون به تاریخ 1401/10/13 داده شد - شماره سفته : 929872</t>
  </si>
  <si>
    <t>اعظم یزدانی خجسته ( خاله خانم حقی پناه )</t>
  </si>
  <si>
    <t>اصل مبلغ تسویه می شود.</t>
  </si>
  <si>
    <t>شبا بانک 6157</t>
  </si>
  <si>
    <t>1401/10/19</t>
  </si>
  <si>
    <t>جمع کل تا پایان دی ماه</t>
  </si>
  <si>
    <t>پسر سیر جواد موسوی ابرده</t>
  </si>
  <si>
    <t>سید جواد موسوی ابرده</t>
  </si>
  <si>
    <t>مبلغ  200 میلیون و 50 میلیون و 100 میلیون در تاریخ 1401/10/18 به حساب 4748 واریز شد.</t>
  </si>
  <si>
    <t>آقای عبداللهی نوشتن مبلغ 80 دریافت کردند.</t>
  </si>
  <si>
    <t>سفته به مبلغ 8 میلیون به تاریخ 1402/10/19 داده شد - شماره سفته : 627416</t>
  </si>
  <si>
    <t>سفته به مبلغ 20 میلیون به تاریخ 1402/10/19 داده شد - شماره سفته : 012654</t>
  </si>
  <si>
    <t>سفته به مبلغ 12 میلیون به تاریخ 1402/10/19 داده شد - شماره سفته : 012655</t>
  </si>
  <si>
    <t>علی غلامی بند آخوند</t>
  </si>
  <si>
    <t>سفته به مبلغ 50 میلیون به تاریخ 1402/10/09 داده شد - شماره سفته : 210687</t>
  </si>
  <si>
    <t>سود 15 روز 30 میلیون</t>
  </si>
  <si>
    <t>تا تاریخ 1402/10/18 تمدید شد - سفته های قدیمی باطل شدند. سفته جدید داده شد - شماره سفته : 929870 - 6 درصد</t>
  </si>
  <si>
    <t>تا تاریخ 1402/06/18 تمدید شد - سفته های قدیمی باطل شدند. سفته جدید داده شد - شماره سفته : 316584 - 5 درصد</t>
  </si>
  <si>
    <t>ازبهمن ماه</t>
  </si>
  <si>
    <t>واریزی بررسی شود.</t>
  </si>
  <si>
    <t>معصومه معینی دلیری نژاد</t>
  </si>
  <si>
    <t>منیر معینی دلیری نژاد</t>
  </si>
  <si>
    <t xml:space="preserve">مبلغ 5 میلیون در تاربخ 1401/10/15 به 6301 کشاورزی واریز شد - سفته 5 میلیون به تاریخ 1402/04/14 داده شد - شماره سفته : </t>
  </si>
  <si>
    <t>مبلغ 6 میلیون در تاربخ 1401/10/14 به 6301 کشاورزی واریز شد - سفته 5 میلیون به تاریخ 1402/04/14 داده شد - شماره سفته : 627429</t>
  </si>
  <si>
    <t>مبلغ 5 میلیون در تاربخ 1401/10/18 به 6301 کشاورزی واریز شد - سفته 5 میلیون به تاریخ 1402/04/14 داده شد - شماره سفته : 627421</t>
  </si>
  <si>
    <t>سفته به مبلغ 50 میلیون به تاریخ 1402/10/15 داده شد - شماره سفته : 210690</t>
  </si>
  <si>
    <t>شبا بانک 6534</t>
  </si>
  <si>
    <t>شبا بانک 4088</t>
  </si>
  <si>
    <t>شبا بانک 8007</t>
  </si>
  <si>
    <t>شبا بانک 8243</t>
  </si>
  <si>
    <t>شبا بانک 8002</t>
  </si>
  <si>
    <t>ناصر ملکی</t>
  </si>
  <si>
    <t>سفته به مبلغ 150 میلیون به تاریخ 1402/10/19 داده شد - شماره سفته : 375007</t>
  </si>
  <si>
    <t>سفته 60 میلیون امیر علیزاده تسویه میشود.</t>
  </si>
  <si>
    <t>تاریخ 25 دی ماه 176/990/000 - تاریخ 25 بهمن ماه 181/790/000</t>
  </si>
  <si>
    <t>سفته 341810</t>
  </si>
  <si>
    <t>کلثوم عباسی</t>
  </si>
  <si>
    <t>واریزی ابوالفضل شادمان در وجه خانم کلثوم عباسی</t>
  </si>
  <si>
    <t>سفته 929878</t>
  </si>
  <si>
    <t>مهدی ناظریان فیض آباد</t>
  </si>
  <si>
    <t>محمدرضا تنهایی ( از طرف علی عزیز عربی )</t>
  </si>
  <si>
    <t>مهدی تابانی</t>
  </si>
  <si>
    <t>سفته 35 میلیونی به شماره 333576 باطل شد.</t>
  </si>
  <si>
    <t>سفته به مبلغ 60 میلیون به تاریخ 1402/10/19 داده شد. شماره سفته : 850448</t>
  </si>
  <si>
    <t>احمد احسانی</t>
  </si>
  <si>
    <t>1407/09/14</t>
  </si>
  <si>
    <t>سفته 342324</t>
  </si>
  <si>
    <t>سفته 342330</t>
  </si>
  <si>
    <t>واریز 10 میلیون در تاریخ 1401/09/14 به 0661 ساعت 18:49</t>
  </si>
  <si>
    <t>واریز 10 میلیون در تاریخ 1401/09/14 به 0661 ساعت 18:52</t>
  </si>
  <si>
    <t>سفته 342323</t>
  </si>
  <si>
    <t>واریز 1 میلیون در تاریخ 1401/08/12 به 0661 ساعت 09:15</t>
  </si>
  <si>
    <t>سفته 345947</t>
  </si>
  <si>
    <t>1404/11/22</t>
  </si>
  <si>
    <t>هادی زبردست</t>
  </si>
  <si>
    <t>سفته 342329</t>
  </si>
  <si>
    <t>1407/10/14</t>
  </si>
  <si>
    <t>واریز 10 میلیون در تاریخ 1401/10/14 به 0661 ساعت 21:29</t>
  </si>
  <si>
    <t>سفته 850441</t>
  </si>
  <si>
    <t>واریز 5 میلیون در تاریخ 1401/10/01 به 0661 ساعت 11:03</t>
  </si>
  <si>
    <t>1407/10/01</t>
  </si>
  <si>
    <t>مبلغ 10 میلیون در تاریخ 1401/10/19 از 5554 به 4996 واریز شد.</t>
  </si>
  <si>
    <t>به آقای مصطفی قربانی اضافه میشود - سفته های 280 میلیون باطل شدند.</t>
  </si>
  <si>
    <r>
      <t xml:space="preserve">و مبلغ 20 میلیون تاریخ 1401/10/01 از حساب 3337 به حساب 0216 واریز شد - </t>
    </r>
    <r>
      <rPr>
        <b/>
        <sz val="14"/>
        <color rgb="FFFF0000"/>
        <rFont val="Arial"/>
        <family val="2"/>
        <scheme val="minor"/>
      </rPr>
      <t>سفته به مبلغ 100 میلیون به تاریخ 1402/09/30 داده شد - شماره سفته : 316587</t>
    </r>
  </si>
  <si>
    <t>حساب آقای محمدرضا قربانی به حساب ایشون اضافه شد - سفته های 280 میلیون حساب محمدرضا + سفته 100 جدید مصطفی باطل شدند.</t>
  </si>
  <si>
    <t>سفته 415752</t>
  </si>
  <si>
    <t>اصل 60 میلیون ماهیانه 3/500 - 35 میلیون قدیم + 25 میلیون جدید</t>
  </si>
  <si>
    <t>سفته 012657</t>
  </si>
  <si>
    <t>مادر حسین رستمی</t>
  </si>
  <si>
    <t>علیرضا دانایی</t>
  </si>
  <si>
    <t>1404/09/18</t>
  </si>
  <si>
    <t>بابت 120 میلیون چک رفاه در وجه آقای عبداللهی به تاریخ بیستم دی ماه داده شد.</t>
  </si>
  <si>
    <t>1405/01/28</t>
  </si>
  <si>
    <t>حسن شریفی</t>
  </si>
  <si>
    <t>محمد قاسمی</t>
  </si>
  <si>
    <t>سفته به مبلغ 50 میلیون به تاریخ 1402/10/20 داده شد - شماره سفته : 142073</t>
  </si>
  <si>
    <t>سفته به مبلغ 100 میلیون به تاریخ 1402/09/06 داده شد - شماره سفته : 929887</t>
  </si>
  <si>
    <t>1407/09/06</t>
  </si>
  <si>
    <t>شروع سرمایه گذاری در تاریخ بیستم مهر ماه توسط مهدی غلامی - سفته 100 میلیونی داده شد - شماره سفته : 747868</t>
  </si>
  <si>
    <t>از طرف علی عزیز عربی چک داده شده است - ( مبلغ را چک و واریزی 50 به کشاورزی ) - سفته 150 میلیون به تاریخ 1402/10/20 داده شد. شماره سفته : 341813</t>
  </si>
  <si>
    <t>سفته 341812</t>
  </si>
  <si>
    <t>واریز 10 میلیون در تاریخ 1401/09/28 به 0661 ساعت 15:57</t>
  </si>
  <si>
    <t>سفته 415751</t>
  </si>
  <si>
    <t>مهدی قاینی</t>
  </si>
  <si>
    <t>1407/08/20</t>
  </si>
  <si>
    <t>توسط مهدی غلامی پل بند پرداخت شد - سفته به مبلغ 100 میلیون به تاریخ 1402/10/01 داده شد - شماره سفته : 752564</t>
  </si>
  <si>
    <t>سفته 345948</t>
  </si>
  <si>
    <t>سفته به مبلغ 150 میلیون تومان به تاریخ 1402/08/09 داده شد - شماره سفته : 204174 - سفته باطل شد.</t>
  </si>
  <si>
    <t>1402/08/09</t>
  </si>
  <si>
    <t>بهنام طالبی</t>
  </si>
  <si>
    <t>سفته 204174</t>
  </si>
  <si>
    <t>سفته 850442</t>
  </si>
  <si>
    <t>1404/12/01</t>
  </si>
  <si>
    <t>سفته 415757</t>
  </si>
  <si>
    <t>واریز 10 میلیون در تاریخ 1401/09/16 به 0661 ساعت 16:11</t>
  </si>
  <si>
    <t>عیدی محمد بهلولی ( سلیمان )</t>
  </si>
  <si>
    <t>1407/09/18</t>
  </si>
  <si>
    <t>سفته 316586</t>
  </si>
  <si>
    <t>1402/05/20</t>
  </si>
  <si>
    <t>1404/10/22</t>
  </si>
  <si>
    <t>1402/10/01</t>
  </si>
  <si>
    <t>سفته 752565</t>
  </si>
  <si>
    <t>به حساب 8289</t>
  </si>
  <si>
    <t>سفته 012658</t>
  </si>
  <si>
    <t>تاریخ واریزی 1401/08/16 از 6190 رفاه به ملت - سفته به مبلغ 1402/08/16 داده شد - شماره سفته : 929883</t>
  </si>
  <si>
    <t>محمد غلامی</t>
  </si>
  <si>
    <t>1402/04/20</t>
  </si>
  <si>
    <t>مبلغ 30 میلیون توسط بهنام طالبی  به آقای برائی پرداخت شد. سفته 254174 باطل شد.</t>
  </si>
  <si>
    <t>1401/10/21</t>
  </si>
  <si>
    <t>6037-7014-4931-5883</t>
  </si>
  <si>
    <t>مبلغ 160 مانده سود آذر ماه به سود اضافه شد.</t>
  </si>
  <si>
    <t>از پست بانک پرداخت شد.</t>
  </si>
  <si>
    <t>توسط علی عبداللهی اضافه شد.</t>
  </si>
  <si>
    <t>بابت سر رسید چک 15 / 109 به مبلغ 160/500/000 تومان</t>
  </si>
  <si>
    <t>شبا بانک 3750</t>
  </si>
  <si>
    <t>شبا بانک 8988</t>
  </si>
  <si>
    <t>واریز به کارت 2684</t>
  </si>
  <si>
    <t>مبلغ 25 میلیون در تاریخ 1401/10/07 از حساب 48 به حساب 25 واریز شد.</t>
  </si>
  <si>
    <t>سید محمد حسین حسینی</t>
  </si>
  <si>
    <t>1401/10/22</t>
  </si>
  <si>
    <t>6037-9973-8742-2919</t>
  </si>
  <si>
    <t>6280-2315-0161-8093</t>
  </si>
  <si>
    <t>مبلغ 500/000 تومان از سود دی ماه تو ماه آذر پرداخت شده است.</t>
  </si>
  <si>
    <t>1401/110/22</t>
  </si>
  <si>
    <t>شبا بانک 2107</t>
  </si>
  <si>
    <t>1401/10/252</t>
  </si>
  <si>
    <t>مبلغ 20 میلیون در تاریخ 1401/10/12 از حساب 1280 به حساب 3430 واریز شد.</t>
  </si>
  <si>
    <t>مبلغ 30 میلیون در تاریخ 1401/10/17 از حساب 1280 به حساب 3430 واریز شد.</t>
  </si>
  <si>
    <t>مبلغ 20 میلیون در تاریخ 1401/10/17 از حساب 1280 به حساب 3430 واریز شد.</t>
  </si>
  <si>
    <t>تغییر زمان پرداخت از یکم هر ماه به دهم هر ماه</t>
  </si>
  <si>
    <t>از یکم دی تا دهم بهمن محاسبه شود - 40 روز</t>
  </si>
  <si>
    <t>از دوازدهم دی تا دهم بهمن محاسبه شود - 28 روز</t>
  </si>
  <si>
    <t>از هفدهم دی تا دهم بهمن محاسبه شود - 23 روز</t>
  </si>
  <si>
    <t>مبلغ 20 میلیون در تاریخ 1401/10/22 از حساب 1280 به حساب 3430 واریز شد.</t>
  </si>
  <si>
    <t>از بیست و دوم دی تا دهم بهمن محاسبه شود - 18 روز</t>
  </si>
  <si>
    <t>مبلغ 2/000/000 تومان در تاریخ 1401/10/19 از کارت 8655 به کارت 1325 واریز شد.</t>
  </si>
  <si>
    <t>مشارکت بهمن ماه</t>
  </si>
  <si>
    <t>بابت هادی ایرج زاد</t>
  </si>
  <si>
    <t>مبلغ 3/3410/000 تومان در تاریخ 1401/10/16 از کارت 8655 به کارت 1325 واریز شد.</t>
  </si>
  <si>
    <t>مبلغ 80 میلیون در تاریخ 1401/09/30 از حساب 8913 به حساب 0216 واریز شد.</t>
  </si>
  <si>
    <t>مبلغ 10 میلیون 20 دی از 7983 به 4996 و مبلغ 10 میلیون 21 دی از 7983 به 4996 واریز شد.</t>
  </si>
  <si>
    <t>معصومه لک در تاریخ 1401/10/04مبلغ سی میلیون تومان به اصل مبلغ اضافه کردند و شد 150/000/000 میلیون تومان</t>
  </si>
  <si>
    <t>مبلغ 30 میلیون در تاریخ 1401/10/04 از حساب 9430 به حساب 1325 واریز شد.</t>
  </si>
  <si>
    <t>مبلغ 100 میلیون در تاریخ 1401/10/19 از حساب 8311 به حساب 3417 واریز شد.</t>
  </si>
  <si>
    <t>مبلغ 50 میلیون در تاریخ 1401/10/20 به حساب 3417 واریز شد.</t>
  </si>
  <si>
    <t>مبلغ 20 واریز کردند و مبلغ 30 میلیون در تاریخ 1401/10/20 به حساب 1325 واریز شد.</t>
  </si>
  <si>
    <t>مبلغ 200 میلیون و 150 میلیون طی دو فش در تاریخ 1401/10/18 به حساب 4004 واریز شد.</t>
  </si>
  <si>
    <t>مبلغ 123 میلیون در تاریخ 1401/10/18 به حساب 4748 واریز کردند.</t>
  </si>
  <si>
    <t>مبلغ 100 میلیون در تاریخ 1401/07/04ساعت 19:25 و مبلغ100 میلیون در تاریخ 1401/07/05 ساعت 15:57 به شبای 8318 واریز شد .</t>
  </si>
  <si>
    <t>مبلغ 80 میلیون در تاریخ 1401/06/12ساعت 18:51 و مبلغ100 میلیون در تاریخ 1401/06/12 ساعت 18:49 به شبای 0216 واریز شد .</t>
  </si>
  <si>
    <t>مبلغ 100 میلیون در تاریخ 1401/06/10ساعت 19:38 و مبلغ100 میلیون در تاریخ 1401/06/11 ساعت 11:15 به شبای 0216 واریز شد .</t>
  </si>
  <si>
    <t>مبلغ 100 میلیون در تاریخ 1401/06/11ساعت 11:14 و مبلغ100 میلیون در تاریخ 1401/06/10 ساعت 19:35 به شبای 0216 واریز شد .</t>
  </si>
  <si>
    <t>از واریزی های زیر 580 میلیون راسی یکساله شد و 200 میلیون + 80 میلیون ماهانه</t>
  </si>
  <si>
    <t>1402/06/11</t>
  </si>
  <si>
    <t>چک 1809/415653/53</t>
  </si>
  <si>
    <t>مبلغ 29 در تاریخ 1401/10/15 به 2005 و مبلغ 31  در تاریخ 1401/10/17 به 4009 واریز شد.</t>
  </si>
  <si>
    <t>مبلغ 40 میلیون در تاریخ 1401/10/15 در ساعت 21:47 به حساب 1325 واریز شد.</t>
  </si>
  <si>
    <t>چک ها 1/125/000/000 تومان پاس شد.</t>
  </si>
  <si>
    <t>سفته 50 میلیونی 26 آذر هم پاس شد.</t>
  </si>
  <si>
    <t>پاس شدند.</t>
  </si>
  <si>
    <t>واریزی های آقای مصطفی خدا دوست</t>
  </si>
  <si>
    <t>از حساب / کارت</t>
  </si>
  <si>
    <t>اطلاعات چک و سفته ها</t>
  </si>
  <si>
    <t>تاریخ چک / سفته</t>
  </si>
  <si>
    <t>مبلغ چک / سفته</t>
  </si>
  <si>
    <t>1402/09/10</t>
  </si>
  <si>
    <t>1402//09/10</t>
  </si>
  <si>
    <t>فیش واریزی 150 میلیون ارسال شده است تاریخ مشخص نیست - واریزی به 3430</t>
  </si>
  <si>
    <t>مبلغ 100 میلیون در تاریخ 1401/10/11 به 8318 واریز شد - برای 9 روز محاسبه شد.</t>
  </si>
  <si>
    <t>مبلغ 100 میلیون در تاریخ 1401/10/10 به 3430 واریز شد - برای 15 روز محاسبه میشود.</t>
  </si>
  <si>
    <t>مبلغ 3 میلیون در تاریخ 1401/09/03 از کارت 1255 به کارت 1401 واریز شد.</t>
  </si>
  <si>
    <t>سفته 100 میلیونی به تاریخ 1402/09/26 داده شد - شماره سفته : 929861 -  مبلغ 100 میلیون در تاریخ 1401/09/26 از حساب 6343 به حساب 2005 واریز شد.</t>
  </si>
  <si>
    <t>مبلغ 10 میلیون در تاریخ 1401/09/30 و مبلغ 10 میلیون تاریخ 1401/10/01 از کارت 9353 به کارت 4996 واریز شد.</t>
  </si>
  <si>
    <t>مبلغ 137/500/000در تاریخ 1401/09/03 ساعت 10 بح حساب 3430 اضافه شد.</t>
  </si>
  <si>
    <t>مبلغ 40/000/000 در تاریخ 1401/10/03 ساعت 12:42 به 1325 اضافه شد.</t>
  </si>
  <si>
    <t>آمنه بهلولی ( مرضیه عبداللهی )</t>
  </si>
  <si>
    <t>مبلغ 27 میلیون در تاریخ 1401/10/11 از شبا 7002 به شبا 4009 واریز شد.</t>
  </si>
  <si>
    <t>مبلغ 23 میلیون در تاریخ 1401/10/11 به حساب 1325 واریز شد.</t>
  </si>
  <si>
    <t>مبلغ 300 میلیون در تاریخ 1401/09/09 از حساب 6935 به حساب 0216 واریز شد.</t>
  </si>
  <si>
    <t>مبلغ 150 میلیون در تاریخ 1401/09/09  به حساب 2005 واریز شد.</t>
  </si>
  <si>
    <t>مبلغ 200 میلیون در تاریخ 1401/09/09  از شبا 1799 به حساب 8318 واریز شد.</t>
  </si>
  <si>
    <t>مبلغ 50 میلیون در تاریخ 1401/09/09 به حساب 8318 واریز شد.</t>
  </si>
  <si>
    <t>مبلغ 400 میلیون در تاریخ 1401/09/09 از حساب 2412 به حساب 0216 واریز شد.</t>
  </si>
  <si>
    <t>مبلغ 10 میلیون در تاریخ 1401/08/16 و مبلغ 10 میلیون در تاریخ 1401/08/17 و مبلغ 9 میلیون در تاریخ 1401/08/18 از 0966 به 1325 واریز شد.</t>
  </si>
  <si>
    <t xml:space="preserve">مبلغ 10 میلیون در تاریخ 1401/07/30 ساعت 09:45 از 8592 به 1325  </t>
  </si>
  <si>
    <t>و مبلغ 8 میلیون در تاریخ 1401/07/30ساعت 09:46 از 2335 به 1325 واریز شد.</t>
  </si>
  <si>
    <t>واریز به کارت فاطمه زراعتی استند</t>
  </si>
  <si>
    <t>مبلغ 200 میلیون در تاریخ 1401/10/05 ساعت 11:26 به حساب 0216 واریز شد.</t>
  </si>
  <si>
    <t>6037-9975-0427-3872</t>
  </si>
  <si>
    <t>ماه بعد پرداخت میشود.</t>
  </si>
  <si>
    <t>شبا بانک 7852</t>
  </si>
  <si>
    <t>مانده از ماه قبل</t>
  </si>
  <si>
    <t>6037-7011-8122-7940</t>
  </si>
  <si>
    <t>شبا بانک 3774</t>
  </si>
  <si>
    <t>1401/10/24</t>
  </si>
  <si>
    <t>محمدحسین عباسپور</t>
  </si>
  <si>
    <t>آقای عبداللهی نوشتن مبلغ دهم به حساب سپه واریز شده است - از طرف دکتر عباسی - سفته به مبلغ 100 میلیون به تاریخ 1402/10/10 داده شد - شماره سفته :929869</t>
  </si>
  <si>
    <t>رضا راستگو</t>
  </si>
  <si>
    <t>1407/10/22</t>
  </si>
  <si>
    <t>سفته 341814</t>
  </si>
  <si>
    <t>مبغ 10 میلیون در تاریخ 1401/10/22 ساعت 10:47 از 3770 به 4996 واریز شده است.</t>
  </si>
  <si>
    <t>سفته 35 میلیونی به تاریخ 1402/10/23 داده شد - شماره سفته : 142075</t>
  </si>
  <si>
    <t>رسالت به رسالت</t>
  </si>
  <si>
    <t>1401/10/3</t>
  </si>
  <si>
    <t>به رسالت</t>
  </si>
  <si>
    <t>از کشاورزی</t>
  </si>
  <si>
    <t xml:space="preserve"> از مرتضی رمضانی</t>
  </si>
  <si>
    <t>سفته 780171</t>
  </si>
  <si>
    <t>مبلغ 6/500 به حسابش واریز شد و 60 میلیون راسی شد.</t>
  </si>
  <si>
    <t>1402/10/23</t>
  </si>
  <si>
    <t>سفته 747869</t>
  </si>
  <si>
    <t>مرتضی نیازجو</t>
  </si>
  <si>
    <t>سفته 012659</t>
  </si>
  <si>
    <t>1405/10/23</t>
  </si>
  <si>
    <t>از 60 اصل راسی علی اصغر 5</t>
  </si>
  <si>
    <t>سفته به مبلغ 200 میلیون به تاریخ 1402/10/24 داده شد. شماره سفته ها : 341815</t>
  </si>
  <si>
    <t>از 200 میلیون 7 میلیون  سود 16 دی مرضیه و 7 میلیون سود 16 بهمن مرضیه و 28 میلیون سود 7 بهمن حسین جمعا 42 میلیون کسر و 158 میلیون الباقی واریز شود.</t>
  </si>
  <si>
    <t>سود دی ماه و بهمن ماه به اصل مبلغ آقای حسین بادرنگین اضافه شد.</t>
  </si>
  <si>
    <t>سفته داده شد - شماره سفته : 341816</t>
  </si>
  <si>
    <t>سفته به مبلغ 350 میلیون به تاریخ 1402/10/18 داده شد - شماره سفته : 415753</t>
  </si>
  <si>
    <t>1401/10/25</t>
  </si>
  <si>
    <t>شبا بانک 6044</t>
  </si>
  <si>
    <t>هر دوماهی واریز میشود - واریز به کارت محسن کامکار</t>
  </si>
  <si>
    <t>5892-1014-3274-6531</t>
  </si>
  <si>
    <t>1403/10/20</t>
  </si>
  <si>
    <t>چک 852710</t>
  </si>
  <si>
    <t>1397/10/20</t>
  </si>
  <si>
    <t>مبلغ 10 میلیون در تاریخ 1401/10/25 از کارت 1312 به کارت 5379 در ساعت 18:09 واریز شد.</t>
  </si>
  <si>
    <t>مبلغ 10 میلیون جدید + 20 میلیون قبلی یک سفته 30 میلیونی به تاریخ 1402/10/22 داده شد - شماره شفته : 142071</t>
  </si>
  <si>
    <t>دو تا سفته 10 میلیونی به شماره های 924052 و 924051 باطل شدند.</t>
  </si>
  <si>
    <t>سفته به مبلغ 128 میلون به تاریخ 1402/10/18 داده شد - شماره سفته : 341818</t>
  </si>
  <si>
    <t>چک به مبلغ 237 میلیون بابت سود مشارکت دی 176/990 + 60 میلیون امیر علیزاده داده شد.</t>
  </si>
  <si>
    <t>تسویه دی ماه - تاریخ چک 1401/10/26 بانک ملی</t>
  </si>
  <si>
    <t>چک 0132/424026</t>
  </si>
  <si>
    <t>1401/10/26</t>
  </si>
  <si>
    <t>1403/06/21</t>
  </si>
  <si>
    <t>سفته 341819</t>
  </si>
  <si>
    <t>سفته به مبلغ 100 میلیون به تاریخ 1402/10/07 داده شد - شماره سفته : 747872</t>
  </si>
  <si>
    <t>مبلغ 100 میلیون در تاریخ 1401/10/25 به حساب 25 واریز شد. بررسی رسید واریزی</t>
  </si>
  <si>
    <t>تسویه سفته راسی اصل 87 با سود 100 میلیون</t>
  </si>
  <si>
    <t>توسط آقای بهنام طالبی بهشون پرداخت شد.</t>
  </si>
  <si>
    <t>شبا بانک 9628</t>
  </si>
  <si>
    <t>سید مصطفی میر اکبری</t>
  </si>
  <si>
    <t>سفته به مبلغ 100 میلیون به تاریخ 1402/10/27 داده شد - شماره سفته : 929881</t>
  </si>
  <si>
    <t>سفته های قبل به مبلغ 75 میلیون تحویل آقای عبداللهی و باطل شدند.</t>
  </si>
  <si>
    <t>سفته به مبلغ 100 میلیون به تاریخ 1402/10/18 داده شد - شماره سفته : 747871</t>
  </si>
  <si>
    <t>مبلغ قدیم + مبلغ جدید سفته 100 میلیونی داده شد.</t>
  </si>
  <si>
    <t>حسین آخوندی</t>
  </si>
  <si>
    <t xml:space="preserve">مبلغ 50 میلیون در تاریخ 1401/10/09 ساعت 14:26 و مبلغ 100 میلیون در تاریخ 1401/10/08 ساعت 12:35 و مبلغ 40 میلیون در تاریخ 1401/10/09 </t>
  </si>
  <si>
    <t>ساعت 14:26 و مبلغ 50 میلیون در تاریخ 1401/10/08 ساعت 14:20 و مبلغ 30 میلیون در تاریخ 1401/10/09 ساعت 12:11 واریز شد</t>
  </si>
  <si>
    <t>سفته به مبلغ 270 میلیون به تاریخ 1402/10/08 داده شد - شماره سفته : 415755</t>
  </si>
  <si>
    <t>چک راسی دو میلیارد تاریخش 7 روز عقب و مبلغ 12 واریز شود</t>
  </si>
  <si>
    <t>روح الله عرب تیموری</t>
  </si>
  <si>
    <t>سفته به مبلغ 490 میلیون به تاریخ 1402  داده شد - شماره سفته : 415754 - سفته به علی عزیز عربی داده شد.</t>
  </si>
  <si>
    <t>بابت 490 میلیون چک رفاه در وجه آقای عبداللهی به تاریخ بیست و هفتم دی ماه داده شد.</t>
  </si>
  <si>
    <t>اولین واریزی 1401/11/20</t>
  </si>
  <si>
    <t>طبق برگه دست نویس آقای عبداللهی</t>
  </si>
  <si>
    <t>سید پیام واحدی حسینیان</t>
  </si>
  <si>
    <t>سفته به مبلغ 40 میلیون به تاریخ 1402/04/27 داده شد - شماره سفته : 142076</t>
  </si>
  <si>
    <t>اصل مبلغ دریافت شده است.</t>
  </si>
  <si>
    <t>سفته 448564 از 50 میلیون به 48 میلیون تغییر کرد - سفته باطل شد.</t>
  </si>
  <si>
    <t>سفته به مبلغ 70 میلیون به تاریخ 1402/10/25 داده شد - شماره سفته : 142074</t>
  </si>
  <si>
    <t>1401/10/27</t>
  </si>
  <si>
    <t>الباقی سود دی ماه به مبلغ 3 میلیون به اصل مبلغ اضافه شد.</t>
  </si>
  <si>
    <t>5892-1011-3558-1748</t>
  </si>
  <si>
    <t>سفته 25 میلیونی بهشون داده شد - تسویه آذر ماه</t>
  </si>
  <si>
    <t>6037-7015-1450-6705</t>
  </si>
  <si>
    <t>1401/10/28</t>
  </si>
  <si>
    <t>زهرا نسایی</t>
  </si>
  <si>
    <t>شبا بانک 6343</t>
  </si>
  <si>
    <t>از سود مشارکت بهمن ماه</t>
  </si>
  <si>
    <t>واریز به کارت 8634</t>
  </si>
  <si>
    <t>از مشارکت بهمن ماه</t>
  </si>
  <si>
    <t>از اصل مبلغ 285 میلیون تسویه میشود.</t>
  </si>
  <si>
    <t xml:space="preserve">مبلغ صد میلیون از سود مشارکت دی ماه ماه به اصل مبلغ اضافه شد </t>
  </si>
  <si>
    <t>ازبهمن ماه سود 450 میلیون 23/500  میلیون میشود.</t>
  </si>
  <si>
    <t>سود دی ماه به مبلغ 36/200/000 تومان به اصل مبلغ اضافه + واریز 13/800/000 تومان  از حساب 1777 در تاریخ 1401/10/02</t>
  </si>
  <si>
    <t>بابت شیرینی معرفی و تمدید ها</t>
  </si>
  <si>
    <t>مبلغ 3/050/000 تومان محمدرضا خالقی + 300/000 تومان قمر ابراهیمی + 500/000 تومان زهرا خالقی جمعا : 3/850/000 تومان</t>
  </si>
  <si>
    <t>مبلغ 200 میلیون طی واریز 150 به کشاورزی و 50 میلیون بابت درصدهای فروش ایشان</t>
  </si>
  <si>
    <t>مبلغ 143 میلیون در تاریخ 1401/10/28 از 0930 به 0216 واریز شد.</t>
  </si>
  <si>
    <t>چک بابت ضمانت مبلغ کل 1/275/000/000 تومان در وجه آقای مصطفی قربانی به تاریخ 1402/06/20 بانک ملی داده شد - اولین واریزی 20 بهمن</t>
  </si>
  <si>
    <t>مبلغ 100 میلیون در تاریخ 1401/10/28 به حساب 8318 واریز شد و آقای عبداللهی تایید دادند.</t>
  </si>
  <si>
    <t>از اسفند ماه اصل مبلغ 200 میلیون و میزان سود مشارکت 11 میلیون میباشد.</t>
  </si>
  <si>
    <t>سفته به مبلغ 200 میلیون به تاریخ 1402/10/25 داده شد - شماره سفته : 345991 - سفته صد میلیون قبلی باطل شد.</t>
  </si>
  <si>
    <t>طی سه مرحله واریزی - واریزی ها توسط آقای عبداللهی تایید شدند.</t>
  </si>
  <si>
    <t>ام البنین بلیله</t>
  </si>
  <si>
    <t>سفته 142077</t>
  </si>
  <si>
    <t>1407/10/28</t>
  </si>
  <si>
    <t>مصطفی احتشام زاده</t>
  </si>
  <si>
    <t>مبلغ 800 بین بانکی ملت + مبلغ 385 پایا به ملت + مبلغ 100 میلیون پایا به ملت + مبلغ 615 باید واریز به ملت بشه</t>
  </si>
  <si>
    <t>شش تا چک به مبلغ 133 میلیون به تاریخ های 11/29 - 12/29 - 01/29 - 02/29 - 03/29 و 04/29 و چک به مبلغ 1/900/000/000 بابت ضمانت اصل مبلغ داده شد.</t>
  </si>
  <si>
    <t>سفته 850446</t>
  </si>
  <si>
    <t>1402/12/24</t>
  </si>
  <si>
    <t>مهناز پورخواجه حسن بهابادی</t>
  </si>
  <si>
    <t>1401/10/29</t>
  </si>
  <si>
    <t>اصل مبلغ + سود یکم بهمن تسویه شد.</t>
  </si>
  <si>
    <t>6104-3389-7366-3970</t>
  </si>
  <si>
    <t>تسویه یکم بهمن در 28 ام دی ماه</t>
  </si>
  <si>
    <t xml:space="preserve"> مبلغ 3 میلیون در یکم بهمن پرداخت و دی ماه تسویه شد.</t>
  </si>
  <si>
    <t>مبلغ 100 میلیون در تاریخ 1401/10/28از حساب 2715 به حساب 3417 واریز شد.</t>
  </si>
  <si>
    <t>بابت سود دو تا چک 320 میلیون مبلغ 10 میلیون واریز شد.</t>
  </si>
  <si>
    <t>شبا بانک 4620</t>
  </si>
  <si>
    <t>عذری گلی</t>
  </si>
  <si>
    <t xml:space="preserve">سفته به مبلغ 120 میلیون به تاریخ 1402/08/15  داده شد - شماره سفته : 850447 </t>
  </si>
  <si>
    <t>راسی بوده شده 120 میلیون</t>
  </si>
  <si>
    <t>در تاریخ 1401/07/30 از حساب 7101 به حساب 3430 واریز کردند - سه ماهه گذاشتند.</t>
  </si>
  <si>
    <t>زهرا مختاری</t>
  </si>
  <si>
    <t xml:space="preserve">سفته به مبلغ 80 میلیون به تاریخ 1402/10/28  داده شد - شماره سفته : 850449 </t>
  </si>
  <si>
    <t>مبلغ 80 میلیون چک به تاریخ 1401/10/28به حساب 3430  داده شد.</t>
  </si>
  <si>
    <t>سود به اصل مبلغ اضافه و مبلغ 42/200/000 در تاریخ اضافه شد.</t>
  </si>
  <si>
    <t>مشارکت جدید برای یکم اسفند ماه</t>
  </si>
  <si>
    <t>مصیب عبداللهی ( مسعود عبداللهی )</t>
  </si>
  <si>
    <t xml:space="preserve">دو تا مبلغ 50 میلیون جمعا صد میلیون در تاریخ 1401/10/30 در سینما پیتزا کارت کشیدند. </t>
  </si>
  <si>
    <t>مشارکت دوم بهمن از یک میلیارد واریزی جدید کسر و مبلغ 930 میلیون تاریخ 2 بهمن واریز شود.</t>
  </si>
  <si>
    <t>مسعود عبداللهی - چک بانک ملی به مبلغ 500 میلیون به تاریخ 1402/11/02 در وجه مسعود عبداللهی ثبت و داده شد.</t>
  </si>
  <si>
    <t>مصطفی کمایستانی - چک بانک ملی به مبلغ 500 میلیون به تاریخ 1402/11/02 در وجه مصطفی کمایستانی ثبت و داده شد.</t>
  </si>
  <si>
    <t>امیر مصمور ( طیبه زنده دل )</t>
  </si>
  <si>
    <t>مبلغ 10 میلیون در تاریخ 1401/10/30 در سینما پیتزا کارت کشیده شد.</t>
  </si>
  <si>
    <t>سفته به مبلغ 10 میلیون به تاریخ 1402/11/25 داده شد - شماره سفته : 627417</t>
  </si>
  <si>
    <t>امیر مصمور ( محسن مصمور )</t>
  </si>
  <si>
    <t>سفته به مبلغ 40 میلیون به تاریخ 1402/11/25 داده شد - شماره سفته : 142072</t>
  </si>
  <si>
    <t>اصل مبلغ روزانه 10 میلیون باید واریز شود.</t>
  </si>
  <si>
    <t>مشارکت 25 ام بهمن ماه</t>
  </si>
  <si>
    <t>مبلغ ازاین تاریخ آورده جدید با نرخ 8 درصد محاسبه و پرداخت میشود - تا تاریخ 5 بهمن 9 و از ششم بهمن به بعد با درصد 8</t>
  </si>
  <si>
    <t>مصطفی بهلولی</t>
  </si>
  <si>
    <t>سفته به مبلغ 200 میلیون به تاریخ 1402/11/01 داده شد - شماره سفته : 327085</t>
  </si>
  <si>
    <t>اصل را یکم بهمن از بانک صادرات به حساب واریز میکنند.</t>
  </si>
  <si>
    <r>
      <t xml:space="preserve">مبلغ 200 ملیون سفته داده شد - شماره سفته : 976098 - 976099 - </t>
    </r>
    <r>
      <rPr>
        <b/>
        <sz val="14"/>
        <color theme="1"/>
        <rFont val="Arial"/>
        <family val="2"/>
        <scheme val="minor"/>
      </rPr>
      <t xml:space="preserve">سفته ها از 200 میلیون به 150 میلیون اصلاح شد - شماره سفته : 976098 - 976099 </t>
    </r>
  </si>
  <si>
    <t>مبلغ 48/400/000 تومان بابت مشارکت 15 بهمن ماه به تاریخ 1401/11/16 چک تجارت داده شد.</t>
  </si>
  <si>
    <t>مبلغ 48/400/000 تومان مشارکت اسفند ماه به اصل مبلغ اضافه شد و سفته داده شد.</t>
  </si>
  <si>
    <t>واریز به کارت عباسعلی دوست بین - سفته تحویل آقای عبداللهی شد.</t>
  </si>
  <si>
    <t xml:space="preserve"> سفته 10 میلیونی به شماره 924100 باطل شد. ( مبلغ 5 میلیون بابت پروین خنک بان و مبلغ 5 میلیون اضافه سفته داده بودیم )</t>
  </si>
  <si>
    <t>مشارکت 15 فروردین ماه</t>
  </si>
  <si>
    <t>سود 15 بهمن ماه چک تجارت داده شد و سود 15 اسفند به اصل مبلغ اضافه شد.</t>
  </si>
  <si>
    <t>سفته به مبلغ 857 میلیون به تاریخ 1402/11/15 داده شد - شماره سفته : 371306</t>
  </si>
  <si>
    <t>تمامی سفته های قبلی باطل شدند.</t>
  </si>
  <si>
    <t>واریز سود دو ماه مهر و آبان - اصل مبلغ 4/200/000 تومان در تاریخ 1401/06/23 به حساب 0216 واریز کردند.</t>
  </si>
  <si>
    <t>مبلغ 10 میلیون در تاریخ 1401/10/25 به 5379 و مبلغ 10 میلیون 1401/10/24 به 5379 واریز شد</t>
  </si>
  <si>
    <t>محمد کامکاری ( فرزند علی )</t>
  </si>
  <si>
    <t>مبلغ 125 میلیون در تاریخ 1401/10/28 به حساب 2005 و مبلغ 25 میلیون در تاریخ 1401/11/01 به حساب 4425 و مبلغ 200 میلیون</t>
  </si>
  <si>
    <t>در تاریخ 1401/11/01 به حساب 0216 واریز شد.</t>
  </si>
  <si>
    <t>سفته به مبلغ 200 میلیون به تاریخ 1402/10/26 در وجه حسن خالقی داده شد - شماره سفته : 342376</t>
  </si>
  <si>
    <t>مشارکت 15 هرماه 75/500/000 تومان میباشد.</t>
  </si>
  <si>
    <t>در تاریخ یکم بهمن واریز شد.</t>
  </si>
  <si>
    <t>الباقی سود یکم دی ماه به مبلغ 189/880/000 تومان به اصل مبلغ بیستم اضافه شد.</t>
  </si>
  <si>
    <t>سود بیستم دی ماه به مبلغ 165/237/840 تومان به اصل مبلغ بیستم اضافه شد.</t>
  </si>
  <si>
    <t>سود بیستم دی ماه به مبلغ 22/190/000 تومان به اصل مبلغ بیستم اضافه شد.</t>
  </si>
  <si>
    <t>سود بیستم دی ماه مرضیه عبداللهی</t>
  </si>
  <si>
    <t>اصل مشارکت برای بیستم بهمن ماه</t>
  </si>
  <si>
    <t>سود 189/880/000 تومان برای 19 روز 7 درصد از یکم تا بیستم محاسبه شد.</t>
  </si>
  <si>
    <t>سود بیستم دی ماه خودشون</t>
  </si>
  <si>
    <t>مبلغ 15 میلیون در تاریخ 1401/10/29 از کارت 8613 به کارت 0661 واریز شد.</t>
  </si>
  <si>
    <t>مبلغ 60 میلیون در تاریخ 1401/10/29 از حساب 8008 به حساب 2005 واریز شد.</t>
  </si>
  <si>
    <t>سفته نگرفتند</t>
  </si>
  <si>
    <t>مبلغ 20 میلیون در تاریخ 1401/10/28 به حساب 4009 واریز شد.</t>
  </si>
  <si>
    <t>مبلغ 150 میلیون تاریخ 1401/10/29 از حساب 0095  مریم عبداللهی  به حساب 0216 واریز شد</t>
  </si>
  <si>
    <t>مبلغ 10 میلیون در تاریخ 1401/10/28 از حساب 5961 به حساب 0216 واریز شد.</t>
  </si>
  <si>
    <t>مبلغ 15 میلیون و 5 میلیون طی دو واریزی در تاریخ 1401/09/15 ب حساب 6662  و 0216 واریز شد - سفته به مبلغ 20 میلیون به تاریخ 1402/09/15 داده شد.</t>
  </si>
  <si>
    <t>مبلغ 100 میلیون تاریخ 1401/10/25 به 6662 و مبلغ 50 میلیون تاریخ 1401/10/26 به 0216</t>
  </si>
  <si>
    <t>شیرینی مردانی + اکبر آقا</t>
  </si>
  <si>
    <t>پنج ساله</t>
  </si>
  <si>
    <t>به نام سجاد آخوند زاده بهلولی سفته بدیم</t>
  </si>
  <si>
    <t>به نام محمد مهدی افضلی سفته بدیم</t>
  </si>
  <si>
    <t>مبلغ 70 میلیون در تاریخ 1401/10/19 از حساب 5097 به حساب 4748 واریز شد.</t>
  </si>
  <si>
    <t>مبلغ 10 میلیون در تاریخ 1401/10/24 از حساب 1124 به حساب 5379 واریز شد.</t>
  </si>
  <si>
    <t>مبلغ 10 میلیون در تاریخ 1401/10/25 از حساب 1124 به حساب 5379 واریز شد.</t>
  </si>
  <si>
    <t>مبلغ 10 میلیون در تاریخ 1401/10/26 از حساب 1124 به حساب 5379 واریز شد.</t>
  </si>
  <si>
    <t>مبلغ 5 میلیون در تاریخ 1401/10/27 از حساب 1124 به حساب 5379 واریز شد.</t>
  </si>
  <si>
    <t>رسول قرایی</t>
  </si>
  <si>
    <t>مبلغ 10 میلیون تاریخ 1401/10/29 در ساعت 9:31 از حساب 4443 به حساب 5379 واریز شد.</t>
  </si>
  <si>
    <t>مبلغ 10 میلیون تاریخ 1401/10/29 در ساعت 9:29 از حساب 3368 به حساب 5379 واریز شد.</t>
  </si>
  <si>
    <t xml:space="preserve">مهدیه هنجاری </t>
  </si>
  <si>
    <t>غلامرضا عبداللهی</t>
  </si>
  <si>
    <t>مبلغ 29/400/000 تومان در تاریخ 1401/10/28 از حساب 1529 به حساب 0216 واریز شد.</t>
  </si>
  <si>
    <t>مبلغ 49 میلیون واریزی توسط مهدی غلامی در تاریخ 1401/09/16 به 3430 - یک میلیون بابت شیرینی برداشتن</t>
  </si>
  <si>
    <t>مبلغ 10 میلیون تاریخ 1401/10/26 در ساعت 15:47 از حساب 5451 به حساب 4996 واریز شد.</t>
  </si>
  <si>
    <t>مبلغ 10 میلیون تاریخ 1401/10/26 در ساعت 15:48 از حساب 3200 به حساب 4996 واریز شد.</t>
  </si>
  <si>
    <t>مبلغ 5 میلیون تاریخ 1401/10/27 در ساعت 09:47 از حساب 5451 به حساب 4996 واریز شد.</t>
  </si>
  <si>
    <t>مبلغ 30 میلیون جدید یک سفته 30 میلیونی به تاریخ 1402/04/12 داده شد - شماره شفته : 623515</t>
  </si>
  <si>
    <t>جمع کل مشارکت 60 میلیون و میزان مشارکت ماهانه 3 میلیون تومان است.</t>
  </si>
  <si>
    <t>سود دی ماه به مبلغ 7/800/00 تومان به اصل مبلغ اضافه شد + 2/200/000 تومان در تاریخ 1401/10/01 از 0966 به 1325 واریز کردند جمعا ده میلیون.</t>
  </si>
  <si>
    <t>چک از جواد طلایی</t>
  </si>
  <si>
    <t>چک از داداششون</t>
  </si>
  <si>
    <t>چک از مشتری های شن شویی</t>
  </si>
  <si>
    <t>طبق گفته خودشون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</si>
</sst>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</font>
    <font>
      <b/>
      <sz val="14"/>
      <color rgb="FFFF0000"/>
      <name val="Arial"/>
      <family val="2"/>
      <scheme val="minor"/>
    </font>
    <font>
      <b/>
      <sz val="18"/>
      <color rgb="FFFF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8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right" vertical="center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164" fontId="2" fillId="18" borderId="1" xfId="0" applyNumberFormat="1" applyFont="1" applyFill="1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8" borderId="5" xfId="0" applyNumberFormat="1" applyFont="1" applyFill="1" applyBorder="1" applyAlignment="1">
      <alignment horizontal="right" vertical="center" wrapText="1"/>
    </xf>
    <xf numFmtId="3" fontId="10" fillId="18" borderId="13" xfId="0" applyNumberFormat="1" applyFont="1" applyFill="1" applyBorder="1" applyAlignment="1">
      <alignment horizontal="right" vertical="center" wrapText="1"/>
    </xf>
    <xf numFmtId="3" fontId="10" fillId="18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3" fontId="14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0" fontId="0" fillId="18" borderId="5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vertical="center" wrapText="1"/>
    </xf>
    <xf numFmtId="3" fontId="2" fillId="14" borderId="17" xfId="0" applyNumberFormat="1" applyFont="1" applyFill="1" applyBorder="1" applyAlignment="1">
      <alignment vertical="center" wrapText="1"/>
    </xf>
    <xf numFmtId="3" fontId="2" fillId="14" borderId="19" xfId="0" applyNumberFormat="1" applyFont="1" applyFill="1" applyBorder="1" applyAlignment="1">
      <alignment vertical="center" wrapText="1"/>
    </xf>
    <xf numFmtId="3" fontId="2" fillId="14" borderId="9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3" fontId="10" fillId="3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vertical="center" wrapText="1"/>
    </xf>
    <xf numFmtId="3" fontId="5" fillId="4" borderId="47" xfId="0" applyNumberFormat="1" applyFont="1" applyFill="1" applyBorder="1" applyAlignment="1">
      <alignment vertical="center" wrapText="1"/>
    </xf>
    <xf numFmtId="3" fontId="5" fillId="4" borderId="9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right" vertical="center"/>
    </xf>
    <xf numFmtId="164" fontId="2" fillId="5" borderId="13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3" fontId="2" fillId="9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2" fillId="2" borderId="5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2" borderId="35" xfId="0" applyFill="1" applyBorder="1" applyAlignment="1">
      <alignment vertical="center"/>
    </xf>
    <xf numFmtId="0" fontId="0" fillId="0" borderId="0" xfId="0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64" fontId="2" fillId="3" borderId="52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3" fillId="11" borderId="8" xfId="0" applyNumberFormat="1" applyFont="1" applyFill="1" applyBorder="1" applyAlignment="1">
      <alignment horizontal="center" vertical="center" wrapText="1"/>
    </xf>
    <xf numFmtId="3" fontId="3" fillId="11" borderId="47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/>
    </xf>
    <xf numFmtId="3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3" fontId="0" fillId="9" borderId="39" xfId="0" applyNumberFormat="1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vertical="center" wrapText="1"/>
    </xf>
    <xf numFmtId="3" fontId="2" fillId="2" borderId="19" xfId="0" applyNumberFormat="1" applyFont="1" applyFill="1" applyBorder="1" applyAlignment="1">
      <alignment vertical="center" wrapText="1"/>
    </xf>
    <xf numFmtId="3" fontId="2" fillId="2" borderId="9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0" fillId="3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0" fillId="14" borderId="1" xfId="0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10" fillId="2" borderId="8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3" fontId="5" fillId="2" borderId="6" xfId="0" applyNumberFormat="1" applyFont="1" applyFill="1" applyBorder="1" applyAlignment="1">
      <alignment horizontal="right" vertical="center" wrapText="1"/>
    </xf>
    <xf numFmtId="3" fontId="10" fillId="3" borderId="13" xfId="0" applyNumberFormat="1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2" fillId="3" borderId="18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2" fillId="4" borderId="48" xfId="0" applyNumberFormat="1" applyFont="1" applyFill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/>
    </xf>
    <xf numFmtId="3" fontId="2" fillId="2" borderId="52" xfId="0" applyNumberFormat="1" applyFont="1" applyFill="1" applyBorder="1" applyAlignment="1">
      <alignment horizontal="center" vertical="center" wrapText="1"/>
    </xf>
    <xf numFmtId="3" fontId="2" fillId="4" borderId="21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" fontId="5" fillId="14" borderId="8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10" fillId="4" borderId="6" xfId="0" applyNumberFormat="1" applyFont="1" applyFill="1" applyBorder="1" applyAlignment="1">
      <alignment horizontal="center" vertical="center" wrapText="1"/>
    </xf>
    <xf numFmtId="1" fontId="5" fillId="4" borderId="4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10" fillId="3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3" fontId="2" fillId="2" borderId="47" xfId="0" applyNumberFormat="1" applyFont="1" applyFill="1" applyBorder="1" applyAlignment="1">
      <alignment vertical="center" wrapText="1"/>
    </xf>
    <xf numFmtId="3" fontId="2" fillId="10" borderId="8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6" fillId="5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/>
    </xf>
    <xf numFmtId="0" fontId="6" fillId="6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3" fontId="6" fillId="2" borderId="13" xfId="0" applyNumberFormat="1" applyFont="1" applyFill="1" applyBorder="1" applyAlignment="1">
      <alignment horizontal="right" vertical="center" wrapText="1"/>
    </xf>
    <xf numFmtId="164" fontId="2" fillId="6" borderId="6" xfId="0" applyNumberFormat="1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 wrapText="1"/>
    </xf>
    <xf numFmtId="1" fontId="5" fillId="4" borderId="43" xfId="0" applyNumberFormat="1" applyFont="1" applyFill="1" applyBorder="1" applyAlignment="1">
      <alignment horizontal="center" vertical="center" wrapText="1"/>
    </xf>
    <xf numFmtId="1" fontId="5" fillId="4" borderId="17" xfId="0" applyNumberFormat="1" applyFont="1" applyFill="1" applyBorder="1" applyAlignment="1">
      <alignment horizontal="center" vertical="center" wrapText="1"/>
    </xf>
    <xf numFmtId="3" fontId="10" fillId="4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164" fontId="2" fillId="9" borderId="13" xfId="0" applyNumberFormat="1" applyFont="1" applyFill="1" applyBorder="1" applyAlignment="1">
      <alignment horizontal="center" vertical="center" wrapText="1"/>
    </xf>
    <xf numFmtId="3" fontId="2" fillId="9" borderId="1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0" fillId="9" borderId="1" xfId="0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7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3" fontId="10" fillId="5" borderId="5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2" borderId="1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6" borderId="13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6" fillId="6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9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5" borderId="6" xfId="0" applyFill="1" applyBorder="1" applyAlignment="1">
      <alignment horizontal="right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4" fontId="2" fillId="2" borderId="42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/>
    </xf>
    <xf numFmtId="3" fontId="2" fillId="5" borderId="18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3" fontId="10" fillId="6" borderId="1" xfId="0" applyNumberFormat="1" applyFont="1" applyFill="1" applyBorder="1" applyAlignment="1">
      <alignment horizontal="right" vertical="center" wrapText="1"/>
    </xf>
    <xf numFmtId="3" fontId="5" fillId="3" borderId="8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/>
    </xf>
    <xf numFmtId="0" fontId="6" fillId="10" borderId="1" xfId="0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 wrapText="1"/>
    </xf>
    <xf numFmtId="3" fontId="2" fillId="10" borderId="9" xfId="0" applyNumberFormat="1" applyFont="1" applyFill="1" applyBorder="1" applyAlignment="1">
      <alignment horizontal="center" vertical="center" wrapText="1"/>
    </xf>
    <xf numFmtId="3" fontId="6" fillId="10" borderId="6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14" fillId="4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3" borderId="66" xfId="0" applyNumberFormat="1" applyFont="1" applyFill="1" applyBorder="1" applyAlignment="1">
      <alignment horizontal="center" vertical="center" wrapText="1"/>
    </xf>
    <xf numFmtId="164" fontId="2" fillId="4" borderId="66" xfId="0" applyNumberFormat="1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4" fontId="2" fillId="9" borderId="52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21" borderId="1" xfId="0" applyNumberFormat="1" applyFont="1" applyFill="1" applyBorder="1" applyAlignment="1">
      <alignment horizontal="center" vertical="center" wrapText="1"/>
    </xf>
    <xf numFmtId="3" fontId="2" fillId="21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center" vertical="center" wrapText="1"/>
    </xf>
    <xf numFmtId="164" fontId="2" fillId="15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3" fontId="2" fillId="13" borderId="6" xfId="0" applyNumberFormat="1" applyFont="1" applyFill="1" applyBorder="1" applyAlignment="1">
      <alignment horizontal="center" vertical="center" wrapText="1"/>
    </xf>
    <xf numFmtId="164" fontId="2" fillId="14" borderId="5" xfId="0" applyNumberFormat="1" applyFont="1" applyFill="1" applyBorder="1" applyAlignment="1">
      <alignment horizontal="center" vertical="center" wrapText="1"/>
    </xf>
    <xf numFmtId="164" fontId="2" fillId="15" borderId="5" xfId="0" applyNumberFormat="1" applyFont="1" applyFill="1" applyBorder="1" applyAlignment="1">
      <alignment horizontal="center" vertical="center" wrapText="1"/>
    </xf>
    <xf numFmtId="3" fontId="2" fillId="22" borderId="6" xfId="0" applyNumberFormat="1" applyFont="1" applyFill="1" applyBorder="1" applyAlignment="1">
      <alignment horizontal="center" vertical="center" wrapText="1"/>
    </xf>
    <xf numFmtId="3" fontId="2" fillId="22" borderId="1" xfId="0" applyNumberFormat="1" applyFont="1" applyFill="1" applyBorder="1" applyAlignment="1">
      <alignment horizontal="center" vertical="center" wrapText="1"/>
    </xf>
    <xf numFmtId="164" fontId="2" fillId="22" borderId="1" xfId="0" applyNumberFormat="1" applyFont="1" applyFill="1" applyBorder="1" applyAlignment="1">
      <alignment horizontal="center" vertical="center" wrapText="1"/>
    </xf>
    <xf numFmtId="164" fontId="2" fillId="22" borderId="5" xfId="0" applyNumberFormat="1" applyFont="1" applyFill="1" applyBorder="1" applyAlignment="1">
      <alignment horizontal="center" vertical="center" wrapText="1"/>
    </xf>
    <xf numFmtId="3" fontId="2" fillId="23" borderId="6" xfId="0" applyNumberFormat="1" applyFont="1" applyFill="1" applyBorder="1" applyAlignment="1">
      <alignment horizontal="center" vertical="center" wrapText="1"/>
    </xf>
    <xf numFmtId="164" fontId="2" fillId="13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9" borderId="31" xfId="0" applyNumberFormat="1" applyFont="1" applyFill="1" applyBorder="1" applyAlignment="1">
      <alignment horizontal="center" vertical="center" wrapText="1"/>
    </xf>
    <xf numFmtId="3" fontId="2" fillId="9" borderId="9" xfId="0" applyNumberFormat="1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3" fontId="14" fillId="5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6" xfId="0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right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6" borderId="5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right" vertical="center"/>
    </xf>
    <xf numFmtId="3" fontId="2" fillId="6" borderId="13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3" fillId="11" borderId="8" xfId="0" applyNumberFormat="1" applyFont="1" applyFill="1" applyBorder="1" applyAlignment="1">
      <alignment horizontal="right" vertical="center" wrapText="1"/>
    </xf>
    <xf numFmtId="3" fontId="3" fillId="11" borderId="47" xfId="0" applyNumberFormat="1" applyFont="1" applyFill="1" applyBorder="1" applyAlignment="1">
      <alignment horizontal="right" vertical="center" wrapText="1"/>
    </xf>
    <xf numFmtId="3" fontId="3" fillId="11" borderId="9" xfId="0" applyNumberFormat="1" applyFont="1" applyFill="1" applyBorder="1" applyAlignment="1">
      <alignment horizontal="right" vertical="center" wrapText="1"/>
    </xf>
    <xf numFmtId="0" fontId="0" fillId="2" borderId="6" xfId="0" applyFill="1" applyBorder="1"/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3" fontId="2" fillId="3" borderId="42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3" fontId="10" fillId="4" borderId="1" xfId="0" applyNumberFormat="1" applyFont="1" applyFill="1" applyBorder="1" applyAlignment="1">
      <alignment horizontal="right" vertical="center" wrapText="1"/>
    </xf>
    <xf numFmtId="3" fontId="2" fillId="3" borderId="8" xfId="0" applyNumberFormat="1" applyFont="1" applyFill="1" applyBorder="1" applyAlignment="1">
      <alignment horizontal="right" vertical="center" wrapText="1"/>
    </xf>
    <xf numFmtId="3" fontId="2" fillId="3" borderId="47" xfId="0" applyNumberFormat="1" applyFont="1" applyFill="1" applyBorder="1" applyAlignment="1">
      <alignment horizontal="right" vertical="center" wrapText="1"/>
    </xf>
    <xf numFmtId="3" fontId="2" fillId="3" borderId="9" xfId="0" applyNumberFormat="1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right" vertical="center" wrapText="1"/>
    </xf>
    <xf numFmtId="3" fontId="2" fillId="2" borderId="17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" fontId="5" fillId="2" borderId="47" xfId="0" applyNumberFormat="1" applyFont="1" applyFill="1" applyBorder="1" applyAlignment="1">
      <alignment horizontal="center" vertical="center" wrapText="1"/>
    </xf>
    <xf numFmtId="3" fontId="10" fillId="2" borderId="19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2" fillId="3" borderId="4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right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right" vertical="center"/>
    </xf>
    <xf numFmtId="3" fontId="2" fillId="5" borderId="1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/>
    </xf>
    <xf numFmtId="3" fontId="14" fillId="6" borderId="6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4" borderId="6" xfId="0" applyNumberFormat="1" applyFont="1" applyFill="1" applyBorder="1" applyAlignment="1">
      <alignment horizontal="center" vertical="center" wrapText="1"/>
    </xf>
    <xf numFmtId="0" fontId="5" fillId="24" borderId="8" xfId="0" applyFont="1" applyFill="1" applyBorder="1" applyAlignment="1">
      <alignment horizontal="center" vertical="center"/>
    </xf>
    <xf numFmtId="0" fontId="6" fillId="24" borderId="5" xfId="0" applyFont="1" applyFill="1" applyBorder="1" applyAlignment="1">
      <alignment vertical="center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5" fillId="2" borderId="4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0" fontId="0" fillId="2" borderId="44" xfId="0" applyFill="1" applyBorder="1"/>
    <xf numFmtId="3" fontId="2" fillId="21" borderId="7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25" borderId="7" xfId="0" applyNumberFormat="1" applyFont="1" applyFill="1" applyBorder="1" applyAlignment="1">
      <alignment horizontal="center" vertical="center" wrapText="1"/>
    </xf>
    <xf numFmtId="3" fontId="2" fillId="26" borderId="7" xfId="0" applyNumberFormat="1" applyFont="1" applyFill="1" applyBorder="1" applyAlignment="1">
      <alignment horizontal="center" vertical="center" wrapText="1"/>
    </xf>
    <xf numFmtId="3" fontId="2" fillId="25" borderId="49" xfId="0" applyNumberFormat="1" applyFont="1" applyFill="1" applyBorder="1" applyAlignment="1">
      <alignment horizontal="center" vertical="center" wrapText="1"/>
    </xf>
    <xf numFmtId="3" fontId="2" fillId="27" borderId="7" xfId="0" applyNumberFormat="1" applyFont="1" applyFill="1" applyBorder="1" applyAlignment="1">
      <alignment horizontal="center" vertical="center" wrapText="1"/>
    </xf>
    <xf numFmtId="3" fontId="2" fillId="27" borderId="49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13" xfId="0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2" fillId="3" borderId="52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5" borderId="8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3" fontId="2" fillId="6" borderId="13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right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2" fillId="9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/>
    </xf>
    <xf numFmtId="0" fontId="10" fillId="2" borderId="13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/>
    </xf>
    <xf numFmtId="0" fontId="2" fillId="6" borderId="6" xfId="0" applyFont="1" applyFill="1" applyBorder="1" applyAlignment="1">
      <alignment horizontal="right" vertical="center"/>
    </xf>
    <xf numFmtId="3" fontId="2" fillId="16" borderId="1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1" fillId="2" borderId="57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0" fillId="9" borderId="49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9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164" fontId="14" fillId="28" borderId="1" xfId="0" applyNumberFormat="1" applyFont="1" applyFill="1" applyBorder="1" applyAlignment="1">
      <alignment horizontal="center" vertical="center" wrapText="1"/>
    </xf>
    <xf numFmtId="3" fontId="14" fillId="28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164" fontId="2" fillId="7" borderId="17" xfId="0" applyNumberFormat="1" applyFont="1" applyFill="1" applyBorder="1" applyAlignment="1">
      <alignment horizontal="center" vertical="center" wrapText="1"/>
    </xf>
    <xf numFmtId="164" fontId="2" fillId="7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0" fillId="0" borderId="42" xfId="0" applyBorder="1" applyAlignment="1">
      <alignment horizontal="center" vertical="center"/>
    </xf>
    <xf numFmtId="3" fontId="2" fillId="2" borderId="67" xfId="0" applyNumberFormat="1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/>
    </xf>
    <xf numFmtId="3" fontId="2" fillId="15" borderId="7" xfId="0" applyNumberFormat="1" applyFont="1" applyFill="1" applyBorder="1" applyAlignment="1">
      <alignment horizontal="center" vertical="center" wrapText="1"/>
    </xf>
    <xf numFmtId="3" fontId="2" fillId="9" borderId="8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24" borderId="6" xfId="0" applyFill="1" applyBorder="1" applyAlignment="1">
      <alignment horizontal="right" vertical="center"/>
    </xf>
    <xf numFmtId="0" fontId="3" fillId="24" borderId="6" xfId="0" applyFont="1" applyFill="1" applyBorder="1" applyAlignment="1">
      <alignment horizontal="center" vertical="center"/>
    </xf>
    <xf numFmtId="164" fontId="2" fillId="24" borderId="6" xfId="0" applyNumberFormat="1" applyFont="1" applyFill="1" applyBorder="1" applyAlignment="1">
      <alignment horizontal="center" vertical="center" wrapText="1"/>
    </xf>
    <xf numFmtId="0" fontId="5" fillId="24" borderId="6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3" fontId="2" fillId="24" borderId="6" xfId="0" applyNumberFormat="1" applyFont="1" applyFill="1" applyBorder="1" applyAlignment="1">
      <alignment horizontal="right" vertical="center" wrapText="1"/>
    </xf>
    <xf numFmtId="0" fontId="0" fillId="24" borderId="1" xfId="0" applyFill="1" applyBorder="1" applyAlignment="1">
      <alignment vertical="center"/>
    </xf>
    <xf numFmtId="0" fontId="2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4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14" fillId="2" borderId="18" xfId="0" applyNumberFormat="1" applyFont="1" applyFill="1" applyBorder="1" applyAlignment="1">
      <alignment horizontal="right" vertical="center" wrapText="1"/>
    </xf>
    <xf numFmtId="3" fontId="14" fillId="2" borderId="0" xfId="0" applyNumberFormat="1" applyFont="1" applyFill="1" applyBorder="1" applyAlignment="1">
      <alignment horizontal="right" vertical="center" wrapText="1"/>
    </xf>
    <xf numFmtId="3" fontId="14" fillId="2" borderId="19" xfId="0" applyNumberFormat="1" applyFont="1" applyFill="1" applyBorder="1" applyAlignment="1">
      <alignment horizontal="right" vertical="center" wrapText="1"/>
    </xf>
    <xf numFmtId="0" fontId="0" fillId="0" borderId="48" xfId="0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3" fillId="2" borderId="16" xfId="0" applyFont="1" applyFill="1" applyBorder="1" applyAlignment="1">
      <alignment horizontal="right" vertical="center"/>
    </xf>
    <xf numFmtId="0" fontId="18" fillId="9" borderId="11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2" fillId="2" borderId="6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horizontal="right" vertical="center"/>
    </xf>
    <xf numFmtId="0" fontId="10" fillId="2" borderId="14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164" fontId="2" fillId="9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center" vertical="center" wrapText="1"/>
    </xf>
    <xf numFmtId="3" fontId="22" fillId="2" borderId="6" xfId="0" applyNumberFormat="1" applyFont="1" applyFill="1" applyBorder="1" applyAlignment="1">
      <alignment horizontal="right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5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0" fillId="18" borderId="36" xfId="0" applyFont="1" applyFill="1" applyBorder="1" applyAlignment="1">
      <alignment horizontal="center" vertical="center"/>
    </xf>
    <xf numFmtId="0" fontId="10" fillId="18" borderId="37" xfId="0" applyFont="1" applyFill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10" fillId="18" borderId="2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2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66" xfId="0" applyNumberFormat="1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/>
    </xf>
    <xf numFmtId="0" fontId="10" fillId="18" borderId="32" xfId="0" applyFont="1" applyFill="1" applyBorder="1" applyAlignment="1">
      <alignment horizontal="center" vertical="center"/>
    </xf>
    <xf numFmtId="0" fontId="10" fillId="18" borderId="38" xfId="0" applyFont="1" applyFill="1" applyBorder="1" applyAlignment="1">
      <alignment horizontal="center" vertical="center"/>
    </xf>
    <xf numFmtId="0" fontId="10" fillId="18" borderId="39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26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5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2" fillId="4" borderId="44" xfId="0" applyNumberFormat="1" applyFont="1" applyFill="1" applyBorder="1" applyAlignment="1">
      <alignment horizontal="center" vertical="center" wrapText="1"/>
    </xf>
    <xf numFmtId="3" fontId="2" fillId="4" borderId="54" xfId="0" applyNumberFormat="1" applyFont="1" applyFill="1" applyBorder="1" applyAlignment="1">
      <alignment horizontal="center" vertical="center" wrapText="1"/>
    </xf>
    <xf numFmtId="3" fontId="2" fillId="4" borderId="45" xfId="0" applyNumberFormat="1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24" borderId="5" xfId="0" applyFill="1" applyBorder="1" applyAlignment="1">
      <alignment horizontal="right" vertical="center"/>
    </xf>
    <xf numFmtId="0" fontId="0" fillId="24" borderId="6" xfId="0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right" vertical="center"/>
    </xf>
    <xf numFmtId="0" fontId="3" fillId="2" borderId="42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43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>
      <alignment horizontal="center" vertical="center" wrapText="1"/>
    </xf>
    <xf numFmtId="0" fontId="0" fillId="18" borderId="5" xfId="0" applyFill="1" applyBorder="1" applyAlignment="1">
      <alignment horizontal="right" vertical="center"/>
    </xf>
    <xf numFmtId="0" fontId="0" fillId="18" borderId="6" xfId="0" applyFill="1" applyBorder="1" applyAlignment="1">
      <alignment horizontal="right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18" borderId="13" xfId="0" applyFill="1" applyBorder="1" applyAlignment="1">
      <alignment horizontal="right" vertical="center"/>
    </xf>
    <xf numFmtId="0" fontId="6" fillId="18" borderId="13" xfId="0" applyFont="1" applyFill="1" applyBorder="1" applyAlignment="1">
      <alignment horizontal="center" vertical="center"/>
    </xf>
    <xf numFmtId="3" fontId="2" fillId="18" borderId="14" xfId="0" applyNumberFormat="1" applyFont="1" applyFill="1" applyBorder="1" applyAlignment="1">
      <alignment horizontal="center" vertical="center" wrapText="1"/>
    </xf>
    <xf numFmtId="3" fontId="2" fillId="18" borderId="42" xfId="0" applyNumberFormat="1" applyFont="1" applyFill="1" applyBorder="1" applyAlignment="1">
      <alignment horizontal="center" vertical="center" wrapText="1"/>
    </xf>
    <xf numFmtId="3" fontId="2" fillId="18" borderId="15" xfId="0" applyNumberFormat="1" applyFont="1" applyFill="1" applyBorder="1" applyAlignment="1">
      <alignment horizontal="center" vertical="center" wrapText="1"/>
    </xf>
    <xf numFmtId="3" fontId="3" fillId="18" borderId="14" xfId="0" applyNumberFormat="1" applyFont="1" applyFill="1" applyBorder="1" applyAlignment="1">
      <alignment horizontal="center" vertical="center" wrapText="1"/>
    </xf>
    <xf numFmtId="3" fontId="3" fillId="18" borderId="42" xfId="0" applyNumberFormat="1" applyFont="1" applyFill="1" applyBorder="1" applyAlignment="1">
      <alignment horizontal="center" vertical="center" wrapText="1"/>
    </xf>
    <xf numFmtId="3" fontId="3" fillId="18" borderId="15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3" fontId="2" fillId="4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right" vertical="center"/>
    </xf>
    <xf numFmtId="0" fontId="0" fillId="19" borderId="13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right" vertical="center" wrapText="1"/>
    </xf>
    <xf numFmtId="3" fontId="2" fillId="2" borderId="17" xfId="0" applyNumberFormat="1" applyFont="1" applyFill="1" applyBorder="1" applyAlignment="1">
      <alignment horizontal="right" vertical="center" wrapText="1"/>
    </xf>
    <xf numFmtId="3" fontId="2" fillId="2" borderId="18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9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right" vertical="center" wrapText="1"/>
    </xf>
    <xf numFmtId="3" fontId="2" fillId="5" borderId="42" xfId="0" applyNumberFormat="1" applyFont="1" applyFill="1" applyBorder="1" applyAlignment="1">
      <alignment horizontal="right" vertical="center" wrapText="1"/>
    </xf>
    <xf numFmtId="3" fontId="2" fillId="5" borderId="15" xfId="0" applyNumberFormat="1" applyFont="1" applyFill="1" applyBorder="1" applyAlignment="1">
      <alignment horizontal="right" vertical="center" wrapText="1"/>
    </xf>
    <xf numFmtId="3" fontId="2" fillId="22" borderId="14" xfId="0" applyNumberFormat="1" applyFont="1" applyFill="1" applyBorder="1" applyAlignment="1">
      <alignment horizontal="center" vertical="center" wrapText="1"/>
    </xf>
    <xf numFmtId="3" fontId="2" fillId="22" borderId="15" xfId="0" applyNumberFormat="1" applyFont="1" applyFill="1" applyBorder="1" applyAlignment="1">
      <alignment horizontal="center" vertical="center" wrapText="1"/>
    </xf>
    <xf numFmtId="164" fontId="2" fillId="17" borderId="5" xfId="0" applyNumberFormat="1" applyFont="1" applyFill="1" applyBorder="1" applyAlignment="1">
      <alignment horizontal="center" vertical="center" wrapText="1"/>
    </xf>
    <xf numFmtId="164" fontId="2" fillId="17" borderId="6" xfId="0" applyNumberFormat="1" applyFont="1" applyFill="1" applyBorder="1" applyAlignment="1">
      <alignment horizontal="center" vertical="center" wrapText="1"/>
    </xf>
    <xf numFmtId="3" fontId="2" fillId="17" borderId="5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3" fontId="14" fillId="4" borderId="14" xfId="0" applyNumberFormat="1" applyFont="1" applyFill="1" applyBorder="1" applyAlignment="1">
      <alignment horizontal="right" vertical="center" wrapText="1"/>
    </xf>
    <xf numFmtId="3" fontId="14" fillId="4" borderId="42" xfId="0" applyNumberFormat="1" applyFont="1" applyFill="1" applyBorder="1" applyAlignment="1">
      <alignment horizontal="right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5" borderId="1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43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3" fontId="3" fillId="11" borderId="14" xfId="0" applyNumberFormat="1" applyFont="1" applyFill="1" applyBorder="1" applyAlignment="1">
      <alignment horizontal="center" vertical="center" wrapText="1"/>
    </xf>
    <xf numFmtId="3" fontId="3" fillId="11" borderId="42" xfId="0" applyNumberFormat="1" applyFont="1" applyFill="1" applyBorder="1" applyAlignment="1">
      <alignment horizontal="center" vertical="center" wrapText="1"/>
    </xf>
    <xf numFmtId="3" fontId="3" fillId="11" borderId="15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center" vertical="center" wrapText="1"/>
    </xf>
    <xf numFmtId="3" fontId="2" fillId="9" borderId="42" xfId="0" applyNumberFormat="1" applyFont="1" applyFill="1" applyBorder="1" applyAlignment="1">
      <alignment horizontal="center" vertical="center" wrapText="1"/>
    </xf>
    <xf numFmtId="3" fontId="2" fillId="5" borderId="8" xfId="0" applyNumberFormat="1" applyFont="1" applyFill="1" applyBorder="1" applyAlignment="1">
      <alignment horizontal="right" vertical="center" wrapText="1"/>
    </xf>
    <xf numFmtId="3" fontId="2" fillId="5" borderId="47" xfId="0" applyNumberFormat="1" applyFont="1" applyFill="1" applyBorder="1" applyAlignment="1">
      <alignment horizontal="right" vertical="center" wrapText="1"/>
    </xf>
    <xf numFmtId="3" fontId="2" fillId="5" borderId="9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10" borderId="16" xfId="0" applyNumberFormat="1" applyFont="1" applyFill="1" applyBorder="1" applyAlignment="1">
      <alignment horizontal="center" vertical="center" wrapText="1"/>
    </xf>
    <xf numFmtId="3" fontId="5" fillId="10" borderId="43" xfId="0" applyNumberFormat="1" applyFont="1" applyFill="1" applyBorder="1" applyAlignment="1">
      <alignment horizontal="center" vertical="center" wrapText="1"/>
    </xf>
    <xf numFmtId="3" fontId="5" fillId="10" borderId="17" xfId="0" applyNumberFormat="1" applyFont="1" applyFill="1" applyBorder="1" applyAlignment="1">
      <alignment horizontal="center" vertical="center" wrapText="1"/>
    </xf>
    <xf numFmtId="3" fontId="5" fillId="10" borderId="8" xfId="0" applyNumberFormat="1" applyFont="1" applyFill="1" applyBorder="1" applyAlignment="1">
      <alignment horizontal="center" vertical="center" wrapText="1"/>
    </xf>
    <xf numFmtId="3" fontId="5" fillId="10" borderId="47" xfId="0" applyNumberFormat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64" fontId="2" fillId="18" borderId="16" xfId="0" applyNumberFormat="1" applyFont="1" applyFill="1" applyBorder="1" applyAlignment="1">
      <alignment horizontal="center" vertical="center" wrapText="1"/>
    </xf>
    <xf numFmtId="164" fontId="2" fillId="18" borderId="18" xfId="0" applyNumberFormat="1" applyFont="1" applyFill="1" applyBorder="1" applyAlignment="1">
      <alignment horizontal="center" vertical="center" wrapText="1"/>
    </xf>
    <xf numFmtId="164" fontId="2" fillId="18" borderId="8" xfId="0" applyNumberFormat="1" applyFont="1" applyFill="1" applyBorder="1" applyAlignment="1">
      <alignment horizontal="center" vertical="center" wrapText="1"/>
    </xf>
    <xf numFmtId="3" fontId="2" fillId="18" borderId="1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/>
    </xf>
    <xf numFmtId="0" fontId="6" fillId="0" borderId="42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3" fontId="2" fillId="18" borderId="5" xfId="0" applyNumberFormat="1" applyFont="1" applyFill="1" applyBorder="1" applyAlignment="1">
      <alignment horizontal="center" vertical="center" wrapText="1"/>
    </xf>
    <xf numFmtId="3" fontId="2" fillId="18" borderId="13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49" fontId="5" fillId="2" borderId="1" xfId="0" applyNumberFormat="1" applyFont="1" applyFill="1" applyBorder="1" applyAlignment="1">
      <alignment horizontal="right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right" vertical="center" wrapText="1"/>
    </xf>
    <xf numFmtId="49" fontId="5" fillId="2" borderId="42" xfId="0" applyNumberFormat="1" applyFont="1" applyFill="1" applyBorder="1" applyAlignment="1">
      <alignment horizontal="right" vertical="center" wrapText="1"/>
    </xf>
    <xf numFmtId="49" fontId="5" fillId="2" borderId="15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14" fillId="2" borderId="16" xfId="0" applyNumberFormat="1" applyFont="1" applyFill="1" applyBorder="1" applyAlignment="1">
      <alignment horizontal="center" vertical="center" wrapText="1"/>
    </xf>
    <xf numFmtId="3" fontId="14" fillId="2" borderId="43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/>
    </xf>
    <xf numFmtId="3" fontId="14" fillId="2" borderId="47" xfId="0" applyNumberFormat="1" applyFont="1" applyFill="1" applyBorder="1" applyAlignment="1">
      <alignment horizontal="center" vertical="center" wrapText="1"/>
    </xf>
    <xf numFmtId="3" fontId="14" fillId="2" borderId="9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/>
    </xf>
    <xf numFmtId="0" fontId="5" fillId="2" borderId="43" xfId="0" applyFont="1" applyFill="1" applyBorder="1" applyAlignment="1">
      <alignment horizontal="right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47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3" fontId="3" fillId="11" borderId="14" xfId="0" applyNumberFormat="1" applyFont="1" applyFill="1" applyBorder="1" applyAlignment="1">
      <alignment horizontal="right" vertical="center" wrapText="1"/>
    </xf>
    <xf numFmtId="3" fontId="3" fillId="11" borderId="42" xfId="0" applyNumberFormat="1" applyFont="1" applyFill="1" applyBorder="1" applyAlignment="1">
      <alignment horizontal="right" vertical="center" wrapText="1"/>
    </xf>
    <xf numFmtId="3" fontId="3" fillId="11" borderId="15" xfId="0" applyNumberFormat="1" applyFont="1" applyFill="1" applyBorder="1" applyAlignment="1">
      <alignment horizontal="right" vertical="center" wrapText="1"/>
    </xf>
    <xf numFmtId="3" fontId="5" fillId="2" borderId="14" xfId="0" applyNumberFormat="1" applyFont="1" applyFill="1" applyBorder="1" applyAlignment="1">
      <alignment horizontal="right" vertical="center" wrapText="1"/>
    </xf>
    <xf numFmtId="3" fontId="5" fillId="2" borderId="42" xfId="0" applyNumberFormat="1" applyFont="1" applyFill="1" applyBorder="1" applyAlignment="1">
      <alignment horizontal="right" vertical="center" wrapText="1"/>
    </xf>
    <xf numFmtId="3" fontId="5" fillId="2" borderId="15" xfId="0" applyNumberFormat="1" applyFont="1" applyFill="1" applyBorder="1" applyAlignment="1">
      <alignment horizontal="right" vertical="center" wrapText="1"/>
    </xf>
    <xf numFmtId="1" fontId="5" fillId="2" borderId="14" xfId="0" applyNumberFormat="1" applyFont="1" applyFill="1" applyBorder="1" applyAlignment="1">
      <alignment horizontal="right" vertical="center" wrapText="1"/>
    </xf>
    <xf numFmtId="1" fontId="5" fillId="2" borderId="42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right" vertical="center" wrapText="1"/>
    </xf>
    <xf numFmtId="3" fontId="2" fillId="5" borderId="16" xfId="0" applyNumberFormat="1" applyFont="1" applyFill="1" applyBorder="1" applyAlignment="1">
      <alignment horizontal="center" vertical="center" wrapText="1"/>
    </xf>
    <xf numFmtId="3" fontId="2" fillId="5" borderId="17" xfId="0" applyNumberFormat="1" applyFont="1" applyFill="1" applyBorder="1" applyAlignment="1">
      <alignment horizontal="center" vertical="center" wrapText="1"/>
    </xf>
    <xf numFmtId="3" fontId="2" fillId="5" borderId="8" xfId="0" applyNumberFormat="1" applyFont="1" applyFill="1" applyBorder="1" applyAlignment="1">
      <alignment horizontal="center" vertical="center" wrapText="1"/>
    </xf>
    <xf numFmtId="3" fontId="2" fillId="5" borderId="9" xfId="0" applyNumberFormat="1" applyFont="1" applyFill="1" applyBorder="1" applyAlignment="1">
      <alignment horizontal="center" vertical="center" wrapText="1"/>
    </xf>
    <xf numFmtId="3" fontId="2" fillId="9" borderId="15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right" vertical="center" wrapText="1"/>
    </xf>
    <xf numFmtId="49" fontId="3" fillId="2" borderId="42" xfId="0" applyNumberFormat="1" applyFont="1" applyFill="1" applyBorder="1" applyAlignment="1">
      <alignment horizontal="right" vertical="center" wrapText="1"/>
    </xf>
    <xf numFmtId="49" fontId="3" fillId="2" borderId="15" xfId="0" applyNumberFormat="1" applyFont="1" applyFill="1" applyBorder="1" applyAlignment="1">
      <alignment horizontal="right" vertical="center" wrapText="1"/>
    </xf>
    <xf numFmtId="3" fontId="5" fillId="2" borderId="16" xfId="0" applyNumberFormat="1" applyFont="1" applyFill="1" applyBorder="1" applyAlignment="1">
      <alignment horizontal="right" vertical="center" wrapText="1"/>
    </xf>
    <xf numFmtId="3" fontId="5" fillId="2" borderId="43" xfId="0" applyNumberFormat="1" applyFont="1" applyFill="1" applyBorder="1" applyAlignment="1">
      <alignment horizontal="right" vertical="center" wrapText="1"/>
    </xf>
    <xf numFmtId="3" fontId="5" fillId="2" borderId="17" xfId="0" applyNumberFormat="1" applyFont="1" applyFill="1" applyBorder="1" applyAlignment="1">
      <alignment horizontal="right" vertical="center" wrapText="1"/>
    </xf>
    <xf numFmtId="3" fontId="5" fillId="2" borderId="8" xfId="0" applyNumberFormat="1" applyFont="1" applyFill="1" applyBorder="1" applyAlignment="1">
      <alignment horizontal="right" vertical="center" wrapText="1"/>
    </xf>
    <xf numFmtId="3" fontId="5" fillId="2" borderId="47" xfId="0" applyNumberFormat="1" applyFont="1" applyFill="1" applyBorder="1" applyAlignment="1">
      <alignment horizontal="right" vertical="center" wrapText="1"/>
    </xf>
    <xf numFmtId="3" fontId="5" fillId="2" borderId="9" xfId="0" applyNumberFormat="1" applyFont="1" applyFill="1" applyBorder="1" applyAlignment="1">
      <alignment horizontal="right" vertical="center" wrapText="1"/>
    </xf>
    <xf numFmtId="3" fontId="2" fillId="13" borderId="14" xfId="0" applyNumberFormat="1" applyFont="1" applyFill="1" applyBorder="1" applyAlignment="1">
      <alignment horizontal="center" vertical="center" wrapText="1"/>
    </xf>
    <xf numFmtId="3" fontId="2" fillId="13" borderId="15" xfId="0" applyNumberFormat="1" applyFont="1" applyFill="1" applyBorder="1" applyAlignment="1">
      <alignment horizontal="center" vertical="center" wrapText="1"/>
    </xf>
    <xf numFmtId="1" fontId="6" fillId="2" borderId="16" xfId="0" applyNumberFormat="1" applyFont="1" applyFill="1" applyBorder="1" applyAlignment="1">
      <alignment horizontal="right" vertical="center" wrapText="1"/>
    </xf>
    <xf numFmtId="1" fontId="6" fillId="2" borderId="43" xfId="0" applyNumberFormat="1" applyFont="1" applyFill="1" applyBorder="1" applyAlignment="1">
      <alignment horizontal="right" vertical="center" wrapText="1"/>
    </xf>
    <xf numFmtId="1" fontId="6" fillId="2" borderId="17" xfId="0" applyNumberFormat="1" applyFont="1" applyFill="1" applyBorder="1" applyAlignment="1">
      <alignment horizontal="right" vertical="center" wrapText="1"/>
    </xf>
    <xf numFmtId="1" fontId="6" fillId="2" borderId="8" xfId="0" applyNumberFormat="1" applyFont="1" applyFill="1" applyBorder="1" applyAlignment="1">
      <alignment horizontal="right" vertical="center" wrapText="1"/>
    </xf>
    <xf numFmtId="1" fontId="6" fillId="2" borderId="47" xfId="0" applyNumberFormat="1" applyFont="1" applyFill="1" applyBorder="1" applyAlignment="1">
      <alignment horizontal="right" vertical="center" wrapText="1"/>
    </xf>
    <xf numFmtId="1" fontId="6" fillId="2" borderId="9" xfId="0" applyNumberFormat="1" applyFont="1" applyFill="1" applyBorder="1" applyAlignment="1">
      <alignment horizontal="right" vertical="center" wrapText="1"/>
    </xf>
    <xf numFmtId="3" fontId="14" fillId="2" borderId="14" xfId="0" applyNumberFormat="1" applyFont="1" applyFill="1" applyBorder="1" applyAlignment="1">
      <alignment horizontal="right" vertical="center" wrapText="1"/>
    </xf>
    <xf numFmtId="3" fontId="14" fillId="2" borderId="42" xfId="0" applyNumberFormat="1" applyFont="1" applyFill="1" applyBorder="1" applyAlignment="1">
      <alignment horizontal="right" vertical="center" wrapText="1"/>
    </xf>
    <xf numFmtId="3" fontId="14" fillId="2" borderId="15" xfId="0" applyNumberFormat="1" applyFont="1" applyFill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2" fillId="6" borderId="5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10" fillId="6" borderId="5" xfId="0" applyNumberFormat="1" applyFont="1" applyFill="1" applyBorder="1" applyAlignment="1">
      <alignment horizontal="center" vertical="center" wrapText="1"/>
    </xf>
    <xf numFmtId="3" fontId="10" fillId="6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3" fontId="2" fillId="7" borderId="14" xfId="0" applyNumberFormat="1" applyFont="1" applyFill="1" applyBorder="1" applyAlignment="1">
      <alignment horizontal="right" vertical="center" wrapText="1"/>
    </xf>
    <xf numFmtId="3" fontId="2" fillId="7" borderId="42" xfId="0" applyNumberFormat="1" applyFont="1" applyFill="1" applyBorder="1" applyAlignment="1">
      <alignment horizontal="right" vertical="center" wrapText="1"/>
    </xf>
    <xf numFmtId="3" fontId="2" fillId="7" borderId="15" xfId="0" applyNumberFormat="1" applyFont="1" applyFill="1" applyBorder="1" applyAlignment="1">
      <alignment horizontal="right" vertical="center" wrapText="1"/>
    </xf>
    <xf numFmtId="1" fontId="5" fillId="5" borderId="14" xfId="0" applyNumberFormat="1" applyFont="1" applyFill="1" applyBorder="1" applyAlignment="1">
      <alignment horizontal="right" vertical="center" wrapText="1"/>
    </xf>
    <xf numFmtId="1" fontId="5" fillId="5" borderId="42" xfId="0" applyNumberFormat="1" applyFont="1" applyFill="1" applyBorder="1" applyAlignment="1">
      <alignment horizontal="right" vertical="center" wrapText="1"/>
    </xf>
    <xf numFmtId="1" fontId="5" fillId="5" borderId="15" xfId="0" applyNumberFormat="1" applyFont="1" applyFill="1" applyBorder="1" applyAlignment="1">
      <alignment horizontal="right" vertical="center" wrapText="1"/>
    </xf>
    <xf numFmtId="0" fontId="0" fillId="6" borderId="5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center" vertical="center" wrapText="1"/>
    </xf>
    <xf numFmtId="1" fontId="5" fillId="9" borderId="14" xfId="0" applyNumberFormat="1" applyFont="1" applyFill="1" applyBorder="1" applyAlignment="1">
      <alignment horizontal="right" vertical="center" wrapText="1"/>
    </xf>
    <xf numFmtId="1" fontId="5" fillId="9" borderId="42" xfId="0" applyNumberFormat="1" applyFont="1" applyFill="1" applyBorder="1" applyAlignment="1">
      <alignment horizontal="right" vertical="center" wrapText="1"/>
    </xf>
    <xf numFmtId="1" fontId="5" fillId="9" borderId="15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3" fontId="2" fillId="13" borderId="14" xfId="0" applyNumberFormat="1" applyFont="1" applyFill="1" applyBorder="1" applyAlignment="1">
      <alignment horizontal="right" vertical="center" wrapText="1"/>
    </xf>
    <xf numFmtId="3" fontId="2" fillId="13" borderId="42" xfId="0" applyNumberFormat="1" applyFont="1" applyFill="1" applyBorder="1" applyAlignment="1">
      <alignment horizontal="right" vertical="center" wrapText="1"/>
    </xf>
    <xf numFmtId="3" fontId="2" fillId="13" borderId="15" xfId="0" applyNumberFormat="1" applyFont="1" applyFill="1" applyBorder="1" applyAlignment="1">
      <alignment horizontal="right" vertical="center" wrapText="1"/>
    </xf>
    <xf numFmtId="3" fontId="2" fillId="2" borderId="13" xfId="0" applyNumberFormat="1" applyFont="1" applyFill="1" applyBorder="1" applyAlignment="1">
      <alignment horizontal="right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 wrapText="1"/>
    </xf>
    <xf numFmtId="3" fontId="2" fillId="6" borderId="42" xfId="0" applyNumberFormat="1" applyFont="1" applyFill="1" applyBorder="1" applyAlignment="1">
      <alignment horizontal="center" vertical="center" wrapText="1"/>
    </xf>
    <xf numFmtId="3" fontId="2" fillId="6" borderId="1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13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3" fontId="2" fillId="6" borderId="16" xfId="0" applyNumberFormat="1" applyFont="1" applyFill="1" applyBorder="1" applyAlignment="1">
      <alignment horizontal="center" vertical="center" wrapText="1"/>
    </xf>
    <xf numFmtId="3" fontId="2" fillId="6" borderId="43" xfId="0" applyNumberFormat="1" applyFont="1" applyFill="1" applyBorder="1" applyAlignment="1">
      <alignment horizontal="center" vertical="center" wrapText="1"/>
    </xf>
    <xf numFmtId="3" fontId="2" fillId="6" borderId="17" xfId="0" applyNumberFormat="1" applyFont="1" applyFill="1" applyBorder="1" applyAlignment="1">
      <alignment horizontal="center" vertical="center" wrapText="1"/>
    </xf>
    <xf numFmtId="3" fontId="2" fillId="6" borderId="18" xfId="0" applyNumberFormat="1" applyFont="1" applyFill="1" applyBorder="1" applyAlignment="1">
      <alignment horizontal="center" vertical="center" wrapText="1"/>
    </xf>
    <xf numFmtId="3" fontId="2" fillId="6" borderId="0" xfId="0" applyNumberFormat="1" applyFont="1" applyFill="1" applyBorder="1" applyAlignment="1">
      <alignment horizontal="center" vertical="center" wrapText="1"/>
    </xf>
    <xf numFmtId="3" fontId="2" fillId="6" borderId="19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6" borderId="47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right" vertical="center"/>
    </xf>
    <xf numFmtId="0" fontId="0" fillId="6" borderId="13" xfId="0" applyFont="1" applyFill="1" applyBorder="1" applyAlignment="1">
      <alignment horizontal="right" vertical="center"/>
    </xf>
    <xf numFmtId="0" fontId="0" fillId="6" borderId="6" xfId="0" applyFont="1" applyFill="1" applyBorder="1" applyAlignment="1">
      <alignment horizontal="right" vertical="center"/>
    </xf>
    <xf numFmtId="164" fontId="2" fillId="2" borderId="42" xfId="0" applyNumberFormat="1" applyFont="1" applyFill="1" applyBorder="1" applyAlignment="1">
      <alignment horizontal="center" vertical="center" wrapText="1"/>
    </xf>
    <xf numFmtId="3" fontId="2" fillId="6" borderId="13" xfId="0" applyNumberFormat="1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right" vertical="center" wrapText="1"/>
    </xf>
    <xf numFmtId="1" fontId="2" fillId="2" borderId="42" xfId="0" applyNumberFormat="1" applyFont="1" applyFill="1" applyBorder="1" applyAlignment="1">
      <alignment horizontal="right" vertical="center" wrapText="1"/>
    </xf>
    <xf numFmtId="1" fontId="2" fillId="2" borderId="15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3" fontId="5" fillId="2" borderId="42" xfId="0" applyNumberFormat="1" applyFont="1" applyFill="1" applyBorder="1" applyAlignment="1">
      <alignment horizontal="center" vertical="center" wrapText="1"/>
    </xf>
    <xf numFmtId="3" fontId="5" fillId="2" borderId="1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right" vertical="center"/>
    </xf>
    <xf numFmtId="0" fontId="0" fillId="6" borderId="13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right" vertical="center"/>
    </xf>
    <xf numFmtId="3" fontId="2" fillId="5" borderId="16" xfId="0" applyNumberFormat="1" applyFont="1" applyFill="1" applyBorder="1" applyAlignment="1">
      <alignment horizontal="right" vertical="center" wrapText="1"/>
    </xf>
    <xf numFmtId="3" fontId="2" fillId="5" borderId="43" xfId="0" applyNumberFormat="1" applyFont="1" applyFill="1" applyBorder="1" applyAlignment="1">
      <alignment horizontal="right" vertical="center" wrapText="1"/>
    </xf>
    <xf numFmtId="3" fontId="2" fillId="5" borderId="17" xfId="0" applyNumberFormat="1" applyFont="1" applyFill="1" applyBorder="1" applyAlignment="1">
      <alignment horizontal="right" vertical="center" wrapText="1"/>
    </xf>
    <xf numFmtId="3" fontId="2" fillId="5" borderId="18" xfId="0" applyNumberFormat="1" applyFont="1" applyFill="1" applyBorder="1" applyAlignment="1">
      <alignment horizontal="right" vertical="center" wrapText="1"/>
    </xf>
    <xf numFmtId="3" fontId="2" fillId="5" borderId="0" xfId="0" applyNumberFormat="1" applyFont="1" applyFill="1" applyBorder="1" applyAlignment="1">
      <alignment horizontal="right" vertical="center" wrapText="1"/>
    </xf>
    <xf numFmtId="3" fontId="2" fillId="5" borderId="19" xfId="0" applyNumberFormat="1" applyFont="1" applyFill="1" applyBorder="1" applyAlignment="1">
      <alignment horizontal="right" vertical="center" wrapText="1"/>
    </xf>
    <xf numFmtId="3" fontId="10" fillId="14" borderId="5" xfId="0" applyNumberFormat="1" applyFont="1" applyFill="1" applyBorder="1" applyAlignment="1">
      <alignment horizontal="center" vertical="center" wrapText="1"/>
    </xf>
    <xf numFmtId="3" fontId="10" fillId="14" borderId="13" xfId="0" applyNumberFormat="1" applyFont="1" applyFill="1" applyBorder="1" applyAlignment="1">
      <alignment horizontal="center" vertical="center" wrapText="1"/>
    </xf>
    <xf numFmtId="3" fontId="10" fillId="14" borderId="6" xfId="0" applyNumberFormat="1" applyFont="1" applyFill="1" applyBorder="1" applyAlignment="1">
      <alignment horizontal="center" vertical="center" wrapText="1"/>
    </xf>
    <xf numFmtId="3" fontId="10" fillId="21" borderId="5" xfId="0" applyNumberFormat="1" applyFont="1" applyFill="1" applyBorder="1" applyAlignment="1">
      <alignment horizontal="center" vertical="center" wrapText="1"/>
    </xf>
    <xf numFmtId="3" fontId="10" fillId="21" borderId="13" xfId="0" applyNumberFormat="1" applyFont="1" applyFill="1" applyBorder="1" applyAlignment="1">
      <alignment horizontal="center" vertical="center" wrapText="1"/>
    </xf>
    <xf numFmtId="3" fontId="10" fillId="21" borderId="6" xfId="0" applyNumberFormat="1" applyFont="1" applyFill="1" applyBorder="1" applyAlignment="1">
      <alignment horizontal="center" vertical="center" wrapText="1"/>
    </xf>
    <xf numFmtId="3" fontId="2" fillId="14" borderId="14" xfId="0" applyNumberFormat="1" applyFont="1" applyFill="1" applyBorder="1" applyAlignment="1">
      <alignment horizontal="right" vertical="center" wrapText="1"/>
    </xf>
    <xf numFmtId="3" fontId="2" fillId="14" borderId="42" xfId="0" applyNumberFormat="1" applyFont="1" applyFill="1" applyBorder="1" applyAlignment="1">
      <alignment horizontal="right" vertical="center" wrapText="1"/>
    </xf>
    <xf numFmtId="3" fontId="2" fillId="14" borderId="15" xfId="0" applyNumberFormat="1" applyFont="1" applyFill="1" applyBorder="1" applyAlignment="1">
      <alignment horizontal="right" vertical="center" wrapText="1"/>
    </xf>
    <xf numFmtId="3" fontId="2" fillId="15" borderId="14" xfId="0" applyNumberFormat="1" applyFont="1" applyFill="1" applyBorder="1" applyAlignment="1">
      <alignment horizontal="right" vertical="center" wrapText="1"/>
    </xf>
    <xf numFmtId="3" fontId="2" fillId="15" borderId="42" xfId="0" applyNumberFormat="1" applyFont="1" applyFill="1" applyBorder="1" applyAlignment="1">
      <alignment horizontal="right" vertical="center" wrapText="1"/>
    </xf>
    <xf numFmtId="3" fontId="2" fillId="15" borderId="15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42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vertical="center" wrapText="1"/>
    </xf>
    <xf numFmtId="3" fontId="3" fillId="2" borderId="14" xfId="0" applyNumberFormat="1" applyFont="1" applyFill="1" applyBorder="1" applyAlignment="1">
      <alignment horizontal="right" vertical="center" wrapText="1"/>
    </xf>
    <xf numFmtId="3" fontId="3" fillId="2" borderId="42" xfId="0" applyNumberFormat="1" applyFont="1" applyFill="1" applyBorder="1" applyAlignment="1">
      <alignment horizontal="right" vertical="center" wrapText="1"/>
    </xf>
    <xf numFmtId="3" fontId="3" fillId="2" borderId="15" xfId="0" applyNumberFormat="1" applyFont="1" applyFill="1" applyBorder="1" applyAlignment="1">
      <alignment horizontal="right" vertical="center" wrapText="1"/>
    </xf>
    <xf numFmtId="3" fontId="14" fillId="2" borderId="13" xfId="0" applyNumberFormat="1" applyFont="1" applyFill="1" applyBorder="1" applyAlignment="1">
      <alignment horizontal="center" vertical="center" wrapText="1"/>
    </xf>
    <xf numFmtId="3" fontId="14" fillId="2" borderId="14" xfId="0" applyNumberFormat="1" applyFont="1" applyFill="1" applyBorder="1" applyAlignment="1">
      <alignment horizontal="center" vertical="center" wrapText="1"/>
    </xf>
    <xf numFmtId="3" fontId="14" fillId="2" borderId="42" xfId="0" applyNumberFormat="1" applyFont="1" applyFill="1" applyBorder="1" applyAlignment="1">
      <alignment horizontal="center" vertical="center" wrapText="1"/>
    </xf>
    <xf numFmtId="3" fontId="14" fillId="2" borderId="15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3" fontId="6" fillId="2" borderId="5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3" fontId="2" fillId="9" borderId="5" xfId="0" applyNumberFormat="1" applyFont="1" applyFill="1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 wrapText="1"/>
    </xf>
    <xf numFmtId="3" fontId="2" fillId="15" borderId="14" xfId="0" applyNumberFormat="1" applyFont="1" applyFill="1" applyBorder="1" applyAlignment="1">
      <alignment horizontal="center" vertical="center" wrapText="1"/>
    </xf>
    <xf numFmtId="3" fontId="2" fillId="15" borderId="15" xfId="0" applyNumberFormat="1" applyFont="1" applyFill="1" applyBorder="1" applyAlignment="1">
      <alignment horizontal="center" vertical="center" wrapText="1"/>
    </xf>
    <xf numFmtId="3" fontId="2" fillId="7" borderId="14" xfId="0" applyNumberFormat="1" applyFont="1" applyFill="1" applyBorder="1" applyAlignment="1">
      <alignment horizontal="center" vertical="center" wrapText="1"/>
    </xf>
    <xf numFmtId="3" fontId="2" fillId="7" borderId="15" xfId="0" applyNumberFormat="1" applyFont="1" applyFill="1" applyBorder="1" applyAlignment="1">
      <alignment horizontal="center" vertical="center" wrapText="1"/>
    </xf>
    <xf numFmtId="3" fontId="5" fillId="2" borderId="13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3" fontId="2" fillId="7" borderId="5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164" fontId="2" fillId="7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 wrapText="1"/>
    </xf>
    <xf numFmtId="0" fontId="0" fillId="2" borderId="13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9" fillId="2" borderId="14" xfId="0" applyNumberFormat="1" applyFont="1" applyFill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2" fillId="15" borderId="16" xfId="0" applyNumberFormat="1" applyFont="1" applyFill="1" applyBorder="1" applyAlignment="1">
      <alignment horizontal="center" vertical="center" wrapText="1"/>
    </xf>
    <xf numFmtId="3" fontId="2" fillId="15" borderId="17" xfId="0" applyNumberFormat="1" applyFont="1" applyFill="1" applyBorder="1" applyAlignment="1">
      <alignment horizontal="center" vertical="center" wrapText="1"/>
    </xf>
    <xf numFmtId="3" fontId="2" fillId="15" borderId="18" xfId="0" applyNumberFormat="1" applyFont="1" applyFill="1" applyBorder="1" applyAlignment="1">
      <alignment horizontal="center" vertical="center" wrapText="1"/>
    </xf>
    <xf numFmtId="3" fontId="2" fillId="15" borderId="19" xfId="0" applyNumberFormat="1" applyFont="1" applyFill="1" applyBorder="1" applyAlignment="1">
      <alignment horizontal="center" vertical="center" wrapText="1"/>
    </xf>
    <xf numFmtId="3" fontId="2" fillId="15" borderId="8" xfId="0" applyNumberFormat="1" applyFont="1" applyFill="1" applyBorder="1" applyAlignment="1">
      <alignment horizontal="center" vertical="center" wrapText="1"/>
    </xf>
    <xf numFmtId="3" fontId="2" fillId="15" borderId="9" xfId="0" applyNumberFormat="1" applyFont="1" applyFill="1" applyBorder="1" applyAlignment="1">
      <alignment horizontal="center" vertical="center" wrapText="1"/>
    </xf>
    <xf numFmtId="3" fontId="2" fillId="15" borderId="5" xfId="0" applyNumberFormat="1" applyFont="1" applyFill="1" applyBorder="1" applyAlignment="1">
      <alignment horizontal="center" vertical="center" wrapText="1"/>
    </xf>
    <xf numFmtId="3" fontId="2" fillId="15" borderId="13" xfId="0" applyNumberFormat="1" applyFont="1" applyFill="1" applyBorder="1" applyAlignment="1">
      <alignment horizontal="center"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right" vertical="center"/>
    </xf>
    <xf numFmtId="0" fontId="6" fillId="5" borderId="13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3" fontId="2" fillId="2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49" fontId="5" fillId="2" borderId="16" xfId="0" applyNumberFormat="1" applyFont="1" applyFill="1" applyBorder="1" applyAlignment="1">
      <alignment horizontal="right" vertical="center" wrapText="1"/>
    </xf>
    <xf numFmtId="49" fontId="5" fillId="2" borderId="43" xfId="0" applyNumberFormat="1" applyFont="1" applyFill="1" applyBorder="1" applyAlignment="1">
      <alignment horizontal="right" vertical="center" wrapText="1"/>
    </xf>
    <xf numFmtId="49" fontId="5" fillId="2" borderId="17" xfId="0" applyNumberFormat="1" applyFont="1" applyFill="1" applyBorder="1" applyAlignment="1">
      <alignment horizontal="right" vertical="center" wrapText="1"/>
    </xf>
    <xf numFmtId="49" fontId="5" fillId="2" borderId="8" xfId="0" applyNumberFormat="1" applyFont="1" applyFill="1" applyBorder="1" applyAlignment="1">
      <alignment horizontal="right" vertical="center" wrapText="1"/>
    </xf>
    <xf numFmtId="49" fontId="5" fillId="2" borderId="47" xfId="0" applyNumberFormat="1" applyFont="1" applyFill="1" applyBorder="1" applyAlignment="1">
      <alignment horizontal="right" vertical="center" wrapText="1"/>
    </xf>
    <xf numFmtId="49" fontId="5" fillId="2" borderId="9" xfId="0" applyNumberFormat="1" applyFont="1" applyFill="1" applyBorder="1" applyAlignment="1">
      <alignment horizontal="right" vertical="center" wrapText="1"/>
    </xf>
    <xf numFmtId="49" fontId="5" fillId="2" borderId="14" xfId="0" applyNumberFormat="1" applyFont="1" applyFill="1" applyBorder="1" applyAlignment="1">
      <alignment horizontal="center" vertical="center" wrapText="1"/>
    </xf>
    <xf numFmtId="49" fontId="5" fillId="2" borderId="4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2" fillId="5" borderId="43" xfId="0" applyNumberFormat="1" applyFont="1" applyFill="1" applyBorder="1" applyAlignment="1">
      <alignment horizontal="center" vertical="center" wrapText="1"/>
    </xf>
    <xf numFmtId="3" fontId="2" fillId="5" borderId="47" xfId="0" applyNumberFormat="1" applyFont="1" applyFill="1" applyBorder="1" applyAlignment="1">
      <alignment horizontal="center" vertical="center" wrapText="1"/>
    </xf>
    <xf numFmtId="3" fontId="5" fillId="2" borderId="16" xfId="0" applyNumberFormat="1" applyFont="1" applyFill="1" applyBorder="1" applyAlignment="1">
      <alignment horizontal="right" vertical="center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right" vertical="center"/>
    </xf>
    <xf numFmtId="3" fontId="5" fillId="2" borderId="47" xfId="0" applyNumberFormat="1" applyFont="1" applyFill="1" applyBorder="1" applyAlignment="1">
      <alignment horizontal="right" vertical="center"/>
    </xf>
    <xf numFmtId="3" fontId="5" fillId="2" borderId="9" xfId="0" applyNumberFormat="1" applyFont="1" applyFill="1" applyBorder="1" applyAlignment="1">
      <alignment horizontal="right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2" fillId="28" borderId="16" xfId="0" applyNumberFormat="1" applyFont="1" applyFill="1" applyBorder="1" applyAlignment="1">
      <alignment horizontal="center" vertical="center" wrapText="1"/>
    </xf>
    <xf numFmtId="3" fontId="2" fillId="28" borderId="17" xfId="0" applyNumberFormat="1" applyFont="1" applyFill="1" applyBorder="1" applyAlignment="1">
      <alignment horizontal="center" vertical="center" wrapText="1"/>
    </xf>
    <xf numFmtId="3" fontId="2" fillId="28" borderId="8" xfId="0" applyNumberFormat="1" applyFont="1" applyFill="1" applyBorder="1" applyAlignment="1">
      <alignment horizontal="center" vertical="center" wrapText="1"/>
    </xf>
    <xf numFmtId="3" fontId="2" fillId="28" borderId="9" xfId="0" applyNumberFormat="1" applyFont="1" applyFill="1" applyBorder="1" applyAlignment="1">
      <alignment horizontal="center" vertical="center" wrapText="1"/>
    </xf>
    <xf numFmtId="3" fontId="2" fillId="28" borderId="5" xfId="0" applyNumberFormat="1" applyFont="1" applyFill="1" applyBorder="1" applyAlignment="1">
      <alignment horizontal="center" vertical="center" wrapText="1"/>
    </xf>
    <xf numFmtId="3" fontId="2" fillId="28" borderId="6" xfId="0" applyNumberFormat="1" applyFont="1" applyFill="1" applyBorder="1" applyAlignment="1">
      <alignment horizontal="center" vertical="center" wrapText="1"/>
    </xf>
    <xf numFmtId="3" fontId="14" fillId="2" borderId="18" xfId="0" applyNumberFormat="1" applyFont="1" applyFill="1" applyBorder="1" applyAlignment="1">
      <alignment horizontal="center" vertical="center" wrapText="1"/>
    </xf>
    <xf numFmtId="3" fontId="14" fillId="2" borderId="0" xfId="0" applyNumberFormat="1" applyFont="1" applyFill="1" applyBorder="1" applyAlignment="1">
      <alignment horizontal="center" vertical="center" wrapText="1"/>
    </xf>
    <xf numFmtId="3" fontId="14" fillId="2" borderId="19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4" workbookViewId="0">
      <selection activeCell="C8" sqref="C8:D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4296" t="s">
        <v>1458</v>
      </c>
      <c r="B1" s="4297"/>
      <c r="C1" s="4297"/>
      <c r="D1" s="4298"/>
    </row>
    <row r="2" spans="1:7" ht="50.1" customHeight="1" x14ac:dyDescent="0.2">
      <c r="A2" s="189" t="s">
        <v>0</v>
      </c>
      <c r="B2" s="147" t="s">
        <v>1457</v>
      </c>
      <c r="C2" s="8" t="s">
        <v>862</v>
      </c>
      <c r="D2" s="148" t="s">
        <v>863</v>
      </c>
      <c r="F2" s="405"/>
      <c r="G2" s="366"/>
    </row>
    <row r="3" spans="1:7" ht="50.1" customHeight="1" thickBot="1" x14ac:dyDescent="0.25">
      <c r="A3" s="192"/>
      <c r="B3" s="149">
        <v>100000000</v>
      </c>
      <c r="C3" s="4360" t="s">
        <v>1459</v>
      </c>
      <c r="D3" s="4361"/>
      <c r="F3" s="366"/>
      <c r="G3" s="366"/>
    </row>
    <row r="4" spans="1:7" ht="50.1" customHeight="1" thickBot="1" x14ac:dyDescent="0.25">
      <c r="A4" s="407"/>
      <c r="B4" s="4296" t="s">
        <v>1462</v>
      </c>
      <c r="C4" s="4297"/>
      <c r="D4" s="4298"/>
      <c r="F4" s="366"/>
      <c r="G4" s="366"/>
    </row>
    <row r="5" spans="1:7" ht="30" customHeight="1" x14ac:dyDescent="0.2">
      <c r="A5" s="193">
        <v>1</v>
      </c>
      <c r="B5" s="149">
        <v>64000000</v>
      </c>
      <c r="C5" s="372" t="s">
        <v>1460</v>
      </c>
      <c r="D5" s="150"/>
      <c r="F5" s="405"/>
      <c r="G5" s="406"/>
    </row>
    <row r="6" spans="1:7" ht="30" customHeight="1" x14ac:dyDescent="0.2">
      <c r="A6" s="193">
        <v>2</v>
      </c>
      <c r="B6" s="149">
        <v>44000000</v>
      </c>
      <c r="C6" s="372" t="s">
        <v>1461</v>
      </c>
      <c r="D6" s="151"/>
      <c r="F6" s="405"/>
      <c r="G6" s="406"/>
    </row>
    <row r="7" spans="1:7" ht="30" customHeight="1" x14ac:dyDescent="0.2">
      <c r="A7" s="193">
        <v>3</v>
      </c>
      <c r="B7" s="149">
        <v>50000000</v>
      </c>
      <c r="C7" s="372" t="s">
        <v>1460</v>
      </c>
      <c r="D7" s="151"/>
      <c r="F7" s="405"/>
      <c r="G7" s="406"/>
    </row>
    <row r="8" spans="1:7" ht="30" customHeight="1" thickBot="1" x14ac:dyDescent="0.25">
      <c r="A8" s="194" t="s">
        <v>876</v>
      </c>
      <c r="B8" s="153">
        <f>SUM(B5:B7)</f>
        <v>158000000</v>
      </c>
      <c r="C8" s="4373"/>
      <c r="D8" s="4374"/>
      <c r="F8" s="405"/>
      <c r="G8" s="406"/>
    </row>
    <row r="9" spans="1:7" ht="30" customHeight="1" thickBot="1" x14ac:dyDescent="0.25">
      <c r="A9" s="367"/>
      <c r="B9" s="408"/>
      <c r="C9" s="367"/>
      <c r="D9" s="367"/>
      <c r="F9" s="405"/>
      <c r="G9" s="406"/>
    </row>
    <row r="10" spans="1:7" ht="30" customHeight="1" thickBot="1" x14ac:dyDescent="0.25">
      <c r="A10" s="4375" t="s">
        <v>1463</v>
      </c>
      <c r="B10" s="4376"/>
      <c r="C10" s="4376"/>
      <c r="D10" s="4377"/>
      <c r="F10" s="405"/>
      <c r="G10" s="406"/>
    </row>
    <row r="11" spans="1:7" ht="30" customHeight="1" thickBot="1" x14ac:dyDescent="0.25">
      <c r="A11" s="367"/>
      <c r="B11" s="367"/>
      <c r="C11" s="367"/>
      <c r="D11" s="367"/>
      <c r="F11" s="405"/>
      <c r="G11" s="406"/>
    </row>
    <row r="12" spans="1:7" ht="30" customHeight="1" thickBot="1" x14ac:dyDescent="0.25">
      <c r="A12" s="4375" t="s">
        <v>1464</v>
      </c>
      <c r="B12" s="4376"/>
      <c r="C12" s="4376"/>
      <c r="D12" s="4377"/>
      <c r="F12" s="405"/>
      <c r="G12" s="406"/>
    </row>
    <row r="13" spans="1:7" ht="30" customHeight="1" thickBot="1" x14ac:dyDescent="0.25">
      <c r="A13" s="367"/>
      <c r="B13" s="367"/>
      <c r="C13" s="367"/>
      <c r="D13" s="367"/>
      <c r="F13" s="405"/>
      <c r="G13" s="406"/>
    </row>
    <row r="14" spans="1:7" ht="30" customHeight="1" thickBot="1" x14ac:dyDescent="0.25">
      <c r="A14" s="4375" t="s">
        <v>1470</v>
      </c>
      <c r="B14" s="4376"/>
      <c r="C14" s="4376"/>
      <c r="D14" s="4377"/>
      <c r="F14" s="405"/>
      <c r="G14" s="406"/>
    </row>
    <row r="15" spans="1:7" ht="30" customHeight="1" thickBot="1" x14ac:dyDescent="0.25">
      <c r="A15" s="367"/>
      <c r="B15" s="367"/>
      <c r="C15" s="367"/>
      <c r="D15" s="367"/>
      <c r="F15" s="405"/>
      <c r="G15" s="406"/>
    </row>
    <row r="16" spans="1:7" ht="30" customHeight="1" x14ac:dyDescent="0.2">
      <c r="A16" s="4364" t="s">
        <v>1465</v>
      </c>
      <c r="B16" s="4365"/>
      <c r="C16" s="4365"/>
      <c r="D16" s="4366"/>
      <c r="F16" s="405"/>
      <c r="G16" s="406"/>
    </row>
    <row r="17" spans="1:7" ht="30" customHeight="1" thickBot="1" x14ac:dyDescent="0.25">
      <c r="A17" s="4367"/>
      <c r="B17" s="4368"/>
      <c r="C17" s="4368"/>
      <c r="D17" s="4369"/>
      <c r="F17" s="405"/>
      <c r="G17" s="406"/>
    </row>
    <row r="18" spans="1:7" ht="30" customHeight="1" thickBot="1" x14ac:dyDescent="0.25">
      <c r="A18" s="367"/>
      <c r="B18" s="367"/>
      <c r="C18" s="367"/>
      <c r="D18" s="367"/>
      <c r="F18" s="405"/>
      <c r="G18" s="406"/>
    </row>
    <row r="19" spans="1:7" ht="30" customHeight="1" thickBot="1" x14ac:dyDescent="0.25">
      <c r="A19" s="4370" t="s">
        <v>1466</v>
      </c>
      <c r="B19" s="4371"/>
      <c r="C19" s="4371"/>
      <c r="D19" s="4372"/>
      <c r="F19" s="405"/>
      <c r="G19" s="406"/>
    </row>
    <row r="20" spans="1:7" ht="30" customHeight="1" thickBot="1" x14ac:dyDescent="0.25">
      <c r="A20" s="409"/>
      <c r="B20" s="409"/>
      <c r="C20" s="409"/>
      <c r="D20" s="409"/>
      <c r="F20" s="405"/>
      <c r="G20" s="406"/>
    </row>
    <row r="21" spans="1:7" ht="30" customHeight="1" thickBot="1" x14ac:dyDescent="0.25">
      <c r="A21" s="4370" t="s">
        <v>1467</v>
      </c>
      <c r="B21" s="4371"/>
      <c r="C21" s="4371"/>
      <c r="D21" s="4372"/>
      <c r="F21" s="405"/>
      <c r="G21" s="406"/>
    </row>
    <row r="22" spans="1:7" ht="30" customHeight="1" thickBot="1" x14ac:dyDescent="0.25">
      <c r="A22" s="409"/>
      <c r="B22" s="409"/>
      <c r="C22" s="409"/>
      <c r="D22" s="409"/>
      <c r="F22" s="405"/>
      <c r="G22" s="406"/>
    </row>
    <row r="23" spans="1:7" ht="30" customHeight="1" thickBot="1" x14ac:dyDescent="0.25">
      <c r="A23" s="4370" t="s">
        <v>1468</v>
      </c>
      <c r="B23" s="4371"/>
      <c r="C23" s="4371"/>
      <c r="D23" s="4372"/>
      <c r="F23" s="405"/>
      <c r="G23" s="406"/>
    </row>
    <row r="24" spans="1:7" ht="30" customHeight="1" thickBot="1" x14ac:dyDescent="0.25">
      <c r="A24" s="367"/>
      <c r="B24" s="408"/>
      <c r="C24" s="367"/>
      <c r="D24" s="367"/>
      <c r="F24" s="405"/>
      <c r="G24" s="406"/>
    </row>
    <row r="25" spans="1:7" ht="50.1" customHeight="1" thickBot="1" x14ac:dyDescent="0.25">
      <c r="A25" s="4313" t="s">
        <v>1458</v>
      </c>
      <c r="B25" s="4314"/>
      <c r="C25" s="4314"/>
      <c r="D25" s="4315"/>
      <c r="F25" s="405"/>
      <c r="G25" s="406"/>
    </row>
    <row r="26" spans="1:7" ht="30" customHeight="1" thickBot="1" x14ac:dyDescent="0.25">
      <c r="A26" s="374" t="s">
        <v>876</v>
      </c>
      <c r="B26" s="410">
        <v>350000000</v>
      </c>
      <c r="C26" s="4362" t="s">
        <v>1469</v>
      </c>
      <c r="D26" s="4363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4296" t="s">
        <v>1414</v>
      </c>
      <c r="C1" s="4297"/>
      <c r="D1" s="4298"/>
    </row>
    <row r="2" spans="1:7" ht="50.1" customHeight="1" x14ac:dyDescent="0.2">
      <c r="A2" s="10" t="s">
        <v>0</v>
      </c>
      <c r="B2" s="147" t="s">
        <v>1413</v>
      </c>
      <c r="C2" s="8" t="s">
        <v>862</v>
      </c>
      <c r="D2" s="148" t="s">
        <v>863</v>
      </c>
      <c r="F2" s="402" t="s">
        <v>1441</v>
      </c>
    </row>
    <row r="3" spans="1:7" ht="50.1" customHeight="1" x14ac:dyDescent="0.2">
      <c r="A3" s="218"/>
      <c r="B3" s="149">
        <v>2157000000</v>
      </c>
      <c r="C3" s="4348" t="s">
        <v>1450</v>
      </c>
      <c r="D3" s="4379"/>
    </row>
    <row r="4" spans="1:7" ht="30" customHeight="1" x14ac:dyDescent="0.2">
      <c r="A4" s="146">
        <v>1</v>
      </c>
      <c r="B4" s="400">
        <v>100000000</v>
      </c>
      <c r="C4" s="401" t="s">
        <v>1415</v>
      </c>
      <c r="D4" s="150"/>
      <c r="F4" s="403">
        <f>B4+B5+B6+B7+B8+B9</f>
        <v>400000000</v>
      </c>
      <c r="G4" s="5" t="s">
        <v>1443</v>
      </c>
    </row>
    <row r="5" spans="1:7" ht="30" customHeight="1" x14ac:dyDescent="0.2">
      <c r="A5" s="146">
        <v>2</v>
      </c>
      <c r="B5" s="400">
        <v>100000000</v>
      </c>
      <c r="C5" s="401" t="s">
        <v>1416</v>
      </c>
      <c r="D5" s="151"/>
      <c r="F5" s="403">
        <f>B10+B11+B12+B13</f>
        <v>450000000</v>
      </c>
      <c r="G5" s="5" t="s">
        <v>1444</v>
      </c>
    </row>
    <row r="6" spans="1:7" ht="30" customHeight="1" x14ac:dyDescent="0.2">
      <c r="A6" s="146">
        <v>3</v>
      </c>
      <c r="B6" s="400">
        <v>100000000</v>
      </c>
      <c r="C6" s="401" t="s">
        <v>1417</v>
      </c>
      <c r="D6" s="151"/>
      <c r="F6" s="403">
        <f>B14+B15+B16</f>
        <v>125000000</v>
      </c>
      <c r="G6" s="5" t="s">
        <v>1445</v>
      </c>
    </row>
    <row r="7" spans="1:7" ht="30" customHeight="1" x14ac:dyDescent="0.2">
      <c r="A7" s="146">
        <v>4</v>
      </c>
      <c r="B7" s="400">
        <v>25000000</v>
      </c>
      <c r="C7" s="401" t="s">
        <v>1418</v>
      </c>
      <c r="D7" s="151"/>
      <c r="F7" s="403">
        <f>B17+B18+B19</f>
        <v>85000000</v>
      </c>
      <c r="G7" s="5" t="s">
        <v>1446</v>
      </c>
    </row>
    <row r="8" spans="1:7" ht="30" customHeight="1" x14ac:dyDescent="0.2">
      <c r="A8" s="146">
        <v>5</v>
      </c>
      <c r="B8" s="400">
        <v>70000000</v>
      </c>
      <c r="C8" s="401" t="s">
        <v>1418</v>
      </c>
      <c r="D8" s="151"/>
      <c r="F8" s="403">
        <f>B20</f>
        <v>40000000</v>
      </c>
      <c r="G8" s="5" t="s">
        <v>1447</v>
      </c>
    </row>
    <row r="9" spans="1:7" ht="30" customHeight="1" x14ac:dyDescent="0.2">
      <c r="A9" s="146">
        <v>6</v>
      </c>
      <c r="B9" s="400">
        <v>5000000</v>
      </c>
      <c r="C9" s="401" t="s">
        <v>1419</v>
      </c>
      <c r="D9" s="151"/>
      <c r="F9" s="403">
        <f>B21</f>
        <v>50000000</v>
      </c>
      <c r="G9" s="5" t="s">
        <v>1448</v>
      </c>
    </row>
    <row r="10" spans="1:7" ht="30" customHeight="1" x14ac:dyDescent="0.2">
      <c r="A10" s="146">
        <v>7</v>
      </c>
      <c r="B10" s="400">
        <v>50000000</v>
      </c>
      <c r="C10" s="401" t="s">
        <v>1420</v>
      </c>
      <c r="D10" s="151"/>
      <c r="F10" s="403">
        <f>B22</f>
        <v>50000000</v>
      </c>
      <c r="G10" s="5" t="s">
        <v>1449</v>
      </c>
    </row>
    <row r="11" spans="1:7" ht="30" customHeight="1" x14ac:dyDescent="0.2">
      <c r="A11" s="146">
        <v>8</v>
      </c>
      <c r="B11" s="400">
        <v>100000000</v>
      </c>
      <c r="C11" s="401" t="s">
        <v>1421</v>
      </c>
      <c r="D11" s="152"/>
    </row>
    <row r="12" spans="1:7" ht="30" customHeight="1" x14ac:dyDescent="0.2">
      <c r="A12" s="146">
        <v>9</v>
      </c>
      <c r="B12" s="400">
        <v>200000000</v>
      </c>
      <c r="C12" s="401" t="s">
        <v>1426</v>
      </c>
      <c r="D12" s="151"/>
      <c r="F12" s="402">
        <f>SUM(F4:F11)</f>
        <v>1200000000</v>
      </c>
    </row>
    <row r="13" spans="1:7" ht="30" customHeight="1" x14ac:dyDescent="0.2">
      <c r="A13" s="146">
        <v>10</v>
      </c>
      <c r="B13" s="400">
        <v>100000000</v>
      </c>
      <c r="C13" s="401" t="s">
        <v>1438</v>
      </c>
      <c r="D13" s="151" t="s">
        <v>1180</v>
      </c>
    </row>
    <row r="14" spans="1:7" ht="30" customHeight="1" x14ac:dyDescent="0.2">
      <c r="A14" s="146">
        <v>11</v>
      </c>
      <c r="B14" s="400">
        <v>25000000</v>
      </c>
      <c r="C14" s="401" t="s">
        <v>1432</v>
      </c>
      <c r="D14" s="151" t="s">
        <v>1180</v>
      </c>
    </row>
    <row r="15" spans="1:7" ht="30" customHeight="1" x14ac:dyDescent="0.2">
      <c r="A15" s="146">
        <v>12</v>
      </c>
      <c r="B15" s="400">
        <v>50000000</v>
      </c>
      <c r="C15" s="401" t="s">
        <v>1432</v>
      </c>
      <c r="D15" s="151" t="s">
        <v>1180</v>
      </c>
    </row>
    <row r="16" spans="1:7" ht="30" customHeight="1" x14ac:dyDescent="0.2">
      <c r="A16" s="146">
        <v>13</v>
      </c>
      <c r="B16" s="400">
        <v>50000000</v>
      </c>
      <c r="C16" s="401" t="s">
        <v>1431</v>
      </c>
      <c r="D16" s="151"/>
    </row>
    <row r="17" spans="1:4" ht="30" customHeight="1" x14ac:dyDescent="0.2">
      <c r="A17" s="146">
        <v>14</v>
      </c>
      <c r="B17" s="400">
        <v>50000000</v>
      </c>
      <c r="C17" s="401" t="s">
        <v>1423</v>
      </c>
      <c r="D17" s="151"/>
    </row>
    <row r="18" spans="1:4" ht="30" customHeight="1" x14ac:dyDescent="0.2">
      <c r="A18" s="146">
        <v>15</v>
      </c>
      <c r="B18" s="400">
        <v>10000000</v>
      </c>
      <c r="C18" s="401" t="s">
        <v>1424</v>
      </c>
      <c r="D18" s="151"/>
    </row>
    <row r="19" spans="1:4" ht="30" customHeight="1" x14ac:dyDescent="0.2">
      <c r="A19" s="146">
        <v>16</v>
      </c>
      <c r="B19" s="400">
        <v>25000000</v>
      </c>
      <c r="C19" s="401" t="s">
        <v>1422</v>
      </c>
      <c r="D19" s="151"/>
    </row>
    <row r="20" spans="1:4" ht="30" customHeight="1" x14ac:dyDescent="0.2">
      <c r="A20" s="146">
        <v>17</v>
      </c>
      <c r="B20" s="400">
        <v>40000000</v>
      </c>
      <c r="C20" s="401" t="s">
        <v>871</v>
      </c>
      <c r="D20" s="151"/>
    </row>
    <row r="21" spans="1:4" ht="30" customHeight="1" x14ac:dyDescent="0.2">
      <c r="A21" s="146">
        <v>18</v>
      </c>
      <c r="B21" s="400">
        <v>50000000</v>
      </c>
      <c r="C21" s="401" t="s">
        <v>1425</v>
      </c>
      <c r="D21" s="151"/>
    </row>
    <row r="22" spans="1:4" ht="30" customHeight="1" x14ac:dyDescent="0.2">
      <c r="A22" s="146">
        <v>19</v>
      </c>
      <c r="B22" s="400">
        <v>50000000</v>
      </c>
      <c r="C22" s="401" t="s">
        <v>748</v>
      </c>
      <c r="D22" s="151"/>
    </row>
    <row r="23" spans="1:4" ht="30" customHeight="1" x14ac:dyDescent="0.2">
      <c r="A23" s="399"/>
      <c r="B23" s="149"/>
      <c r="C23" s="371"/>
      <c r="D23" s="151"/>
    </row>
    <row r="24" spans="1:4" ht="30" customHeight="1" thickBot="1" x14ac:dyDescent="0.25">
      <c r="A24" s="374" t="s">
        <v>876</v>
      </c>
      <c r="B24" s="153">
        <f>SUM(B4:B22)</f>
        <v>1200000000</v>
      </c>
      <c r="C24" s="4373" t="s">
        <v>1451</v>
      </c>
      <c r="D24" s="4374"/>
    </row>
    <row r="26" spans="1:4" ht="15" thickBot="1" x14ac:dyDescent="0.25"/>
    <row r="27" spans="1:4" ht="50.1" customHeight="1" thickBot="1" x14ac:dyDescent="0.25">
      <c r="A27" s="404"/>
      <c r="B27" s="4297" t="s">
        <v>1414</v>
      </c>
      <c r="C27" s="4297"/>
      <c r="D27" s="4298"/>
    </row>
    <row r="28" spans="1:4" ht="50.1" customHeight="1" x14ac:dyDescent="0.2">
      <c r="A28" s="218" t="s">
        <v>0</v>
      </c>
      <c r="B28" s="147" t="s">
        <v>879</v>
      </c>
      <c r="C28" s="8" t="s">
        <v>862</v>
      </c>
      <c r="D28" s="148" t="s">
        <v>863</v>
      </c>
    </row>
    <row r="29" spans="1:4" ht="50.1" customHeight="1" x14ac:dyDescent="0.2">
      <c r="A29" s="218"/>
      <c r="B29" s="400">
        <v>1685000000</v>
      </c>
      <c r="C29" s="4348" t="s">
        <v>1452</v>
      </c>
      <c r="D29" s="4379"/>
    </row>
    <row r="30" spans="1:4" ht="30" customHeight="1" x14ac:dyDescent="0.2">
      <c r="A30" s="399"/>
      <c r="B30" s="4378" t="s">
        <v>1453</v>
      </c>
      <c r="C30" s="4324"/>
      <c r="D30" s="4304"/>
    </row>
    <row r="31" spans="1:4" ht="27" thickBot="1" x14ac:dyDescent="0.25">
      <c r="A31" s="374" t="s">
        <v>876</v>
      </c>
      <c r="B31" s="191"/>
      <c r="C31" s="4373"/>
      <c r="D31" s="4374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A4" zoomScale="60" zoomScaleNormal="60" workbookViewId="0">
      <selection activeCell="B9" sqref="B9:E9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4336" t="s">
        <v>2603</v>
      </c>
      <c r="B2" s="4337"/>
      <c r="C2" s="4337"/>
      <c r="D2" s="4337"/>
      <c r="E2" s="4338"/>
    </row>
    <row r="3" spans="1:5" ht="50.1" customHeight="1" thickBot="1" x14ac:dyDescent="0.25">
      <c r="A3" s="592" t="s">
        <v>0</v>
      </c>
      <c r="B3" s="593" t="s">
        <v>879</v>
      </c>
      <c r="C3" s="593" t="s">
        <v>862</v>
      </c>
      <c r="D3" s="593" t="s">
        <v>1910</v>
      </c>
      <c r="E3" s="594" t="s">
        <v>268</v>
      </c>
    </row>
    <row r="4" spans="1:5" ht="50.1" customHeight="1" x14ac:dyDescent="0.2">
      <c r="A4" s="1085">
        <v>1</v>
      </c>
      <c r="B4" s="1146">
        <v>10000000</v>
      </c>
      <c r="C4" s="1148" t="s">
        <v>2441</v>
      </c>
      <c r="D4" s="1146" t="s">
        <v>1937</v>
      </c>
      <c r="E4" s="583"/>
    </row>
    <row r="5" spans="1:5" ht="50.1" customHeight="1" x14ac:dyDescent="0.2">
      <c r="A5" s="1086">
        <v>2</v>
      </c>
      <c r="B5" s="1144">
        <v>5000000</v>
      </c>
      <c r="C5" s="1145" t="s">
        <v>2577</v>
      </c>
      <c r="D5" s="1143" t="s">
        <v>1722</v>
      </c>
      <c r="E5" s="587" t="s">
        <v>3020</v>
      </c>
    </row>
    <row r="6" spans="1:5" ht="50.1" customHeight="1" x14ac:dyDescent="0.2">
      <c r="A6" s="597">
        <v>3</v>
      </c>
      <c r="B6" s="1144">
        <v>20000000</v>
      </c>
      <c r="C6" s="1145" t="s">
        <v>2689</v>
      </c>
      <c r="D6" s="1143" t="s">
        <v>1937</v>
      </c>
      <c r="E6" s="587" t="s">
        <v>2700</v>
      </c>
    </row>
    <row r="7" spans="1:5" ht="50.1" customHeight="1" x14ac:dyDescent="0.2">
      <c r="A7" s="597">
        <v>4</v>
      </c>
      <c r="B7" s="1144">
        <v>8000000</v>
      </c>
      <c r="C7" s="1145" t="s">
        <v>2713</v>
      </c>
      <c r="D7" s="1143" t="s">
        <v>1937</v>
      </c>
      <c r="E7" s="587"/>
    </row>
    <row r="8" spans="1:5" ht="50.1" customHeight="1" x14ac:dyDescent="0.2">
      <c r="A8" s="597" t="s">
        <v>876</v>
      </c>
      <c r="B8" s="4380" t="s">
        <v>2712</v>
      </c>
      <c r="C8" s="4381"/>
      <c r="D8" s="4381"/>
      <c r="E8" s="4382"/>
    </row>
    <row r="9" spans="1:5" ht="50.1" customHeight="1" x14ac:dyDescent="0.2">
      <c r="A9" s="597">
        <v>5</v>
      </c>
      <c r="B9" s="4303" t="s">
        <v>4722</v>
      </c>
      <c r="C9" s="4324"/>
      <c r="D9" s="4324"/>
      <c r="E9" s="4304"/>
    </row>
    <row r="10" spans="1:5" ht="50.1" customHeight="1" x14ac:dyDescent="0.2">
      <c r="A10" s="597">
        <v>6</v>
      </c>
      <c r="B10" s="1144"/>
      <c r="C10" s="1145"/>
      <c r="D10" s="1143"/>
      <c r="E10" s="582"/>
    </row>
    <row r="11" spans="1:5" ht="50.1" customHeight="1" x14ac:dyDescent="0.2">
      <c r="A11" s="597">
        <v>7</v>
      </c>
      <c r="B11" s="1144"/>
      <c r="C11" s="1145"/>
      <c r="D11" s="1143"/>
      <c r="E11" s="582"/>
    </row>
    <row r="12" spans="1:5" ht="50.1" customHeight="1" x14ac:dyDescent="0.2">
      <c r="A12" s="597">
        <v>8</v>
      </c>
      <c r="B12" s="1144"/>
      <c r="C12" s="1145"/>
      <c r="D12" s="1143"/>
      <c r="E12" s="582"/>
    </row>
    <row r="13" spans="1:5" ht="50.1" customHeight="1" x14ac:dyDescent="0.2">
      <c r="A13" s="597">
        <v>9</v>
      </c>
      <c r="B13" s="1144"/>
      <c r="C13" s="1148"/>
      <c r="D13" s="1147"/>
      <c r="E13" s="582"/>
    </row>
    <row r="14" spans="1:5" ht="50.1" customHeight="1" x14ac:dyDescent="0.2">
      <c r="A14" s="597">
        <v>10</v>
      </c>
      <c r="B14" s="1144"/>
      <c r="C14" s="1145"/>
      <c r="D14" s="1143"/>
      <c r="E14" s="582"/>
    </row>
    <row r="15" spans="1:5" ht="50.1" customHeight="1" x14ac:dyDescent="0.2">
      <c r="A15" s="441">
        <v>11</v>
      </c>
      <c r="B15" s="1146"/>
      <c r="C15" s="1148"/>
      <c r="D15" s="1142"/>
      <c r="E15" s="582"/>
    </row>
    <row r="16" spans="1:5" ht="50.1" customHeight="1" x14ac:dyDescent="0.2">
      <c r="A16" s="1084"/>
      <c r="B16" s="1146"/>
      <c r="C16" s="1148"/>
      <c r="D16" s="1146"/>
      <c r="E16" s="582"/>
    </row>
    <row r="17" spans="1:8" ht="50.1" customHeight="1" x14ac:dyDescent="0.2">
      <c r="A17" s="1084"/>
      <c r="B17" s="1146"/>
      <c r="C17" s="1148"/>
      <c r="D17" s="1146"/>
      <c r="E17" s="582"/>
      <c r="H17" s="402"/>
    </row>
    <row r="18" spans="1:8" ht="50.1" customHeight="1" x14ac:dyDescent="0.2">
      <c r="A18" s="1084"/>
      <c r="B18" s="1146"/>
      <c r="C18" s="1148"/>
      <c r="D18" s="1146"/>
      <c r="E18" s="582"/>
      <c r="H18" s="402"/>
    </row>
    <row r="19" spans="1:8" ht="50.1" customHeight="1" x14ac:dyDescent="0.2">
      <c r="A19" s="1084"/>
      <c r="B19" s="1146"/>
      <c r="C19" s="1148"/>
      <c r="D19" s="1146"/>
      <c r="E19" s="582"/>
    </row>
    <row r="20" spans="1:8" ht="50.1" customHeight="1" x14ac:dyDescent="0.2">
      <c r="A20" s="1084"/>
      <c r="B20" s="1146"/>
      <c r="C20" s="1148"/>
      <c r="D20" s="1146"/>
      <c r="E20" s="582"/>
    </row>
    <row r="21" spans="1:8" ht="50.1" customHeight="1" x14ac:dyDescent="0.2">
      <c r="A21" s="1084"/>
      <c r="B21" s="1146"/>
      <c r="C21" s="1148"/>
      <c r="D21" s="1146"/>
      <c r="E21" s="582"/>
    </row>
    <row r="22" spans="1:8" ht="50.1" customHeight="1" x14ac:dyDescent="0.2">
      <c r="A22" s="1084"/>
      <c r="B22" s="1146"/>
      <c r="C22" s="1148"/>
      <c r="D22" s="1146"/>
      <c r="E22" s="582"/>
    </row>
    <row r="23" spans="1:8" ht="50.1" customHeight="1" x14ac:dyDescent="0.2">
      <c r="A23" s="1084"/>
      <c r="B23" s="1146"/>
      <c r="C23" s="1148"/>
      <c r="D23" s="1146"/>
      <c r="E23" s="582"/>
    </row>
    <row r="24" spans="1:8" ht="50.1" customHeight="1" thickBot="1" x14ac:dyDescent="0.25">
      <c r="A24" s="186" t="s">
        <v>1907</v>
      </c>
      <c r="B24" s="4339">
        <f>SUM(B4:B23)</f>
        <v>43000000</v>
      </c>
      <c r="C24" s="4340"/>
      <c r="D24" s="4341"/>
      <c r="E24" s="591"/>
    </row>
  </sheetData>
  <mergeCells count="4">
    <mergeCell ref="A2:E2"/>
    <mergeCell ref="B24:D24"/>
    <mergeCell ref="B8:E8"/>
    <mergeCell ref="B9:E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rightToLeft="1" topLeftCell="A28" zoomScale="80" zoomScaleNormal="80" workbookViewId="0">
      <selection activeCell="I33" sqref="I33"/>
    </sheetView>
  </sheetViews>
  <sheetFormatPr defaultRowHeight="14.25" x14ac:dyDescent="0.2"/>
  <cols>
    <col min="1" max="1" width="15.625" style="5" customWidth="1"/>
    <col min="2" max="2" width="33.625" customWidth="1"/>
    <col min="3" max="4" width="15.625" customWidth="1"/>
    <col min="6" max="6" width="17" customWidth="1"/>
    <col min="8" max="8" width="19" customWidth="1"/>
    <col min="9" max="9" width="20.625" customWidth="1"/>
  </cols>
  <sheetData>
    <row r="1" spans="1:9" ht="50.1" customHeight="1" x14ac:dyDescent="0.2">
      <c r="A1" s="4383" t="s">
        <v>3784</v>
      </c>
      <c r="B1" s="4384"/>
      <c r="C1" s="4384"/>
      <c r="D1" s="4384"/>
      <c r="E1" s="4384"/>
      <c r="F1" s="4384"/>
      <c r="G1" s="4384"/>
      <c r="H1" s="4384"/>
      <c r="I1" s="4385"/>
    </row>
    <row r="2" spans="1:9" ht="30" customHeight="1" x14ac:dyDescent="0.2">
      <c r="A2" s="597">
        <v>1</v>
      </c>
      <c r="B2" s="1849" t="s">
        <v>1476</v>
      </c>
      <c r="C2" s="1850" t="s">
        <v>1480</v>
      </c>
      <c r="D2" s="1850"/>
      <c r="E2" s="1850" t="s">
        <v>852</v>
      </c>
      <c r="F2" s="1383">
        <v>100000000</v>
      </c>
      <c r="G2" s="1831">
        <v>5.5E-2</v>
      </c>
      <c r="H2" s="1830">
        <v>167000000</v>
      </c>
      <c r="I2" s="1851"/>
    </row>
    <row r="3" spans="1:9" ht="30" customHeight="1" x14ac:dyDescent="0.2">
      <c r="A3" s="597">
        <v>2</v>
      </c>
      <c r="B3" s="1849" t="s">
        <v>1486</v>
      </c>
      <c r="C3" s="1850" t="s">
        <v>1481</v>
      </c>
      <c r="D3" s="1850"/>
      <c r="E3" s="1850" t="s">
        <v>852</v>
      </c>
      <c r="F3" s="1383">
        <v>20000000</v>
      </c>
      <c r="G3" s="1831">
        <v>0.05</v>
      </c>
      <c r="H3" s="1830"/>
      <c r="I3" s="1851"/>
    </row>
    <row r="4" spans="1:9" ht="30" customHeight="1" x14ac:dyDescent="0.2">
      <c r="A4" s="597">
        <v>3</v>
      </c>
      <c r="B4" s="1849" t="s">
        <v>1477</v>
      </c>
      <c r="C4" s="1850" t="s">
        <v>1482</v>
      </c>
      <c r="D4" s="1850"/>
      <c r="E4" s="1850" t="s">
        <v>852</v>
      </c>
      <c r="F4" s="1383">
        <v>50000000</v>
      </c>
      <c r="G4" s="1831">
        <v>0.05</v>
      </c>
      <c r="H4" s="1830"/>
      <c r="I4" s="1851"/>
    </row>
    <row r="5" spans="1:9" ht="30" customHeight="1" x14ac:dyDescent="0.2">
      <c r="A5" s="597">
        <v>4</v>
      </c>
      <c r="B5" s="1849" t="s">
        <v>1477</v>
      </c>
      <c r="C5" s="1850" t="s">
        <v>1483</v>
      </c>
      <c r="D5" s="1850"/>
      <c r="E5" s="1850" t="s">
        <v>852</v>
      </c>
      <c r="F5" s="1383">
        <v>60000000</v>
      </c>
      <c r="G5" s="1831">
        <v>0.05</v>
      </c>
      <c r="H5" s="1830"/>
      <c r="I5" s="1851"/>
    </row>
    <row r="6" spans="1:9" ht="30" customHeight="1" x14ac:dyDescent="0.2">
      <c r="A6" s="597">
        <v>5</v>
      </c>
      <c r="B6" s="1849" t="s">
        <v>1478</v>
      </c>
      <c r="C6" s="1850" t="s">
        <v>1484</v>
      </c>
      <c r="D6" s="1850"/>
      <c r="E6" s="1850" t="s">
        <v>852</v>
      </c>
      <c r="F6" s="1383">
        <v>100000000</v>
      </c>
      <c r="G6" s="1831">
        <v>7.0000000000000007E-2</v>
      </c>
      <c r="H6" s="1830"/>
      <c r="I6" s="1851"/>
    </row>
    <row r="7" spans="1:9" ht="30" customHeight="1" x14ac:dyDescent="0.2">
      <c r="A7" s="597">
        <v>6</v>
      </c>
      <c r="B7" s="1849" t="s">
        <v>1479</v>
      </c>
      <c r="C7" s="1850" t="s">
        <v>813</v>
      </c>
      <c r="D7" s="1850"/>
      <c r="E7" s="1850" t="s">
        <v>852</v>
      </c>
      <c r="F7" s="1383">
        <v>100000000</v>
      </c>
      <c r="G7" s="1831">
        <v>7.0000000000000007E-2</v>
      </c>
      <c r="H7" s="1830"/>
      <c r="I7" s="1851"/>
    </row>
    <row r="8" spans="1:9" ht="30" customHeight="1" x14ac:dyDescent="0.2">
      <c r="A8" s="597">
        <v>7</v>
      </c>
      <c r="B8" s="1849" t="s">
        <v>1305</v>
      </c>
      <c r="C8" s="1850" t="s">
        <v>3313</v>
      </c>
      <c r="D8" s="1850" t="s">
        <v>3004</v>
      </c>
      <c r="E8" s="1850" t="s">
        <v>852</v>
      </c>
      <c r="F8" s="1383">
        <v>50000000</v>
      </c>
      <c r="G8" s="1831"/>
      <c r="H8" s="1830">
        <v>80000000</v>
      </c>
      <c r="I8" s="1851" t="s">
        <v>3314</v>
      </c>
    </row>
    <row r="9" spans="1:9" ht="50.1" customHeight="1" thickBot="1" x14ac:dyDescent="0.25">
      <c r="A9" s="1852"/>
      <c r="B9" s="1853"/>
      <c r="C9" s="1853"/>
      <c r="D9" s="1853"/>
      <c r="E9" s="1854"/>
      <c r="F9" s="1854"/>
      <c r="G9" s="1854"/>
      <c r="H9" s="1854"/>
      <c r="I9" s="1855"/>
    </row>
    <row r="10" spans="1:9" ht="50.1" customHeight="1" x14ac:dyDescent="0.2">
      <c r="A10" s="567"/>
      <c r="B10" s="567"/>
      <c r="C10" s="567"/>
      <c r="D10" s="567"/>
    </row>
    <row r="11" spans="1:9" ht="50.1" customHeight="1" x14ac:dyDescent="0.2">
      <c r="A11" s="4389" t="s">
        <v>3785</v>
      </c>
      <c r="B11" s="4389"/>
      <c r="C11" s="4389"/>
      <c r="D11" s="4389"/>
      <c r="E11" s="4389"/>
      <c r="F11" s="4389"/>
      <c r="G11" s="4389"/>
      <c r="H11" s="4389"/>
      <c r="I11" s="4389"/>
    </row>
    <row r="12" spans="1:9" ht="50.1" customHeight="1" x14ac:dyDescent="0.2">
      <c r="A12" s="4389" t="s">
        <v>3789</v>
      </c>
      <c r="B12" s="4389"/>
      <c r="C12" s="4389"/>
      <c r="D12" s="4389"/>
      <c r="E12" s="4389"/>
      <c r="F12" s="4389"/>
      <c r="G12" s="4389"/>
      <c r="H12" s="4389"/>
      <c r="I12" s="4389"/>
    </row>
    <row r="13" spans="1:9" ht="50.1" customHeight="1" x14ac:dyDescent="0.2">
      <c r="A13" s="4388" t="s">
        <v>3790</v>
      </c>
      <c r="B13" s="4388"/>
      <c r="C13" s="4388"/>
      <c r="D13" s="4388"/>
      <c r="E13" s="4388"/>
      <c r="F13" s="4388"/>
      <c r="G13" s="4388"/>
      <c r="H13" s="4388"/>
      <c r="I13" s="4388"/>
    </row>
    <row r="14" spans="1:9" ht="50.1" customHeight="1" x14ac:dyDescent="0.2">
      <c r="A14" s="4389" t="s">
        <v>3786</v>
      </c>
      <c r="B14" s="4389"/>
      <c r="C14" s="4389"/>
      <c r="D14" s="4389"/>
      <c r="E14" s="4389"/>
      <c r="F14" s="4389"/>
      <c r="G14" s="4389"/>
      <c r="H14" s="4389"/>
      <c r="I14" s="4389"/>
    </row>
    <row r="15" spans="1:9" ht="50.1" customHeight="1" x14ac:dyDescent="0.2">
      <c r="A15" s="4389" t="s">
        <v>3787</v>
      </c>
      <c r="B15" s="4389"/>
      <c r="C15" s="4389"/>
      <c r="D15" s="4389"/>
      <c r="E15" s="4389"/>
      <c r="F15" s="4389"/>
      <c r="G15" s="4389"/>
      <c r="H15" s="4389"/>
      <c r="I15" s="4389"/>
    </row>
    <row r="16" spans="1:9" ht="50.1" customHeight="1" thickBot="1" x14ac:dyDescent="0.25">
      <c r="A16" s="567"/>
      <c r="B16" s="567"/>
      <c r="C16" s="567"/>
      <c r="D16" s="567"/>
    </row>
    <row r="17" spans="1:9" ht="50.1" customHeight="1" x14ac:dyDescent="0.2">
      <c r="A17" s="4383" t="s">
        <v>3883</v>
      </c>
      <c r="B17" s="4384"/>
      <c r="C17" s="4384"/>
      <c r="D17" s="4384"/>
      <c r="E17" s="4384"/>
      <c r="F17" s="4384"/>
      <c r="G17" s="4384"/>
      <c r="H17" s="4384"/>
      <c r="I17" s="4385"/>
    </row>
    <row r="18" spans="1:9" ht="30" customHeight="1" x14ac:dyDescent="0.2">
      <c r="A18" s="597">
        <v>1</v>
      </c>
      <c r="B18" s="13" t="s">
        <v>1476</v>
      </c>
      <c r="C18" s="920" t="s">
        <v>3362</v>
      </c>
      <c r="D18" s="920" t="s">
        <v>3081</v>
      </c>
      <c r="E18" s="920" t="s">
        <v>852</v>
      </c>
      <c r="F18" s="1821">
        <v>100000000</v>
      </c>
      <c r="G18" s="436">
        <v>7.0000000000000007E-2</v>
      </c>
      <c r="H18" s="1989">
        <v>184000000</v>
      </c>
      <c r="I18" s="1851"/>
    </row>
    <row r="19" spans="1:9" ht="30" customHeight="1" x14ac:dyDescent="0.2">
      <c r="A19" s="597">
        <v>2</v>
      </c>
      <c r="B19" s="13" t="s">
        <v>1486</v>
      </c>
      <c r="C19" s="920" t="s">
        <v>1481</v>
      </c>
      <c r="D19" s="920" t="s">
        <v>3878</v>
      </c>
      <c r="E19" s="920" t="s">
        <v>852</v>
      </c>
      <c r="F19" s="1821">
        <v>20000000</v>
      </c>
      <c r="G19" s="436">
        <v>0.05</v>
      </c>
      <c r="H19" s="1989">
        <v>32000000</v>
      </c>
      <c r="I19" s="1851"/>
    </row>
    <row r="20" spans="1:9" ht="30" customHeight="1" x14ac:dyDescent="0.2">
      <c r="A20" s="597">
        <v>3</v>
      </c>
      <c r="B20" s="13" t="s">
        <v>1486</v>
      </c>
      <c r="C20" s="920" t="s">
        <v>3362</v>
      </c>
      <c r="D20" s="920" t="s">
        <v>3788</v>
      </c>
      <c r="E20" s="920" t="s">
        <v>1525</v>
      </c>
      <c r="F20" s="1821">
        <v>225000000</v>
      </c>
      <c r="G20" s="436">
        <v>7.0000000000000007E-2</v>
      </c>
      <c r="H20" s="1989">
        <v>319500000</v>
      </c>
      <c r="I20" s="1851"/>
    </row>
    <row r="21" spans="1:9" ht="30" customHeight="1" x14ac:dyDescent="0.2">
      <c r="A21" s="597">
        <v>4</v>
      </c>
      <c r="B21" s="110" t="s">
        <v>1477</v>
      </c>
      <c r="C21" s="1708" t="s">
        <v>1482</v>
      </c>
      <c r="D21" s="1708"/>
      <c r="E21" s="1708" t="s">
        <v>852</v>
      </c>
      <c r="F21" s="1829">
        <v>50000000</v>
      </c>
      <c r="G21" s="40">
        <v>0.05</v>
      </c>
      <c r="H21" s="4386" t="s">
        <v>3794</v>
      </c>
      <c r="I21" s="4387"/>
    </row>
    <row r="22" spans="1:9" ht="30" customHeight="1" x14ac:dyDescent="0.2">
      <c r="A22" s="597">
        <v>5</v>
      </c>
      <c r="B22" s="110" t="s">
        <v>1477</v>
      </c>
      <c r="C22" s="1708" t="s">
        <v>1483</v>
      </c>
      <c r="D22" s="1708"/>
      <c r="E22" s="1708" t="s">
        <v>852</v>
      </c>
      <c r="F22" s="1829">
        <v>60000000</v>
      </c>
      <c r="G22" s="40">
        <v>0.05</v>
      </c>
      <c r="H22" s="4386" t="s">
        <v>3794</v>
      </c>
      <c r="I22" s="4387"/>
    </row>
    <row r="23" spans="1:9" ht="30" customHeight="1" x14ac:dyDescent="0.2">
      <c r="A23" s="597">
        <v>6</v>
      </c>
      <c r="B23" s="13" t="s">
        <v>1478</v>
      </c>
      <c r="C23" s="920" t="s">
        <v>1484</v>
      </c>
      <c r="D23" s="920" t="s">
        <v>3879</v>
      </c>
      <c r="E23" s="920" t="s">
        <v>852</v>
      </c>
      <c r="F23" s="1821">
        <v>100000000</v>
      </c>
      <c r="G23" s="436">
        <v>7.0000000000000007E-2</v>
      </c>
      <c r="H23" s="1989">
        <v>184000000</v>
      </c>
      <c r="I23" s="1851"/>
    </row>
    <row r="24" spans="1:9" ht="30" customHeight="1" x14ac:dyDescent="0.2">
      <c r="A24" s="597">
        <v>7</v>
      </c>
      <c r="B24" s="13" t="s">
        <v>1479</v>
      </c>
      <c r="C24" s="920" t="s">
        <v>813</v>
      </c>
      <c r="D24" s="920" t="s">
        <v>3880</v>
      </c>
      <c r="E24" s="920" t="s">
        <v>852</v>
      </c>
      <c r="F24" s="1821">
        <v>100000000</v>
      </c>
      <c r="G24" s="436">
        <v>7.0000000000000007E-2</v>
      </c>
      <c r="H24" s="1989">
        <v>184000000</v>
      </c>
      <c r="I24" s="1851"/>
    </row>
    <row r="25" spans="1:9" ht="30" customHeight="1" x14ac:dyDescent="0.2">
      <c r="A25" s="597">
        <v>8</v>
      </c>
      <c r="B25" s="110" t="s">
        <v>1305</v>
      </c>
      <c r="C25" s="1708" t="s">
        <v>3313</v>
      </c>
      <c r="D25" s="1708" t="s">
        <v>3004</v>
      </c>
      <c r="E25" s="1708" t="s">
        <v>852</v>
      </c>
      <c r="F25" s="1904">
        <v>50000000</v>
      </c>
      <c r="G25" s="40"/>
      <c r="H25" s="1904">
        <v>80000000</v>
      </c>
      <c r="I25" s="1924" t="s">
        <v>3877</v>
      </c>
    </row>
    <row r="26" spans="1:9" ht="50.1" customHeight="1" thickBot="1" x14ac:dyDescent="0.25">
      <c r="A26" s="1852"/>
      <c r="B26" s="1853"/>
      <c r="C26" s="1853"/>
      <c r="D26" s="1853"/>
      <c r="E26" s="1854"/>
      <c r="F26" s="1925">
        <f>1036000000-H26</f>
        <v>132500000</v>
      </c>
      <c r="G26" s="1926"/>
      <c r="H26" s="1994">
        <f>H18+H19+H20+H23+H24</f>
        <v>903500000</v>
      </c>
      <c r="I26" s="1927">
        <f>1027500000-F26</f>
        <v>895000000</v>
      </c>
    </row>
    <row r="30" spans="1:9" ht="15" thickBot="1" x14ac:dyDescent="0.25"/>
    <row r="31" spans="1:9" ht="50.1" customHeight="1" x14ac:dyDescent="0.2">
      <c r="A31" s="4383" t="s">
        <v>5503</v>
      </c>
      <c r="B31" s="4384"/>
      <c r="C31" s="4384"/>
      <c r="D31" s="4384"/>
      <c r="E31" s="4384"/>
      <c r="F31" s="4384"/>
      <c r="G31" s="4384"/>
      <c r="H31" s="4384"/>
      <c r="I31" s="4385"/>
    </row>
    <row r="32" spans="1:9" ht="30" customHeight="1" x14ac:dyDescent="0.2">
      <c r="A32" s="597">
        <v>1</v>
      </c>
      <c r="B32" s="3748" t="s">
        <v>1476</v>
      </c>
      <c r="C32" s="920" t="s">
        <v>3362</v>
      </c>
      <c r="D32" s="920" t="s">
        <v>3081</v>
      </c>
      <c r="E32" s="920" t="s">
        <v>852</v>
      </c>
      <c r="F32" s="3734">
        <v>100000000</v>
      </c>
      <c r="G32" s="436">
        <v>7.0000000000000007E-2</v>
      </c>
      <c r="H32" s="3745">
        <v>184000000</v>
      </c>
      <c r="I32" s="1851"/>
    </row>
    <row r="33" spans="1:9" ht="30" customHeight="1" x14ac:dyDescent="0.2">
      <c r="A33" s="597">
        <v>2</v>
      </c>
      <c r="B33" s="2375" t="s">
        <v>1486</v>
      </c>
      <c r="C33" s="1708" t="s">
        <v>1481</v>
      </c>
      <c r="D33" s="1708" t="s">
        <v>3878</v>
      </c>
      <c r="E33" s="1708" t="s">
        <v>5501</v>
      </c>
      <c r="F33" s="3737">
        <v>20000000</v>
      </c>
      <c r="G33" s="2521">
        <v>0.05</v>
      </c>
      <c r="H33" s="3737">
        <v>34000000</v>
      </c>
      <c r="I33" s="3762" t="s">
        <v>5502</v>
      </c>
    </row>
    <row r="34" spans="1:9" ht="30" customHeight="1" x14ac:dyDescent="0.2">
      <c r="A34" s="597">
        <v>3</v>
      </c>
      <c r="B34" s="3748" t="s">
        <v>1486</v>
      </c>
      <c r="C34" s="920" t="s">
        <v>3362</v>
      </c>
      <c r="D34" s="920" t="s">
        <v>3788</v>
      </c>
      <c r="E34" s="920" t="s">
        <v>1525</v>
      </c>
      <c r="F34" s="3734">
        <v>225000000</v>
      </c>
      <c r="G34" s="436">
        <v>7.0000000000000007E-2</v>
      </c>
      <c r="H34" s="3745">
        <v>319500000</v>
      </c>
      <c r="I34" s="1851"/>
    </row>
    <row r="35" spans="1:9" ht="30" customHeight="1" x14ac:dyDescent="0.2">
      <c r="A35" s="597">
        <v>4</v>
      </c>
      <c r="B35" s="2375" t="s">
        <v>1477</v>
      </c>
      <c r="C35" s="1708" t="s">
        <v>1482</v>
      </c>
      <c r="D35" s="1708"/>
      <c r="E35" s="1708" t="s">
        <v>852</v>
      </c>
      <c r="F35" s="3737">
        <v>50000000</v>
      </c>
      <c r="G35" s="2521">
        <v>0.05</v>
      </c>
      <c r="H35" s="4386" t="s">
        <v>3794</v>
      </c>
      <c r="I35" s="4387"/>
    </row>
    <row r="36" spans="1:9" ht="30" customHeight="1" x14ac:dyDescent="0.2">
      <c r="A36" s="597">
        <v>5</v>
      </c>
      <c r="B36" s="2375" t="s">
        <v>1477</v>
      </c>
      <c r="C36" s="1708" t="s">
        <v>1483</v>
      </c>
      <c r="D36" s="1708"/>
      <c r="E36" s="1708" t="s">
        <v>852</v>
      </c>
      <c r="F36" s="3737">
        <v>60000000</v>
      </c>
      <c r="G36" s="2521">
        <v>0.05</v>
      </c>
      <c r="H36" s="4386" t="s">
        <v>3794</v>
      </c>
      <c r="I36" s="4387"/>
    </row>
    <row r="37" spans="1:9" ht="30" customHeight="1" x14ac:dyDescent="0.2">
      <c r="A37" s="597">
        <v>6</v>
      </c>
      <c r="B37" s="3748" t="s">
        <v>1478</v>
      </c>
      <c r="C37" s="920" t="s">
        <v>1484</v>
      </c>
      <c r="D37" s="920" t="s">
        <v>3879</v>
      </c>
      <c r="E37" s="920" t="s">
        <v>852</v>
      </c>
      <c r="F37" s="3734">
        <v>100000000</v>
      </c>
      <c r="G37" s="436">
        <v>7.0000000000000007E-2</v>
      </c>
      <c r="H37" s="3745">
        <v>184000000</v>
      </c>
      <c r="I37" s="1851"/>
    </row>
    <row r="38" spans="1:9" ht="30" customHeight="1" x14ac:dyDescent="0.2">
      <c r="A38" s="597">
        <v>7</v>
      </c>
      <c r="B38" s="3748" t="s">
        <v>1479</v>
      </c>
      <c r="C38" s="920" t="s">
        <v>813</v>
      </c>
      <c r="D38" s="920" t="s">
        <v>3880</v>
      </c>
      <c r="E38" s="920" t="s">
        <v>852</v>
      </c>
      <c r="F38" s="3734">
        <v>100000000</v>
      </c>
      <c r="G38" s="436">
        <v>7.0000000000000007E-2</v>
      </c>
      <c r="H38" s="3745">
        <v>184000000</v>
      </c>
      <c r="I38" s="1851"/>
    </row>
    <row r="39" spans="1:9" ht="30" customHeight="1" x14ac:dyDescent="0.2">
      <c r="A39" s="597">
        <v>8</v>
      </c>
      <c r="B39" s="2375" t="s">
        <v>1305</v>
      </c>
      <c r="C39" s="1708" t="s">
        <v>3313</v>
      </c>
      <c r="D39" s="1708" t="s">
        <v>3004</v>
      </c>
      <c r="E39" s="1708" t="s">
        <v>852</v>
      </c>
      <c r="F39" s="3737">
        <v>50000000</v>
      </c>
      <c r="G39" s="2521"/>
      <c r="H39" s="3737">
        <v>80000000</v>
      </c>
      <c r="I39" s="1924" t="s">
        <v>3877</v>
      </c>
    </row>
    <row r="40" spans="1:9" ht="50.1" customHeight="1" thickBot="1" x14ac:dyDescent="0.25">
      <c r="A40" s="1852"/>
      <c r="B40" s="1853"/>
      <c r="C40" s="1853"/>
      <c r="D40" s="1853"/>
      <c r="E40" s="1854"/>
      <c r="F40" s="1925">
        <f>1036000000-H40</f>
        <v>130500000</v>
      </c>
      <c r="G40" s="1926"/>
      <c r="H40" s="1994">
        <f>H32+H33+H34+H37+H38</f>
        <v>905500000</v>
      </c>
      <c r="I40" s="1927">
        <f>1027500000-F40</f>
        <v>897000000</v>
      </c>
    </row>
  </sheetData>
  <mergeCells count="12">
    <mergeCell ref="A1:I1"/>
    <mergeCell ref="A11:I11"/>
    <mergeCell ref="A14:I14"/>
    <mergeCell ref="A12:I12"/>
    <mergeCell ref="A15:I15"/>
    <mergeCell ref="A31:I31"/>
    <mergeCell ref="H35:I35"/>
    <mergeCell ref="H36:I36"/>
    <mergeCell ref="A17:I17"/>
    <mergeCell ref="A13:I13"/>
    <mergeCell ref="H21:I21"/>
    <mergeCell ref="H22:I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rightToLeft="1" topLeftCell="A22" zoomScale="70" zoomScaleNormal="70" workbookViewId="0">
      <selection activeCell="K30" sqref="K30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4392" t="s">
        <v>1505</v>
      </c>
      <c r="B1" s="4393"/>
      <c r="C1" s="4393"/>
      <c r="D1" s="4393"/>
      <c r="E1" s="4393"/>
      <c r="F1" s="4394"/>
    </row>
    <row r="2" spans="1:6" ht="50.1" customHeight="1" x14ac:dyDescent="0.2">
      <c r="A2" s="446" t="s">
        <v>1503</v>
      </c>
      <c r="B2" s="447" t="s">
        <v>1499</v>
      </c>
      <c r="C2" s="447" t="s">
        <v>1026</v>
      </c>
      <c r="D2" s="447" t="s">
        <v>1500</v>
      </c>
      <c r="E2" s="447" t="s">
        <v>1501</v>
      </c>
      <c r="F2" s="448" t="s">
        <v>1502</v>
      </c>
    </row>
    <row r="3" spans="1:6" ht="30" customHeight="1" x14ac:dyDescent="0.2">
      <c r="A3" s="444" t="s">
        <v>1507</v>
      </c>
      <c r="B3" s="149">
        <v>179439560</v>
      </c>
      <c r="C3" s="421">
        <v>0.05</v>
      </c>
      <c r="D3" s="445">
        <f>B3*C3</f>
        <v>8971978</v>
      </c>
      <c r="E3" s="442">
        <f>B3+D3</f>
        <v>188411538</v>
      </c>
      <c r="F3" s="151">
        <v>3000000</v>
      </c>
    </row>
    <row r="4" spans="1:6" ht="30" customHeight="1" x14ac:dyDescent="0.2">
      <c r="A4" s="443" t="s">
        <v>1514</v>
      </c>
      <c r="B4" s="212">
        <f>E3-F3</f>
        <v>185411538</v>
      </c>
      <c r="C4" s="421">
        <v>0.05</v>
      </c>
      <c r="D4" s="430">
        <f>B4*C4</f>
        <v>9270576.9000000004</v>
      </c>
      <c r="E4" s="430">
        <f>B4+D4</f>
        <v>194682114.90000001</v>
      </c>
      <c r="F4" s="451">
        <v>6000000</v>
      </c>
    </row>
    <row r="5" spans="1:6" ht="30" customHeight="1" x14ac:dyDescent="0.2">
      <c r="A5" s="443" t="s">
        <v>1515</v>
      </c>
      <c r="B5" s="212">
        <f>E4-F4-1</f>
        <v>188682113.90000001</v>
      </c>
      <c r="C5" s="421">
        <v>0.05</v>
      </c>
      <c r="D5" s="430">
        <f>B5*C5</f>
        <v>9434105.6950000003</v>
      </c>
      <c r="E5" s="430">
        <f t="shared" ref="E5:E14" si="0">B5+D5</f>
        <v>198116219.595</v>
      </c>
      <c r="F5" s="451">
        <v>6000000</v>
      </c>
    </row>
    <row r="6" spans="1:6" ht="30" customHeight="1" x14ac:dyDescent="0.2">
      <c r="A6" s="443" t="s">
        <v>1516</v>
      </c>
      <c r="B6" s="212">
        <f t="shared" ref="B6" si="1">E5-F5-1</f>
        <v>192116218.595</v>
      </c>
      <c r="C6" s="421">
        <v>0.05</v>
      </c>
      <c r="D6" s="430">
        <f>B6*C6-1</f>
        <v>9605809.9297500011</v>
      </c>
      <c r="E6" s="430">
        <f t="shared" si="0"/>
        <v>201722028.52474999</v>
      </c>
      <c r="F6" s="451">
        <v>6000000</v>
      </c>
    </row>
    <row r="7" spans="1:6" ht="30" customHeight="1" x14ac:dyDescent="0.2">
      <c r="A7" s="443" t="s">
        <v>1516</v>
      </c>
      <c r="B7" s="4378" t="s">
        <v>1504</v>
      </c>
      <c r="C7" s="4324"/>
      <c r="D7" s="4324"/>
      <c r="E7" s="4355"/>
      <c r="F7" s="451">
        <v>10000000</v>
      </c>
    </row>
    <row r="8" spans="1:6" ht="30" customHeight="1" x14ac:dyDescent="0.2">
      <c r="A8" s="443" t="s">
        <v>1517</v>
      </c>
      <c r="B8" s="212">
        <v>185722029</v>
      </c>
      <c r="C8" s="421">
        <v>0.05</v>
      </c>
      <c r="D8" s="430">
        <f t="shared" ref="D8:D11" si="2">B8*C8</f>
        <v>9286101.4500000011</v>
      </c>
      <c r="E8" s="430">
        <f t="shared" si="0"/>
        <v>195008130.44999999</v>
      </c>
      <c r="F8" s="451">
        <v>6000000</v>
      </c>
    </row>
    <row r="9" spans="1:6" ht="30" customHeight="1" x14ac:dyDescent="0.2">
      <c r="A9" s="443" t="s">
        <v>1508</v>
      </c>
      <c r="B9" s="212">
        <f t="shared" ref="B9:B14" si="3">E8-F8-1+1</f>
        <v>189008130.44999999</v>
      </c>
      <c r="C9" s="421">
        <v>0.05</v>
      </c>
      <c r="D9" s="430">
        <f>B9*C9-1</f>
        <v>9450405.522499999</v>
      </c>
      <c r="E9" s="430">
        <f t="shared" si="0"/>
        <v>198458535.9725</v>
      </c>
      <c r="F9" s="451">
        <v>10000000</v>
      </c>
    </row>
    <row r="10" spans="1:6" ht="30" customHeight="1" x14ac:dyDescent="0.2">
      <c r="A10" s="443" t="s">
        <v>1509</v>
      </c>
      <c r="B10" s="212">
        <f t="shared" si="3"/>
        <v>188458535.9725</v>
      </c>
      <c r="C10" s="421">
        <v>0.05</v>
      </c>
      <c r="D10" s="430">
        <f>B10*C10-1</f>
        <v>9422925.7986249998</v>
      </c>
      <c r="E10" s="430">
        <f t="shared" si="0"/>
        <v>197881461.77112499</v>
      </c>
      <c r="F10" s="451">
        <v>10000000</v>
      </c>
    </row>
    <row r="11" spans="1:6" ht="30" customHeight="1" x14ac:dyDescent="0.2">
      <c r="A11" s="443" t="s">
        <v>1510</v>
      </c>
      <c r="B11" s="212">
        <f t="shared" si="3"/>
        <v>187881461.77112499</v>
      </c>
      <c r="C11" s="421">
        <v>0.05</v>
      </c>
      <c r="D11" s="430">
        <f t="shared" si="2"/>
        <v>9394073.0885562506</v>
      </c>
      <c r="E11" s="430">
        <f t="shared" si="0"/>
        <v>197275534.85968125</v>
      </c>
      <c r="F11" s="451">
        <v>10000000</v>
      </c>
    </row>
    <row r="12" spans="1:6" ht="30" customHeight="1" x14ac:dyDescent="0.2">
      <c r="A12" s="443" t="s">
        <v>1511</v>
      </c>
      <c r="B12" s="212">
        <f t="shared" si="3"/>
        <v>187275534.85968125</v>
      </c>
      <c r="C12" s="421">
        <v>0.05</v>
      </c>
      <c r="D12" s="430">
        <f>B12*C12-1</f>
        <v>9363775.7429840621</v>
      </c>
      <c r="E12" s="430">
        <f>B12+D12+60000000</f>
        <v>256639310.60266531</v>
      </c>
      <c r="F12" s="451">
        <v>0</v>
      </c>
    </row>
    <row r="13" spans="1:6" ht="30" customHeight="1" x14ac:dyDescent="0.2">
      <c r="A13" s="443" t="s">
        <v>1512</v>
      </c>
      <c r="B13" s="449">
        <f t="shared" si="3"/>
        <v>256639310.60266531</v>
      </c>
      <c r="C13" s="421">
        <v>0.05</v>
      </c>
      <c r="D13" s="430">
        <f>B13*C13-1</f>
        <v>12831964.530133266</v>
      </c>
      <c r="E13" s="430">
        <f>B13+D13+1</f>
        <v>269471276.13279855</v>
      </c>
      <c r="F13" s="451">
        <f>10000000</f>
        <v>10000000</v>
      </c>
    </row>
    <row r="14" spans="1:6" ht="30" customHeight="1" thickBot="1" x14ac:dyDescent="0.25">
      <c r="A14" s="450" t="s">
        <v>1513</v>
      </c>
      <c r="B14" s="412">
        <f t="shared" si="3"/>
        <v>259471276.13279855</v>
      </c>
      <c r="C14" s="197">
        <v>0.05</v>
      </c>
      <c r="D14" s="215">
        <f>B14*C14-1</f>
        <v>12973562.806639928</v>
      </c>
      <c r="E14" s="215">
        <f t="shared" si="0"/>
        <v>272444838.93943846</v>
      </c>
      <c r="F14" s="413">
        <v>10000000</v>
      </c>
    </row>
    <row r="17" spans="1:9" ht="15" thickBot="1" x14ac:dyDescent="0.25"/>
    <row r="18" spans="1:9" ht="50.1" customHeight="1" thickBot="1" x14ac:dyDescent="0.25">
      <c r="A18" s="4392" t="s">
        <v>1506</v>
      </c>
      <c r="B18" s="4393"/>
      <c r="C18" s="4393"/>
      <c r="D18" s="4393"/>
      <c r="E18" s="4393"/>
      <c r="F18" s="4394"/>
    </row>
    <row r="19" spans="1:9" ht="50.1" customHeight="1" x14ac:dyDescent="0.2">
      <c r="A19" s="446" t="s">
        <v>1503</v>
      </c>
      <c r="B19" s="447" t="s">
        <v>1499</v>
      </c>
      <c r="C19" s="447" t="s">
        <v>1026</v>
      </c>
      <c r="D19" s="447" t="s">
        <v>1500</v>
      </c>
      <c r="E19" s="447" t="s">
        <v>1501</v>
      </c>
      <c r="F19" s="448" t="s">
        <v>1502</v>
      </c>
    </row>
    <row r="20" spans="1:9" ht="30" customHeight="1" x14ac:dyDescent="0.2">
      <c r="A20" s="444" t="s">
        <v>1507</v>
      </c>
      <c r="B20" s="149">
        <v>179439560</v>
      </c>
      <c r="C20" s="2031">
        <v>0.05</v>
      </c>
      <c r="D20" s="2029">
        <f>B20*C20</f>
        <v>8971978</v>
      </c>
      <c r="E20" s="2029">
        <f>B20+D20</f>
        <v>188411538</v>
      </c>
      <c r="F20" s="451">
        <v>3000000</v>
      </c>
    </row>
    <row r="21" spans="1:9" ht="30" customHeight="1" x14ac:dyDescent="0.2">
      <c r="A21" s="443" t="s">
        <v>1514</v>
      </c>
      <c r="B21" s="212">
        <f>E20-F20</f>
        <v>185411538</v>
      </c>
      <c r="C21" s="2031">
        <v>0.05</v>
      </c>
      <c r="D21" s="2029">
        <f t="shared" ref="D21:D23" si="4">B21*C21</f>
        <v>9270576.9000000004</v>
      </c>
      <c r="E21" s="2029">
        <f t="shared" ref="E21:E23" si="5">B21+D21</f>
        <v>194682114.90000001</v>
      </c>
      <c r="F21" s="451">
        <v>6000000</v>
      </c>
    </row>
    <row r="22" spans="1:9" ht="30" customHeight="1" x14ac:dyDescent="0.2">
      <c r="A22" s="443" t="s">
        <v>1515</v>
      </c>
      <c r="B22" s="212">
        <f t="shared" ref="B22:B23" si="6">E21-F21</f>
        <v>188682114.90000001</v>
      </c>
      <c r="C22" s="2031">
        <v>0.05</v>
      </c>
      <c r="D22" s="2029">
        <f t="shared" si="4"/>
        <v>9434105.745000001</v>
      </c>
      <c r="E22" s="2029">
        <f t="shared" si="5"/>
        <v>198116220.64500001</v>
      </c>
      <c r="F22" s="451">
        <v>6000000</v>
      </c>
    </row>
    <row r="23" spans="1:9" ht="30" customHeight="1" x14ac:dyDescent="0.2">
      <c r="A23" s="443" t="s">
        <v>1516</v>
      </c>
      <c r="B23" s="212">
        <f t="shared" si="6"/>
        <v>192116220.64500001</v>
      </c>
      <c r="C23" s="2031">
        <v>0.05</v>
      </c>
      <c r="D23" s="2029">
        <f t="shared" si="4"/>
        <v>9605811.0322500002</v>
      </c>
      <c r="E23" s="2029">
        <f t="shared" si="5"/>
        <v>201722031.67725</v>
      </c>
      <c r="F23" s="451">
        <v>6000000</v>
      </c>
    </row>
    <row r="24" spans="1:9" ht="30" customHeight="1" x14ac:dyDescent="0.2">
      <c r="A24" s="443" t="s">
        <v>1516</v>
      </c>
      <c r="B24" s="4378" t="s">
        <v>1504</v>
      </c>
      <c r="C24" s="4324"/>
      <c r="D24" s="4324"/>
      <c r="E24" s="4355"/>
      <c r="F24" s="451">
        <v>10000000</v>
      </c>
    </row>
    <row r="25" spans="1:9" ht="30" customHeight="1" x14ac:dyDescent="0.2">
      <c r="A25" s="443" t="s">
        <v>1517</v>
      </c>
      <c r="B25" s="212">
        <f>E23-F23-F24</f>
        <v>185722031.67725</v>
      </c>
      <c r="C25" s="2031">
        <v>0.05</v>
      </c>
      <c r="D25" s="2029">
        <f>B25*C25</f>
        <v>9286101.5838625003</v>
      </c>
      <c r="E25" s="2029">
        <f>B25+D25</f>
        <v>195008133.26111251</v>
      </c>
      <c r="F25" s="451">
        <v>6000000</v>
      </c>
    </row>
    <row r="26" spans="1:9" ht="30" customHeight="1" x14ac:dyDescent="0.2">
      <c r="A26" s="443" t="s">
        <v>1508</v>
      </c>
      <c r="B26" s="212">
        <f>E25-F25</f>
        <v>189008133.26111251</v>
      </c>
      <c r="C26" s="2031">
        <v>0.05</v>
      </c>
      <c r="D26" s="2029">
        <f t="shared" ref="D26:D31" si="7">B26*C26</f>
        <v>9450406.6630556267</v>
      </c>
      <c r="E26" s="2029">
        <f t="shared" ref="E26:E31" si="8">B26+D26</f>
        <v>198458539.92416814</v>
      </c>
      <c r="F26" s="451">
        <v>10000000</v>
      </c>
    </row>
    <row r="27" spans="1:9" ht="30" customHeight="1" x14ac:dyDescent="0.2">
      <c r="A27" s="443" t="s">
        <v>1509</v>
      </c>
      <c r="B27" s="212">
        <f t="shared" ref="B27:B31" si="9">E26-F26</f>
        <v>188458539.92416814</v>
      </c>
      <c r="C27" s="2031">
        <v>0.05</v>
      </c>
      <c r="D27" s="2029">
        <f t="shared" si="7"/>
        <v>9422926.996208407</v>
      </c>
      <c r="E27" s="2029">
        <f t="shared" si="8"/>
        <v>197881466.92037654</v>
      </c>
      <c r="F27" s="451">
        <v>10000000</v>
      </c>
    </row>
    <row r="28" spans="1:9" ht="30" customHeight="1" x14ac:dyDescent="0.2">
      <c r="A28" s="443" t="s">
        <v>1510</v>
      </c>
      <c r="B28" s="212">
        <f t="shared" si="9"/>
        <v>187881466.92037654</v>
      </c>
      <c r="C28" s="2031">
        <v>0.05</v>
      </c>
      <c r="D28" s="2029">
        <f t="shared" si="7"/>
        <v>9394073.3460188266</v>
      </c>
      <c r="E28" s="2029">
        <f t="shared" si="8"/>
        <v>197275540.26639536</v>
      </c>
      <c r="F28" s="451">
        <v>10000000</v>
      </c>
    </row>
    <row r="29" spans="1:9" ht="30" customHeight="1" x14ac:dyDescent="0.2">
      <c r="A29" s="443" t="s">
        <v>1511</v>
      </c>
      <c r="B29" s="212">
        <f t="shared" si="9"/>
        <v>187275540.26639536</v>
      </c>
      <c r="C29" s="2031">
        <v>0.05</v>
      </c>
      <c r="D29" s="2029">
        <f t="shared" si="7"/>
        <v>9363777.013319768</v>
      </c>
      <c r="E29" s="2029">
        <f>B29+D29+60000000</f>
        <v>256639317.27971512</v>
      </c>
      <c r="F29" s="451">
        <v>0</v>
      </c>
      <c r="G29" s="4391" t="s">
        <v>3322</v>
      </c>
      <c r="H29" s="4391"/>
      <c r="I29" s="4391"/>
    </row>
    <row r="30" spans="1:9" ht="30" customHeight="1" x14ac:dyDescent="0.2">
      <c r="A30" s="443" t="s">
        <v>1512</v>
      </c>
      <c r="B30" s="449">
        <f t="shared" si="9"/>
        <v>256639317.27971512</v>
      </c>
      <c r="C30" s="2031">
        <v>0.05</v>
      </c>
      <c r="D30" s="2029">
        <f t="shared" si="7"/>
        <v>12831965.863985756</v>
      </c>
      <c r="E30" s="2029">
        <f>B30+D30</f>
        <v>269471283.1437009</v>
      </c>
      <c r="F30" s="451">
        <v>10000000</v>
      </c>
      <c r="G30" s="4391" t="s">
        <v>4241</v>
      </c>
      <c r="H30" s="4391"/>
      <c r="I30" s="4391"/>
    </row>
    <row r="31" spans="1:9" ht="30" customHeight="1" x14ac:dyDescent="0.2">
      <c r="A31" s="2044" t="s">
        <v>1513</v>
      </c>
      <c r="B31" s="2028">
        <f t="shared" si="9"/>
        <v>259471283.1437009</v>
      </c>
      <c r="C31" s="2032">
        <v>0.05</v>
      </c>
      <c r="D31" s="2030">
        <f t="shared" si="7"/>
        <v>12973564.157185046</v>
      </c>
      <c r="E31" s="2030">
        <f t="shared" si="8"/>
        <v>272444847.30088592</v>
      </c>
      <c r="F31" s="2045">
        <v>10000000</v>
      </c>
      <c r="G31" s="4391" t="s">
        <v>4242</v>
      </c>
      <c r="H31" s="4391"/>
      <c r="I31" s="4391"/>
    </row>
    <row r="32" spans="1:9" ht="30" customHeight="1" x14ac:dyDescent="0.2">
      <c r="A32" s="443" t="s">
        <v>4235</v>
      </c>
      <c r="B32" s="2043">
        <f>E31-F31</f>
        <v>262444847.30088592</v>
      </c>
      <c r="C32" s="2033">
        <v>0.05</v>
      </c>
      <c r="D32" s="2030">
        <f>B32*C32</f>
        <v>13122242.365044296</v>
      </c>
      <c r="E32" s="2030">
        <f>B32+D32</f>
        <v>275567089.66593021</v>
      </c>
      <c r="F32" s="767">
        <v>10000000</v>
      </c>
      <c r="G32" s="4390" t="s">
        <v>4314</v>
      </c>
      <c r="H32" s="4391"/>
      <c r="I32" s="4391"/>
    </row>
    <row r="33" spans="1:9" ht="30" customHeight="1" x14ac:dyDescent="0.2">
      <c r="A33" s="2050" t="s">
        <v>4236</v>
      </c>
      <c r="B33" s="2035">
        <f>E32-F32</f>
        <v>265567089.66593021</v>
      </c>
      <c r="C33" s="2033">
        <v>0.05</v>
      </c>
      <c r="D33" s="2029">
        <f>B33*C33</f>
        <v>13278354.483296512</v>
      </c>
      <c r="E33" s="2029">
        <f>B33+D33</f>
        <v>278845444.14922673</v>
      </c>
      <c r="F33" s="2045">
        <v>10000000</v>
      </c>
      <c r="G33" s="4390" t="s">
        <v>5635</v>
      </c>
      <c r="H33" s="4391"/>
      <c r="I33" s="4391"/>
    </row>
    <row r="34" spans="1:9" ht="30" customHeight="1" x14ac:dyDescent="0.2">
      <c r="A34" s="443" t="s">
        <v>4237</v>
      </c>
      <c r="B34" s="3880">
        <f t="shared" ref="B34:B35" si="10">E33-F33</f>
        <v>268845444.14922673</v>
      </c>
      <c r="C34" s="2033">
        <v>0.05</v>
      </c>
      <c r="D34" s="2029">
        <f>B34*C34</f>
        <v>13442272.207461337</v>
      </c>
      <c r="E34" s="2029">
        <f>B34+D34</f>
        <v>282287716.35668808</v>
      </c>
      <c r="F34" s="2045">
        <v>10000000</v>
      </c>
      <c r="G34" s="4390" t="s">
        <v>5636</v>
      </c>
      <c r="H34" s="4391"/>
      <c r="I34" s="4391"/>
    </row>
    <row r="35" spans="1:9" ht="30" customHeight="1" x14ac:dyDescent="0.2">
      <c r="A35" s="443" t="s">
        <v>4238</v>
      </c>
      <c r="B35" s="3880">
        <f t="shared" si="10"/>
        <v>272287716.35668808</v>
      </c>
      <c r="C35" s="2033"/>
      <c r="D35" s="2029"/>
      <c r="E35" s="2029"/>
      <c r="F35" s="2045"/>
      <c r="G35" s="2042"/>
      <c r="H35" s="2027"/>
    </row>
    <row r="36" spans="1:9" ht="30" customHeight="1" x14ac:dyDescent="0.2">
      <c r="A36" s="443" t="s">
        <v>4239</v>
      </c>
      <c r="B36" s="2028"/>
      <c r="C36" s="2033"/>
      <c r="D36" s="2029"/>
      <c r="E36" s="2029"/>
      <c r="F36" s="2045"/>
      <c r="G36" s="2042"/>
      <c r="H36" s="2027"/>
    </row>
    <row r="37" spans="1:9" ht="30" customHeight="1" thickBot="1" x14ac:dyDescent="0.25">
      <c r="A37" s="450" t="s">
        <v>4240</v>
      </c>
      <c r="B37" s="2046"/>
      <c r="C37" s="187"/>
      <c r="D37" s="215"/>
      <c r="E37" s="215"/>
      <c r="F37" s="155"/>
      <c r="G37" s="2042"/>
      <c r="H37" s="2027"/>
    </row>
  </sheetData>
  <mergeCells count="10">
    <mergeCell ref="A1:F1"/>
    <mergeCell ref="A18:F18"/>
    <mergeCell ref="B24:E24"/>
    <mergeCell ref="G30:I30"/>
    <mergeCell ref="G29:I29"/>
    <mergeCell ref="G33:I33"/>
    <mergeCell ref="G34:I34"/>
    <mergeCell ref="G31:I31"/>
    <mergeCell ref="B7:E7"/>
    <mergeCell ref="G32:I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rightToLeft="1" topLeftCell="A131" zoomScale="80" zoomScaleNormal="80" workbookViewId="0">
      <selection activeCell="G130" sqref="G130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4392" t="s">
        <v>2229</v>
      </c>
      <c r="B1" s="4393"/>
      <c r="C1" s="4393"/>
      <c r="D1" s="4393"/>
      <c r="E1" s="4393"/>
      <c r="F1" s="4393"/>
      <c r="G1" s="4393"/>
      <c r="H1" s="4394"/>
    </row>
    <row r="2" spans="1:8" ht="50.1" customHeight="1" x14ac:dyDescent="0.2">
      <c r="A2" s="446" t="s">
        <v>2230</v>
      </c>
      <c r="B2" s="447" t="s">
        <v>2237</v>
      </c>
      <c r="C2" s="447" t="s">
        <v>2238</v>
      </c>
      <c r="D2" s="447" t="s">
        <v>2246</v>
      </c>
      <c r="E2" s="741" t="s">
        <v>2247</v>
      </c>
      <c r="F2" s="447" t="s">
        <v>2248</v>
      </c>
      <c r="G2" s="447" t="s">
        <v>332</v>
      </c>
      <c r="H2" s="448" t="s">
        <v>268</v>
      </c>
    </row>
    <row r="3" spans="1:8" ht="50.1" customHeight="1" x14ac:dyDescent="0.2">
      <c r="A3" s="4404" t="s">
        <v>487</v>
      </c>
      <c r="B3" s="149">
        <v>130000000</v>
      </c>
      <c r="C3" s="739" t="s">
        <v>2256</v>
      </c>
      <c r="D3" s="149">
        <v>208000000</v>
      </c>
      <c r="E3" s="754"/>
      <c r="F3" s="753"/>
      <c r="G3" s="4406"/>
      <c r="H3" s="4408" t="s">
        <v>2254</v>
      </c>
    </row>
    <row r="4" spans="1:8" ht="50.1" customHeight="1" x14ac:dyDescent="0.2">
      <c r="A4" s="4405"/>
      <c r="B4" s="149">
        <v>130000000</v>
      </c>
      <c r="C4" s="739" t="s">
        <v>2256</v>
      </c>
      <c r="D4" s="149">
        <v>208000000</v>
      </c>
      <c r="E4" s="754"/>
      <c r="F4" s="753"/>
      <c r="G4" s="4407"/>
      <c r="H4" s="4409"/>
    </row>
    <row r="5" spans="1:8" ht="50.1" customHeight="1" x14ac:dyDescent="0.2">
      <c r="A5" s="164" t="s">
        <v>1612</v>
      </c>
      <c r="B5" s="149">
        <v>785000000</v>
      </c>
      <c r="C5" s="731" t="s">
        <v>2239</v>
      </c>
      <c r="D5" s="732">
        <f>B5*0.06</f>
        <v>47100000</v>
      </c>
      <c r="E5" s="732">
        <v>47100000</v>
      </c>
      <c r="F5" s="732">
        <v>0</v>
      </c>
      <c r="G5" s="164"/>
      <c r="H5" s="740"/>
    </row>
    <row r="6" spans="1:8" ht="30" customHeight="1" x14ac:dyDescent="0.2">
      <c r="A6" s="444" t="s">
        <v>2231</v>
      </c>
      <c r="B6" s="149">
        <v>275000000</v>
      </c>
      <c r="C6" s="731" t="s">
        <v>2239</v>
      </c>
      <c r="D6" s="726">
        <v>11550000</v>
      </c>
      <c r="E6" s="731">
        <f>B6*0.06</f>
        <v>16500000</v>
      </c>
      <c r="F6" s="733">
        <f>E6-D6</f>
        <v>4950000</v>
      </c>
      <c r="G6" s="729">
        <v>9157054132</v>
      </c>
      <c r="H6" s="738"/>
    </row>
    <row r="7" spans="1:8" ht="30" customHeight="1" x14ac:dyDescent="0.2">
      <c r="A7" s="743" t="s">
        <v>2003</v>
      </c>
      <c r="B7" s="212">
        <v>250000000</v>
      </c>
      <c r="C7" s="733" t="s">
        <v>2239</v>
      </c>
      <c r="D7" s="596">
        <f>B7*0.05</f>
        <v>12500000</v>
      </c>
      <c r="E7" s="14">
        <f>B7*0.065</f>
        <v>16250000</v>
      </c>
      <c r="F7" s="14">
        <f t="shared" ref="F7:F15" si="0">E7-D7</f>
        <v>3750000</v>
      </c>
      <c r="G7" s="731"/>
      <c r="H7" s="451"/>
    </row>
    <row r="8" spans="1:8" ht="30" customHeight="1" x14ac:dyDescent="0.2">
      <c r="A8" s="443" t="s">
        <v>2232</v>
      </c>
      <c r="B8" s="212">
        <v>400000000</v>
      </c>
      <c r="C8" s="728" t="s">
        <v>2239</v>
      </c>
      <c r="D8" s="726">
        <v>18000000</v>
      </c>
      <c r="E8" s="733">
        <f t="shared" ref="E8:E14" si="1">B8*0.06</f>
        <v>24000000</v>
      </c>
      <c r="F8" s="733">
        <f t="shared" si="0"/>
        <v>6000000</v>
      </c>
      <c r="G8" s="729">
        <v>9151163812</v>
      </c>
      <c r="H8" s="738"/>
    </row>
    <row r="9" spans="1:8" ht="30" customHeight="1" x14ac:dyDescent="0.2">
      <c r="A9" s="443" t="s">
        <v>2233</v>
      </c>
      <c r="B9" s="212">
        <v>490000000</v>
      </c>
      <c r="C9" s="728" t="s">
        <v>2239</v>
      </c>
      <c r="D9" s="726">
        <v>24500000</v>
      </c>
      <c r="E9" s="733">
        <f t="shared" si="1"/>
        <v>29400000</v>
      </c>
      <c r="F9" s="733">
        <f t="shared" si="0"/>
        <v>4900000</v>
      </c>
      <c r="G9" s="729"/>
      <c r="H9" s="738"/>
    </row>
    <row r="10" spans="1:8" ht="30" customHeight="1" x14ac:dyDescent="0.2">
      <c r="A10" s="443" t="s">
        <v>2234</v>
      </c>
      <c r="B10" s="212">
        <v>95000000</v>
      </c>
      <c r="C10" s="728" t="s">
        <v>2239</v>
      </c>
      <c r="D10" s="726">
        <v>1800000</v>
      </c>
      <c r="E10" s="733">
        <f t="shared" si="1"/>
        <v>5700000</v>
      </c>
      <c r="F10" s="733">
        <f t="shared" si="0"/>
        <v>3900000</v>
      </c>
      <c r="G10" s="729" t="s">
        <v>2240</v>
      </c>
      <c r="H10" s="738"/>
    </row>
    <row r="11" spans="1:8" ht="30" customHeight="1" x14ac:dyDescent="0.2">
      <c r="A11" s="443" t="s">
        <v>154</v>
      </c>
      <c r="B11" s="212">
        <v>260000000</v>
      </c>
      <c r="C11" s="728" t="s">
        <v>2239</v>
      </c>
      <c r="D11" s="726">
        <v>13000000</v>
      </c>
      <c r="E11" s="733">
        <f t="shared" si="1"/>
        <v>15600000</v>
      </c>
      <c r="F11" s="733">
        <f t="shared" si="0"/>
        <v>2600000</v>
      </c>
      <c r="G11" s="729" t="s">
        <v>2241</v>
      </c>
      <c r="H11" s="738"/>
    </row>
    <row r="12" spans="1:8" ht="30" customHeight="1" x14ac:dyDescent="0.2">
      <c r="A12" s="443" t="s">
        <v>227</v>
      </c>
      <c r="B12" s="212">
        <v>100000000</v>
      </c>
      <c r="C12" s="728" t="s">
        <v>2239</v>
      </c>
      <c r="D12" s="726">
        <v>4000000</v>
      </c>
      <c r="E12" s="733">
        <f t="shared" si="1"/>
        <v>6000000</v>
      </c>
      <c r="F12" s="733">
        <f t="shared" si="0"/>
        <v>2000000</v>
      </c>
      <c r="G12" s="729"/>
      <c r="H12" s="738"/>
    </row>
    <row r="13" spans="1:8" ht="30" customHeight="1" x14ac:dyDescent="0.2">
      <c r="A13" s="443" t="s">
        <v>2235</v>
      </c>
      <c r="B13" s="212">
        <v>160000000</v>
      </c>
      <c r="C13" s="728" t="s">
        <v>2239</v>
      </c>
      <c r="D13" s="726">
        <v>6400000</v>
      </c>
      <c r="E13" s="733">
        <f t="shared" si="1"/>
        <v>9600000</v>
      </c>
      <c r="F13" s="733">
        <f t="shared" si="0"/>
        <v>3200000</v>
      </c>
      <c r="G13" s="729" t="s">
        <v>2242</v>
      </c>
      <c r="H13" s="738"/>
    </row>
    <row r="14" spans="1:8" ht="30" customHeight="1" x14ac:dyDescent="0.2">
      <c r="A14" s="443" t="s">
        <v>2236</v>
      </c>
      <c r="B14" s="212">
        <v>150000000</v>
      </c>
      <c r="C14" s="728" t="s">
        <v>2239</v>
      </c>
      <c r="D14" s="726">
        <v>6000000</v>
      </c>
      <c r="E14" s="733">
        <f t="shared" si="1"/>
        <v>9000000</v>
      </c>
      <c r="F14" s="733">
        <f t="shared" si="0"/>
        <v>3000000</v>
      </c>
      <c r="G14" s="729" t="s">
        <v>2243</v>
      </c>
      <c r="H14" s="738"/>
    </row>
    <row r="15" spans="1:8" ht="30" customHeight="1" x14ac:dyDescent="0.2">
      <c r="A15" s="744" t="s">
        <v>487</v>
      </c>
      <c r="B15" s="442">
        <v>80000000</v>
      </c>
      <c r="C15" s="730" t="s">
        <v>2239</v>
      </c>
      <c r="D15" s="735">
        <v>3200000</v>
      </c>
      <c r="E15" s="730">
        <f>B15*0.06</f>
        <v>4800000</v>
      </c>
      <c r="F15" s="730">
        <f t="shared" si="0"/>
        <v>1600000</v>
      </c>
      <c r="G15" s="734">
        <v>9154435809</v>
      </c>
      <c r="H15" s="742" t="s">
        <v>2245</v>
      </c>
    </row>
    <row r="16" spans="1:8" ht="30" customHeight="1" x14ac:dyDescent="0.2">
      <c r="A16" s="247" t="s">
        <v>2249</v>
      </c>
      <c r="B16" s="733">
        <v>0</v>
      </c>
      <c r="C16" s="733"/>
      <c r="D16" s="733">
        <v>3000000</v>
      </c>
      <c r="E16" s="733">
        <v>0</v>
      </c>
      <c r="F16" s="733">
        <v>0</v>
      </c>
      <c r="G16" s="381"/>
      <c r="H16" s="381"/>
    </row>
    <row r="17" spans="1:8" ht="30" customHeight="1" x14ac:dyDescent="0.2">
      <c r="A17" s="247" t="s">
        <v>2250</v>
      </c>
      <c r="B17" s="733">
        <v>0</v>
      </c>
      <c r="C17" s="733"/>
      <c r="D17" s="733">
        <v>0</v>
      </c>
      <c r="E17" s="733">
        <v>0</v>
      </c>
      <c r="F17" s="733">
        <v>5000000</v>
      </c>
      <c r="G17" s="381"/>
      <c r="H17" s="381"/>
    </row>
    <row r="18" spans="1:8" ht="30" customHeight="1" x14ac:dyDescent="0.2">
      <c r="A18" s="247" t="s">
        <v>876</v>
      </c>
      <c r="B18" s="14">
        <f>SUM(B5:B17)</f>
        <v>3045000000</v>
      </c>
      <c r="C18" s="733"/>
      <c r="D18" s="14">
        <f>SUM(D5:D17)</f>
        <v>151050000</v>
      </c>
      <c r="E18" s="733">
        <f>SUM(E5:E17)</f>
        <v>183950000</v>
      </c>
      <c r="F18" s="745">
        <f>SUM(F5:F17)</f>
        <v>40900000</v>
      </c>
      <c r="G18" s="381"/>
      <c r="H18" s="381"/>
    </row>
    <row r="19" spans="1:8" ht="30" customHeight="1" x14ac:dyDescent="0.2">
      <c r="A19" s="247" t="s">
        <v>2251</v>
      </c>
      <c r="B19" s="4303">
        <f>F18+D5</f>
        <v>88000000</v>
      </c>
      <c r="C19" s="4324"/>
      <c r="D19" s="4324"/>
      <c r="E19" s="4324"/>
      <c r="F19" s="4324"/>
      <c r="G19" s="4355"/>
      <c r="H19" s="381"/>
    </row>
    <row r="20" spans="1:8" ht="30" customHeight="1" x14ac:dyDescent="0.2">
      <c r="A20" s="746" t="s">
        <v>2252</v>
      </c>
      <c r="B20" s="4303">
        <v>15600000</v>
      </c>
      <c r="C20" s="4324"/>
      <c r="D20" s="4324"/>
      <c r="E20" s="4324"/>
      <c r="F20" s="4324"/>
      <c r="G20" s="4355"/>
      <c r="H20" s="733"/>
    </row>
    <row r="21" spans="1:8" ht="30" customHeight="1" x14ac:dyDescent="0.2">
      <c r="A21" s="746" t="s">
        <v>2253</v>
      </c>
      <c r="B21" s="4395">
        <f>B19+B20</f>
        <v>103600000</v>
      </c>
      <c r="C21" s="4395"/>
      <c r="D21" s="4395"/>
      <c r="E21" s="4395"/>
      <c r="F21" s="4395"/>
      <c r="G21" s="4395"/>
      <c r="H21" s="18" t="s">
        <v>2254</v>
      </c>
    </row>
    <row r="22" spans="1:8" ht="30" customHeight="1" x14ac:dyDescent="0.2">
      <c r="A22" s="4396" t="s">
        <v>2255</v>
      </c>
      <c r="B22" s="4397"/>
      <c r="C22" s="4397"/>
      <c r="D22" s="4397"/>
      <c r="E22" s="4397"/>
      <c r="F22" s="4397"/>
      <c r="G22" s="4397"/>
      <c r="H22" s="4398"/>
    </row>
    <row r="23" spans="1:8" ht="30" customHeight="1" x14ac:dyDescent="0.2">
      <c r="A23" s="4399"/>
      <c r="B23" s="4400"/>
      <c r="C23" s="4400"/>
      <c r="D23" s="4400"/>
      <c r="E23" s="4400"/>
      <c r="F23" s="4400"/>
      <c r="G23" s="4400"/>
      <c r="H23" s="4401"/>
    </row>
    <row r="26" spans="1:8" ht="15" thickBot="1" x14ac:dyDescent="0.25"/>
    <row r="27" spans="1:8" ht="50.1" customHeight="1" thickBot="1" x14ac:dyDescent="0.25">
      <c r="A27" s="4392"/>
      <c r="B27" s="4393"/>
      <c r="C27" s="4393"/>
      <c r="D27" s="4393"/>
      <c r="E27" s="4393"/>
      <c r="F27" s="4393"/>
      <c r="G27" s="4393"/>
      <c r="H27" s="4394"/>
    </row>
    <row r="28" spans="1:8" ht="50.1" customHeight="1" x14ac:dyDescent="0.2">
      <c r="A28" s="446"/>
      <c r="B28" s="447"/>
      <c r="C28" s="447"/>
      <c r="D28" s="447"/>
      <c r="E28" s="447"/>
      <c r="F28" s="447"/>
      <c r="G28" s="447"/>
      <c r="H28" s="448"/>
    </row>
    <row r="29" spans="1:8" ht="30" customHeight="1" x14ac:dyDescent="0.2">
      <c r="A29" s="444"/>
      <c r="B29" s="4378" t="s">
        <v>4179</v>
      </c>
      <c r="C29" s="4324"/>
      <c r="D29" s="4324"/>
      <c r="E29" s="4324"/>
      <c r="F29" s="4324"/>
      <c r="G29" s="4355"/>
      <c r="H29" s="451"/>
    </row>
    <row r="30" spans="1:8" ht="30" customHeight="1" x14ac:dyDescent="0.2">
      <c r="A30" s="4402" t="s">
        <v>487</v>
      </c>
      <c r="B30" s="3312">
        <v>130000000</v>
      </c>
      <c r="C30" s="1856" t="s">
        <v>2244</v>
      </c>
      <c r="D30" s="3313">
        <v>208000000</v>
      </c>
      <c r="E30" s="1856">
        <f t="shared" ref="E30:E31" si="2">B30*0.06</f>
        <v>7800000</v>
      </c>
      <c r="F30" s="1856" t="s">
        <v>3547</v>
      </c>
      <c r="G30" s="1856" t="s">
        <v>3977</v>
      </c>
      <c r="H30" s="4408" t="s">
        <v>2254</v>
      </c>
    </row>
    <row r="31" spans="1:8" ht="30" customHeight="1" x14ac:dyDescent="0.2">
      <c r="A31" s="4403"/>
      <c r="B31" s="212">
        <v>130000000</v>
      </c>
      <c r="C31" s="1962" t="s">
        <v>2244</v>
      </c>
      <c r="D31" s="1963">
        <v>208000000</v>
      </c>
      <c r="E31" s="1962">
        <f t="shared" si="2"/>
        <v>7800000</v>
      </c>
      <c r="F31" s="1962" t="s">
        <v>3978</v>
      </c>
      <c r="G31" s="728"/>
      <c r="H31" s="4409"/>
    </row>
    <row r="32" spans="1:8" ht="30" customHeight="1" thickBot="1" x14ac:dyDescent="0.25">
      <c r="A32" s="450"/>
      <c r="B32" s="719"/>
      <c r="C32" s="720"/>
      <c r="D32" s="197"/>
      <c r="E32" s="215"/>
      <c r="F32" s="215"/>
      <c r="G32" s="215"/>
      <c r="H32" s="721"/>
    </row>
    <row r="35" spans="1:8" ht="15" thickBot="1" x14ac:dyDescent="0.25"/>
    <row r="36" spans="1:8" ht="50.1" customHeight="1" thickBot="1" x14ac:dyDescent="0.25">
      <c r="A36" s="4392" t="s">
        <v>4178</v>
      </c>
      <c r="B36" s="4393"/>
      <c r="C36" s="4393"/>
      <c r="D36" s="4393"/>
      <c r="E36" s="4393"/>
      <c r="F36" s="4393"/>
      <c r="G36" s="4393"/>
      <c r="H36" s="4394"/>
    </row>
    <row r="37" spans="1:8" ht="50.1" customHeight="1" x14ac:dyDescent="0.2">
      <c r="A37" s="446" t="s">
        <v>2230</v>
      </c>
      <c r="B37" s="447" t="s">
        <v>2237</v>
      </c>
      <c r="C37" s="447" t="s">
        <v>2238</v>
      </c>
      <c r="D37" s="447" t="s">
        <v>2246</v>
      </c>
      <c r="E37" s="741" t="s">
        <v>2247</v>
      </c>
      <c r="F37" s="447" t="s">
        <v>2248</v>
      </c>
      <c r="G37" s="447" t="s">
        <v>332</v>
      </c>
      <c r="H37" s="448" t="s">
        <v>268</v>
      </c>
    </row>
    <row r="38" spans="1:8" ht="50.1" customHeight="1" x14ac:dyDescent="0.2">
      <c r="A38" s="4404" t="s">
        <v>487</v>
      </c>
      <c r="B38" s="149">
        <v>130000000</v>
      </c>
      <c r="C38" s="1998" t="s">
        <v>2256</v>
      </c>
      <c r="D38" s="149">
        <v>208000000</v>
      </c>
      <c r="E38" s="754"/>
      <c r="F38" s="753"/>
      <c r="G38" s="4406"/>
      <c r="H38" s="4408" t="s">
        <v>2254</v>
      </c>
    </row>
    <row r="39" spans="1:8" ht="50.1" customHeight="1" x14ac:dyDescent="0.2">
      <c r="A39" s="4405"/>
      <c r="B39" s="149">
        <v>130000000</v>
      </c>
      <c r="C39" s="1998" t="s">
        <v>2256</v>
      </c>
      <c r="D39" s="149">
        <v>208000000</v>
      </c>
      <c r="E39" s="754"/>
      <c r="F39" s="753"/>
      <c r="G39" s="4407"/>
      <c r="H39" s="4409"/>
    </row>
    <row r="40" spans="1:8" ht="50.1" customHeight="1" x14ac:dyDescent="0.2">
      <c r="A40" s="164" t="s">
        <v>1612</v>
      </c>
      <c r="B40" s="149">
        <v>785000000</v>
      </c>
      <c r="C40" s="2003" t="s">
        <v>2239</v>
      </c>
      <c r="D40" s="2005">
        <f>B40*0.06</f>
        <v>47100000</v>
      </c>
      <c r="E40" s="2005">
        <v>47100000</v>
      </c>
      <c r="F40" s="2005">
        <v>0</v>
      </c>
      <c r="G40" s="164"/>
      <c r="H40" s="740"/>
    </row>
    <row r="41" spans="1:8" ht="30" customHeight="1" x14ac:dyDescent="0.2">
      <c r="A41" s="444" t="s">
        <v>2231</v>
      </c>
      <c r="B41" s="149">
        <v>275000000</v>
      </c>
      <c r="C41" s="2003" t="s">
        <v>2239</v>
      </c>
      <c r="D41" s="2005">
        <v>11550000</v>
      </c>
      <c r="E41" s="2003">
        <f>B41*0.06</f>
        <v>16500000</v>
      </c>
      <c r="F41" s="1999">
        <f>E41-D41</f>
        <v>4950000</v>
      </c>
      <c r="G41" s="2008">
        <v>9157054132</v>
      </c>
      <c r="H41" s="738"/>
    </row>
    <row r="42" spans="1:8" ht="30" customHeight="1" x14ac:dyDescent="0.2">
      <c r="A42" s="743" t="s">
        <v>2003</v>
      </c>
      <c r="B42" s="212">
        <v>250000000</v>
      </c>
      <c r="C42" s="1999" t="s">
        <v>2239</v>
      </c>
      <c r="D42" s="2014">
        <f>B42*0.05</f>
        <v>12500000</v>
      </c>
      <c r="E42" s="1997">
        <f>B42*0.065</f>
        <v>16250000</v>
      </c>
      <c r="F42" s="1997">
        <f t="shared" ref="F42:F50" si="3">E42-D42</f>
        <v>3750000</v>
      </c>
      <c r="G42" s="2003"/>
      <c r="H42" s="451"/>
    </row>
    <row r="43" spans="1:8" ht="30" customHeight="1" x14ac:dyDescent="0.2">
      <c r="A43" s="443" t="s">
        <v>2232</v>
      </c>
      <c r="B43" s="212">
        <v>400000000</v>
      </c>
      <c r="C43" s="1999" t="s">
        <v>2239</v>
      </c>
      <c r="D43" s="2005">
        <v>18000000</v>
      </c>
      <c r="E43" s="1999">
        <f t="shared" ref="E43:E49" si="4">B43*0.06</f>
        <v>24000000</v>
      </c>
      <c r="F43" s="1999">
        <f t="shared" si="3"/>
        <v>6000000</v>
      </c>
      <c r="G43" s="2008">
        <v>9151163812</v>
      </c>
      <c r="H43" s="738"/>
    </row>
    <row r="44" spans="1:8" ht="30" customHeight="1" x14ac:dyDescent="0.2">
      <c r="A44" s="443" t="s">
        <v>2233</v>
      </c>
      <c r="B44" s="212">
        <v>490000000</v>
      </c>
      <c r="C44" s="1999" t="s">
        <v>2239</v>
      </c>
      <c r="D44" s="2005">
        <v>24500000</v>
      </c>
      <c r="E44" s="1999">
        <f t="shared" si="4"/>
        <v>29400000</v>
      </c>
      <c r="F44" s="1999">
        <f t="shared" si="3"/>
        <v>4900000</v>
      </c>
      <c r="G44" s="2008"/>
      <c r="H44" s="738"/>
    </row>
    <row r="45" spans="1:8" ht="30" customHeight="1" x14ac:dyDescent="0.2">
      <c r="A45" s="443" t="s">
        <v>2234</v>
      </c>
      <c r="B45" s="212">
        <v>95000000</v>
      </c>
      <c r="C45" s="1999" t="s">
        <v>2239</v>
      </c>
      <c r="D45" s="2005">
        <v>1800000</v>
      </c>
      <c r="E45" s="1999">
        <f t="shared" si="4"/>
        <v>5700000</v>
      </c>
      <c r="F45" s="1999">
        <f t="shared" si="3"/>
        <v>3900000</v>
      </c>
      <c r="G45" s="2008" t="s">
        <v>2240</v>
      </c>
      <c r="H45" s="738"/>
    </row>
    <row r="46" spans="1:8" ht="30" customHeight="1" x14ac:dyDescent="0.2">
      <c r="A46" s="443" t="s">
        <v>154</v>
      </c>
      <c r="B46" s="212">
        <v>200000000</v>
      </c>
      <c r="C46" s="1999" t="s">
        <v>2239</v>
      </c>
      <c r="D46" s="2005">
        <v>10000000</v>
      </c>
      <c r="E46" s="1999">
        <f t="shared" si="4"/>
        <v>12000000</v>
      </c>
      <c r="F46" s="1999">
        <f t="shared" si="3"/>
        <v>2000000</v>
      </c>
      <c r="G46" s="2008" t="s">
        <v>2241</v>
      </c>
      <c r="H46" s="738"/>
    </row>
    <row r="47" spans="1:8" ht="30" customHeight="1" x14ac:dyDescent="0.2">
      <c r="A47" s="443" t="s">
        <v>227</v>
      </c>
      <c r="B47" s="212">
        <v>100000000</v>
      </c>
      <c r="C47" s="1999" t="s">
        <v>2239</v>
      </c>
      <c r="D47" s="2005">
        <v>4000000</v>
      </c>
      <c r="E47" s="1999">
        <f t="shared" si="4"/>
        <v>6000000</v>
      </c>
      <c r="F47" s="1999">
        <f t="shared" si="3"/>
        <v>2000000</v>
      </c>
      <c r="G47" s="2008"/>
      <c r="H47" s="738"/>
    </row>
    <row r="48" spans="1:8" ht="30" customHeight="1" x14ac:dyDescent="0.2">
      <c r="A48" s="443" t="s">
        <v>2235</v>
      </c>
      <c r="B48" s="212">
        <v>160000000</v>
      </c>
      <c r="C48" s="1999" t="s">
        <v>2239</v>
      </c>
      <c r="D48" s="2005">
        <v>6400000</v>
      </c>
      <c r="E48" s="1999">
        <f t="shared" si="4"/>
        <v>9600000</v>
      </c>
      <c r="F48" s="1999">
        <f t="shared" si="3"/>
        <v>3200000</v>
      </c>
      <c r="G48" s="2008" t="s">
        <v>2242</v>
      </c>
      <c r="H48" s="738"/>
    </row>
    <row r="49" spans="1:8" ht="30" customHeight="1" x14ac:dyDescent="0.2">
      <c r="A49" s="443" t="s">
        <v>2236</v>
      </c>
      <c r="B49" s="212">
        <v>150000000</v>
      </c>
      <c r="C49" s="1999" t="s">
        <v>2239</v>
      </c>
      <c r="D49" s="2005">
        <v>6000000</v>
      </c>
      <c r="E49" s="1999">
        <f t="shared" si="4"/>
        <v>9000000</v>
      </c>
      <c r="F49" s="1999">
        <f t="shared" si="3"/>
        <v>3000000</v>
      </c>
      <c r="G49" s="2008" t="s">
        <v>2243</v>
      </c>
      <c r="H49" s="738"/>
    </row>
    <row r="50" spans="1:8" ht="30" customHeight="1" x14ac:dyDescent="0.2">
      <c r="A50" s="744" t="s">
        <v>487</v>
      </c>
      <c r="B50" s="442">
        <v>80000000</v>
      </c>
      <c r="C50" s="2002" t="s">
        <v>2239</v>
      </c>
      <c r="D50" s="2011">
        <v>3200000</v>
      </c>
      <c r="E50" s="2002">
        <f>B50*0.06</f>
        <v>4800000</v>
      </c>
      <c r="F50" s="2002">
        <f t="shared" si="3"/>
        <v>1600000</v>
      </c>
      <c r="G50" s="2007">
        <v>9154435809</v>
      </c>
      <c r="H50" s="742" t="s">
        <v>2245</v>
      </c>
    </row>
    <row r="51" spans="1:8" ht="30" customHeight="1" x14ac:dyDescent="0.2">
      <c r="A51" s="247" t="s">
        <v>2249</v>
      </c>
      <c r="B51" s="1999">
        <v>0</v>
      </c>
      <c r="C51" s="1999"/>
      <c r="D51" s="1999">
        <v>3000000</v>
      </c>
      <c r="E51" s="1999">
        <v>0</v>
      </c>
      <c r="F51" s="1999">
        <v>0</v>
      </c>
      <c r="G51" s="2013"/>
      <c r="H51" s="2013"/>
    </row>
    <row r="52" spans="1:8" ht="30" customHeight="1" x14ac:dyDescent="0.2">
      <c r="A52" s="247" t="s">
        <v>2250</v>
      </c>
      <c r="B52" s="1999">
        <v>0</v>
      </c>
      <c r="C52" s="1999"/>
      <c r="D52" s="1999">
        <v>0</v>
      </c>
      <c r="E52" s="1999">
        <v>0</v>
      </c>
      <c r="F52" s="1999">
        <v>5000000</v>
      </c>
      <c r="G52" s="2013"/>
      <c r="H52" s="2013"/>
    </row>
    <row r="53" spans="1:8" ht="30" customHeight="1" x14ac:dyDescent="0.2">
      <c r="A53" s="247" t="s">
        <v>876</v>
      </c>
      <c r="B53" s="1997">
        <f>SUM(B40:B52)</f>
        <v>2985000000</v>
      </c>
      <c r="C53" s="1999"/>
      <c r="D53" s="1997">
        <f>SUM(D40:D52)</f>
        <v>148050000</v>
      </c>
      <c r="E53" s="1999">
        <f>SUM(E40:E52)</f>
        <v>180350000</v>
      </c>
      <c r="F53" s="745">
        <f>SUM(F40:F52)</f>
        <v>40300000</v>
      </c>
      <c r="G53" s="2013"/>
      <c r="H53" s="2013"/>
    </row>
    <row r="54" spans="1:8" ht="30" customHeight="1" x14ac:dyDescent="0.2">
      <c r="A54" s="247" t="s">
        <v>2251</v>
      </c>
      <c r="B54" s="4303">
        <f>F53+D40</f>
        <v>87400000</v>
      </c>
      <c r="C54" s="4324"/>
      <c r="D54" s="4324"/>
      <c r="E54" s="4324"/>
      <c r="F54" s="4324"/>
      <c r="G54" s="4355"/>
      <c r="H54" s="2013"/>
    </row>
    <row r="55" spans="1:8" ht="30" customHeight="1" x14ac:dyDescent="0.2">
      <c r="A55" s="746" t="s">
        <v>2252</v>
      </c>
      <c r="B55" s="4303">
        <f>15600000-7800000</f>
        <v>7800000</v>
      </c>
      <c r="C55" s="4324"/>
      <c r="D55" s="4324"/>
      <c r="E55" s="4324"/>
      <c r="F55" s="4324"/>
      <c r="G55" s="4355"/>
      <c r="H55" s="1999"/>
    </row>
    <row r="56" spans="1:8" ht="30" customHeight="1" x14ac:dyDescent="0.2">
      <c r="A56" s="746" t="s">
        <v>2253</v>
      </c>
      <c r="B56" s="4395">
        <f>B54+B55</f>
        <v>95200000</v>
      </c>
      <c r="C56" s="4395"/>
      <c r="D56" s="4395"/>
      <c r="E56" s="4395"/>
      <c r="F56" s="4395"/>
      <c r="G56" s="4395"/>
      <c r="H56" s="18" t="s">
        <v>2254</v>
      </c>
    </row>
    <row r="57" spans="1:8" ht="30" customHeight="1" x14ac:dyDescent="0.2">
      <c r="A57" s="4396" t="s">
        <v>2255</v>
      </c>
      <c r="B57" s="4397"/>
      <c r="C57" s="4397"/>
      <c r="D57" s="4397"/>
      <c r="E57" s="4397"/>
      <c r="F57" s="4397"/>
      <c r="G57" s="4397"/>
      <c r="H57" s="4398"/>
    </row>
    <row r="58" spans="1:8" ht="30" customHeight="1" x14ac:dyDescent="0.2">
      <c r="A58" s="4399"/>
      <c r="B58" s="4400"/>
      <c r="C58" s="4400"/>
      <c r="D58" s="4400"/>
      <c r="E58" s="4400"/>
      <c r="F58" s="4400"/>
      <c r="G58" s="4400"/>
      <c r="H58" s="4401"/>
    </row>
    <row r="63" spans="1:8" ht="15" thickBot="1" x14ac:dyDescent="0.25"/>
    <row r="64" spans="1:8" ht="50.1" customHeight="1" thickBot="1" x14ac:dyDescent="0.25">
      <c r="A64" s="4392" t="s">
        <v>5160</v>
      </c>
      <c r="B64" s="4393"/>
      <c r="C64" s="4393"/>
      <c r="D64" s="4393"/>
      <c r="E64" s="4393"/>
      <c r="F64" s="4393"/>
      <c r="G64" s="4393"/>
      <c r="H64" s="4394"/>
    </row>
    <row r="65" spans="1:8" ht="50.1" customHeight="1" x14ac:dyDescent="0.2">
      <c r="A65" s="446" t="s">
        <v>2230</v>
      </c>
      <c r="B65" s="447" t="s">
        <v>2237</v>
      </c>
      <c r="C65" s="447" t="s">
        <v>2238</v>
      </c>
      <c r="D65" s="447" t="s">
        <v>2246</v>
      </c>
      <c r="E65" s="741" t="s">
        <v>2247</v>
      </c>
      <c r="F65" s="447" t="s">
        <v>2248</v>
      </c>
      <c r="G65" s="447" t="s">
        <v>332</v>
      </c>
      <c r="H65" s="448" t="s">
        <v>268</v>
      </c>
    </row>
    <row r="66" spans="1:8" ht="50.1" customHeight="1" x14ac:dyDescent="0.2">
      <c r="A66" s="4404" t="s">
        <v>487</v>
      </c>
      <c r="B66" s="400">
        <v>130000000</v>
      </c>
      <c r="C66" s="401" t="s">
        <v>2256</v>
      </c>
      <c r="D66" s="400">
        <v>208000000</v>
      </c>
      <c r="E66" s="3314"/>
      <c r="F66" s="3315"/>
      <c r="G66" s="4406"/>
      <c r="H66" s="4408" t="s">
        <v>2254</v>
      </c>
    </row>
    <row r="67" spans="1:8" ht="50.1" customHeight="1" x14ac:dyDescent="0.2">
      <c r="A67" s="4405"/>
      <c r="B67" s="149">
        <v>130000000</v>
      </c>
      <c r="C67" s="3267" t="s">
        <v>2256</v>
      </c>
      <c r="D67" s="149">
        <v>208000000</v>
      </c>
      <c r="E67" s="754"/>
      <c r="F67" s="753"/>
      <c r="G67" s="4407"/>
      <c r="H67" s="4409"/>
    </row>
    <row r="68" spans="1:8" ht="50.1" customHeight="1" x14ac:dyDescent="0.2">
      <c r="A68" s="4410" t="s">
        <v>1612</v>
      </c>
      <c r="B68" s="156">
        <v>785000000</v>
      </c>
      <c r="C68" s="4413" t="s">
        <v>2239</v>
      </c>
      <c r="D68" s="598">
        <f>B68*0.06</f>
        <v>47100000</v>
      </c>
      <c r="E68" s="598">
        <v>47100000</v>
      </c>
      <c r="F68" s="3274">
        <v>0</v>
      </c>
      <c r="G68" s="164"/>
      <c r="H68" s="740" t="s">
        <v>877</v>
      </c>
    </row>
    <row r="69" spans="1:8" ht="30" customHeight="1" x14ac:dyDescent="0.2">
      <c r="A69" s="4411"/>
      <c r="B69" s="156">
        <v>77200000</v>
      </c>
      <c r="C69" s="4414"/>
      <c r="D69" s="598">
        <f>B69*0.065</f>
        <v>5018000</v>
      </c>
      <c r="E69" s="598">
        <v>5018000</v>
      </c>
      <c r="F69" s="3274">
        <v>0</v>
      </c>
      <c r="G69" s="3267"/>
      <c r="H69" s="740" t="s">
        <v>5161</v>
      </c>
    </row>
    <row r="70" spans="1:8" ht="30" customHeight="1" x14ac:dyDescent="0.2">
      <c r="A70" s="4411"/>
      <c r="B70" s="156">
        <v>97800000</v>
      </c>
      <c r="C70" s="4414"/>
      <c r="D70" s="598">
        <f t="shared" ref="D70" si="5">B70*0.065</f>
        <v>6357000</v>
      </c>
      <c r="E70" s="598">
        <v>6357000</v>
      </c>
      <c r="F70" s="3274">
        <v>0</v>
      </c>
      <c r="G70" s="3267"/>
      <c r="H70" s="740" t="s">
        <v>5162</v>
      </c>
    </row>
    <row r="71" spans="1:8" ht="30" customHeight="1" x14ac:dyDescent="0.2">
      <c r="A71" s="4412"/>
      <c r="B71" s="400">
        <f>SUM(B68:B70)</f>
        <v>960000000</v>
      </c>
      <c r="C71" s="4415"/>
      <c r="D71" s="3313">
        <f>D68+D69+D70</f>
        <v>58475000</v>
      </c>
      <c r="E71" s="3313">
        <f>E68+E69+E70</f>
        <v>58475000</v>
      </c>
      <c r="F71" s="3274">
        <v>0</v>
      </c>
      <c r="G71" s="3267"/>
      <c r="H71" s="740"/>
    </row>
    <row r="72" spans="1:8" ht="30" customHeight="1" x14ac:dyDescent="0.2">
      <c r="A72" s="444" t="s">
        <v>2231</v>
      </c>
      <c r="B72" s="149">
        <v>275000000</v>
      </c>
      <c r="C72" s="3269" t="s">
        <v>2239</v>
      </c>
      <c r="D72" s="3274">
        <v>11550000</v>
      </c>
      <c r="E72" s="3269">
        <f>B72*0.06</f>
        <v>16500000</v>
      </c>
      <c r="F72" s="3275">
        <f>E72-D72</f>
        <v>4950000</v>
      </c>
      <c r="G72" s="3277">
        <v>9157054132</v>
      </c>
      <c r="H72" s="738"/>
    </row>
    <row r="73" spans="1:8" ht="30" customHeight="1" x14ac:dyDescent="0.2">
      <c r="A73" s="743" t="s">
        <v>2003</v>
      </c>
      <c r="B73" s="212">
        <v>250000000</v>
      </c>
      <c r="C73" s="3275" t="s">
        <v>2239</v>
      </c>
      <c r="D73" s="3274">
        <f>B73*0.05</f>
        <v>12500000</v>
      </c>
      <c r="E73" s="3275">
        <f>B73*0.065</f>
        <v>16250000</v>
      </c>
      <c r="F73" s="3275">
        <f t="shared" ref="F73:F81" si="6">E73-D73</f>
        <v>3750000</v>
      </c>
      <c r="G73" s="3269"/>
      <c r="H73" s="451"/>
    </row>
    <row r="74" spans="1:8" ht="30" customHeight="1" x14ac:dyDescent="0.2">
      <c r="A74" s="443" t="s">
        <v>2232</v>
      </c>
      <c r="B74" s="212">
        <v>400000000</v>
      </c>
      <c r="C74" s="3275" t="s">
        <v>2239</v>
      </c>
      <c r="D74" s="3274">
        <v>18000000</v>
      </c>
      <c r="E74" s="3275">
        <f t="shared" ref="E74:E80" si="7">B74*0.06</f>
        <v>24000000</v>
      </c>
      <c r="F74" s="3275">
        <f t="shared" si="6"/>
        <v>6000000</v>
      </c>
      <c r="G74" s="3277">
        <v>9151163812</v>
      </c>
      <c r="H74" s="738"/>
    </row>
    <row r="75" spans="1:8" ht="30" customHeight="1" x14ac:dyDescent="0.2">
      <c r="A75" s="443" t="s">
        <v>2233</v>
      </c>
      <c r="B75" s="212">
        <v>490000000</v>
      </c>
      <c r="C75" s="3275" t="s">
        <v>2239</v>
      </c>
      <c r="D75" s="3274">
        <v>24500000</v>
      </c>
      <c r="E75" s="3275">
        <f t="shared" si="7"/>
        <v>29400000</v>
      </c>
      <c r="F75" s="3275">
        <f t="shared" si="6"/>
        <v>4900000</v>
      </c>
      <c r="G75" s="3277"/>
      <c r="H75" s="738"/>
    </row>
    <row r="76" spans="1:8" ht="30" customHeight="1" x14ac:dyDescent="0.2">
      <c r="A76" s="443" t="s">
        <v>2234</v>
      </c>
      <c r="B76" s="212">
        <v>95000000</v>
      </c>
      <c r="C76" s="3275" t="s">
        <v>2239</v>
      </c>
      <c r="D76" s="3274">
        <v>1800000</v>
      </c>
      <c r="E76" s="3275">
        <f t="shared" si="7"/>
        <v>5700000</v>
      </c>
      <c r="F76" s="3275">
        <f t="shared" si="6"/>
        <v>3900000</v>
      </c>
      <c r="G76" s="3277" t="s">
        <v>2240</v>
      </c>
      <c r="H76" s="738"/>
    </row>
    <row r="77" spans="1:8" ht="30" customHeight="1" x14ac:dyDescent="0.2">
      <c r="A77" s="443" t="s">
        <v>154</v>
      </c>
      <c r="B77" s="212">
        <v>200000000</v>
      </c>
      <c r="C77" s="3275" t="s">
        <v>2239</v>
      </c>
      <c r="D77" s="3274">
        <v>10000000</v>
      </c>
      <c r="E77" s="3275">
        <f t="shared" si="7"/>
        <v>12000000</v>
      </c>
      <c r="F77" s="3275">
        <f t="shared" si="6"/>
        <v>2000000</v>
      </c>
      <c r="G77" s="3277" t="s">
        <v>2241</v>
      </c>
      <c r="H77" s="738"/>
    </row>
    <row r="78" spans="1:8" ht="30" customHeight="1" x14ac:dyDescent="0.2">
      <c r="A78" s="443" t="s">
        <v>227</v>
      </c>
      <c r="B78" s="212">
        <v>100000000</v>
      </c>
      <c r="C78" s="3275" t="s">
        <v>2239</v>
      </c>
      <c r="D78" s="3274">
        <v>4000000</v>
      </c>
      <c r="E78" s="3275">
        <f t="shared" si="7"/>
        <v>6000000</v>
      </c>
      <c r="F78" s="3275">
        <f t="shared" si="6"/>
        <v>2000000</v>
      </c>
      <c r="G78" s="3277"/>
      <c r="H78" s="738"/>
    </row>
    <row r="79" spans="1:8" ht="30" customHeight="1" x14ac:dyDescent="0.2">
      <c r="A79" s="443" t="s">
        <v>2235</v>
      </c>
      <c r="B79" s="212">
        <v>160000000</v>
      </c>
      <c r="C79" s="3275" t="s">
        <v>2239</v>
      </c>
      <c r="D79" s="3274">
        <v>6400000</v>
      </c>
      <c r="E79" s="3275">
        <f t="shared" si="7"/>
        <v>9600000</v>
      </c>
      <c r="F79" s="3275">
        <f t="shared" si="6"/>
        <v>3200000</v>
      </c>
      <c r="G79" s="3277" t="s">
        <v>2242</v>
      </c>
      <c r="H79" s="738"/>
    </row>
    <row r="80" spans="1:8" ht="30" customHeight="1" x14ac:dyDescent="0.2">
      <c r="A80" s="443" t="s">
        <v>2236</v>
      </c>
      <c r="B80" s="212">
        <v>150000000</v>
      </c>
      <c r="C80" s="3275" t="s">
        <v>2239</v>
      </c>
      <c r="D80" s="3274">
        <v>6000000</v>
      </c>
      <c r="E80" s="3275">
        <f t="shared" si="7"/>
        <v>9000000</v>
      </c>
      <c r="F80" s="3275">
        <f t="shared" si="6"/>
        <v>3000000</v>
      </c>
      <c r="G80" s="3277" t="s">
        <v>2243</v>
      </c>
      <c r="H80" s="738"/>
    </row>
    <row r="81" spans="1:8" ht="30" customHeight="1" x14ac:dyDescent="0.2">
      <c r="A81" s="744" t="s">
        <v>487</v>
      </c>
      <c r="B81" s="442">
        <v>80000000</v>
      </c>
      <c r="C81" s="3268" t="s">
        <v>2239</v>
      </c>
      <c r="D81" s="3280">
        <v>3200000</v>
      </c>
      <c r="E81" s="3268">
        <f>B81*0.06</f>
        <v>4800000</v>
      </c>
      <c r="F81" s="3268">
        <f t="shared" si="6"/>
        <v>1600000</v>
      </c>
      <c r="G81" s="3276">
        <v>9154435809</v>
      </c>
      <c r="H81" s="742" t="s">
        <v>2245</v>
      </c>
    </row>
    <row r="82" spans="1:8" ht="30" customHeight="1" x14ac:dyDescent="0.2">
      <c r="A82" s="247" t="s">
        <v>2249</v>
      </c>
      <c r="B82" s="3275">
        <v>0</v>
      </c>
      <c r="C82" s="3275"/>
      <c r="D82" s="3275">
        <v>3000000</v>
      </c>
      <c r="E82" s="3275">
        <v>0</v>
      </c>
      <c r="F82" s="3275">
        <v>0</v>
      </c>
      <c r="G82" s="3283"/>
      <c r="H82" s="3283"/>
    </row>
    <row r="83" spans="1:8" ht="30" customHeight="1" x14ac:dyDescent="0.2">
      <c r="A83" s="247" t="s">
        <v>2250</v>
      </c>
      <c r="B83" s="3275">
        <v>0</v>
      </c>
      <c r="C83" s="3275"/>
      <c r="D83" s="3275">
        <v>0</v>
      </c>
      <c r="E83" s="3275">
        <v>0</v>
      </c>
      <c r="F83" s="3275">
        <v>5000000</v>
      </c>
      <c r="G83" s="3283"/>
      <c r="H83" s="3283"/>
    </row>
    <row r="84" spans="1:8" ht="30" customHeight="1" x14ac:dyDescent="0.2">
      <c r="A84" s="247" t="s">
        <v>876</v>
      </c>
      <c r="B84" s="3266">
        <f>SUM(B71:B83)</f>
        <v>3160000000</v>
      </c>
      <c r="C84" s="3275"/>
      <c r="D84" s="3266">
        <f>SUM(D71:D83)</f>
        <v>159425000</v>
      </c>
      <c r="E84" s="3266">
        <f>SUM(E71:E83)</f>
        <v>191725000</v>
      </c>
      <c r="F84" s="745">
        <f>SUM(F68:F83)</f>
        <v>40300000</v>
      </c>
      <c r="G84" s="3283"/>
      <c r="H84" s="3283"/>
    </row>
    <row r="85" spans="1:8" ht="30" customHeight="1" x14ac:dyDescent="0.2">
      <c r="A85" s="247" t="s">
        <v>2251</v>
      </c>
      <c r="B85" s="4303">
        <f>F84+D71</f>
        <v>98775000</v>
      </c>
      <c r="C85" s="4324"/>
      <c r="D85" s="4324"/>
      <c r="E85" s="4324"/>
      <c r="F85" s="4324"/>
      <c r="G85" s="4355"/>
      <c r="H85" s="3283"/>
    </row>
    <row r="86" spans="1:8" ht="30" customHeight="1" x14ac:dyDescent="0.2">
      <c r="A86" s="746" t="s">
        <v>2252</v>
      </c>
      <c r="B86" s="4303">
        <f>15600000-7800000</f>
        <v>7800000</v>
      </c>
      <c r="C86" s="4324"/>
      <c r="D86" s="4324"/>
      <c r="E86" s="4324"/>
      <c r="F86" s="4324"/>
      <c r="G86" s="4355"/>
      <c r="H86" s="3275"/>
    </row>
    <row r="87" spans="1:8" ht="30" customHeight="1" x14ac:dyDescent="0.2">
      <c r="A87" s="746" t="s">
        <v>2253</v>
      </c>
      <c r="B87" s="4395">
        <f>B85+B86</f>
        <v>106575000</v>
      </c>
      <c r="C87" s="4395"/>
      <c r="D87" s="4395"/>
      <c r="E87" s="4395"/>
      <c r="F87" s="4395"/>
      <c r="G87" s="4395"/>
      <c r="H87" s="18" t="s">
        <v>2254</v>
      </c>
    </row>
    <row r="88" spans="1:8" ht="30" customHeight="1" x14ac:dyDescent="0.2">
      <c r="A88" s="4396" t="s">
        <v>2255</v>
      </c>
      <c r="B88" s="4397"/>
      <c r="C88" s="4397"/>
      <c r="D88" s="4397"/>
      <c r="E88" s="4397"/>
      <c r="F88" s="4397"/>
      <c r="G88" s="4397"/>
      <c r="H88" s="4398"/>
    </row>
    <row r="89" spans="1:8" ht="30" customHeight="1" x14ac:dyDescent="0.2">
      <c r="A89" s="4399"/>
      <c r="B89" s="4400"/>
      <c r="C89" s="4400"/>
      <c r="D89" s="4400"/>
      <c r="E89" s="4400"/>
      <c r="F89" s="4400"/>
      <c r="G89" s="4400"/>
      <c r="H89" s="4401"/>
    </row>
    <row r="94" spans="1:8" ht="15" thickBot="1" x14ac:dyDescent="0.25"/>
    <row r="95" spans="1:8" ht="50.1" customHeight="1" thickBot="1" x14ac:dyDescent="0.25">
      <c r="A95" s="4392" t="s">
        <v>5371</v>
      </c>
      <c r="B95" s="4393"/>
      <c r="C95" s="4393"/>
      <c r="D95" s="4393"/>
      <c r="E95" s="4393"/>
      <c r="F95" s="4393"/>
      <c r="G95" s="4393"/>
      <c r="H95" s="4394"/>
    </row>
    <row r="96" spans="1:8" ht="50.1" customHeight="1" x14ac:dyDescent="0.2">
      <c r="A96" s="446" t="s">
        <v>2230</v>
      </c>
      <c r="B96" s="447" t="s">
        <v>2237</v>
      </c>
      <c r="C96" s="447" t="s">
        <v>2238</v>
      </c>
      <c r="D96" s="447" t="s">
        <v>2246</v>
      </c>
      <c r="E96" s="741" t="s">
        <v>2247</v>
      </c>
      <c r="F96" s="447" t="s">
        <v>2248</v>
      </c>
      <c r="G96" s="447" t="s">
        <v>332</v>
      </c>
      <c r="H96" s="448" t="s">
        <v>268</v>
      </c>
    </row>
    <row r="97" spans="1:8" ht="50.1" customHeight="1" x14ac:dyDescent="0.2">
      <c r="A97" s="4404" t="s">
        <v>487</v>
      </c>
      <c r="B97" s="400">
        <v>130000000</v>
      </c>
      <c r="C97" s="401" t="s">
        <v>2256</v>
      </c>
      <c r="D97" s="400">
        <v>208000000</v>
      </c>
      <c r="E97" s="3314"/>
      <c r="F97" s="3315"/>
      <c r="G97" s="4406"/>
      <c r="H97" s="4408" t="s">
        <v>2254</v>
      </c>
    </row>
    <row r="98" spans="1:8" ht="50.1" customHeight="1" x14ac:dyDescent="0.2">
      <c r="A98" s="4405"/>
      <c r="B98" s="149">
        <v>130000000</v>
      </c>
      <c r="C98" s="3626" t="s">
        <v>2256</v>
      </c>
      <c r="D98" s="149">
        <v>208000000</v>
      </c>
      <c r="E98" s="754"/>
      <c r="F98" s="753"/>
      <c r="G98" s="4407"/>
      <c r="H98" s="4409"/>
    </row>
    <row r="99" spans="1:8" ht="50.1" customHeight="1" x14ac:dyDescent="0.2">
      <c r="A99" s="4410" t="s">
        <v>1612</v>
      </c>
      <c r="B99" s="156">
        <v>785000000</v>
      </c>
      <c r="C99" s="4413" t="s">
        <v>2239</v>
      </c>
      <c r="D99" s="598">
        <f>B99*0.06</f>
        <v>47100000</v>
      </c>
      <c r="E99" s="598">
        <v>47100000</v>
      </c>
      <c r="F99" s="3629">
        <v>0</v>
      </c>
      <c r="G99" s="164"/>
      <c r="H99" s="3623" t="s">
        <v>877</v>
      </c>
    </row>
    <row r="100" spans="1:8" ht="30" customHeight="1" x14ac:dyDescent="0.2">
      <c r="A100" s="4411"/>
      <c r="B100" s="156">
        <v>77200000</v>
      </c>
      <c r="C100" s="4414"/>
      <c r="D100" s="598">
        <f>B100*0.065</f>
        <v>5018000</v>
      </c>
      <c r="E100" s="598">
        <v>5018000</v>
      </c>
      <c r="F100" s="3629">
        <v>0</v>
      </c>
      <c r="G100" s="3626"/>
      <c r="H100" s="3623" t="s">
        <v>5161</v>
      </c>
    </row>
    <row r="101" spans="1:8" ht="30" customHeight="1" x14ac:dyDescent="0.2">
      <c r="A101" s="4411"/>
      <c r="B101" s="156">
        <v>97800000</v>
      </c>
      <c r="C101" s="4414"/>
      <c r="D101" s="598">
        <f t="shared" ref="D101" si="8">B101*0.065</f>
        <v>6357000</v>
      </c>
      <c r="E101" s="598">
        <v>6357000</v>
      </c>
      <c r="F101" s="3629">
        <v>0</v>
      </c>
      <c r="G101" s="3626"/>
      <c r="H101" s="3623" t="s">
        <v>5162</v>
      </c>
    </row>
    <row r="102" spans="1:8" ht="30" customHeight="1" x14ac:dyDescent="0.2">
      <c r="A102" s="4412"/>
      <c r="B102" s="400">
        <f>SUM(B99:B101)</f>
        <v>960000000</v>
      </c>
      <c r="C102" s="4415"/>
      <c r="D102" s="3313">
        <f>D99+D100+D101</f>
        <v>58475000</v>
      </c>
      <c r="E102" s="3313">
        <f>E99+E100+E101</f>
        <v>58475000</v>
      </c>
      <c r="F102" s="3629">
        <v>0</v>
      </c>
      <c r="G102" s="3626"/>
      <c r="H102" s="3623"/>
    </row>
    <row r="103" spans="1:8" ht="30" customHeight="1" x14ac:dyDescent="0.2">
      <c r="A103" s="444" t="s">
        <v>2231</v>
      </c>
      <c r="B103" s="149">
        <v>275000000</v>
      </c>
      <c r="C103" s="3625" t="s">
        <v>2239</v>
      </c>
      <c r="D103" s="3629">
        <v>11550000</v>
      </c>
      <c r="E103" s="3625">
        <f>B103*0.06</f>
        <v>16500000</v>
      </c>
      <c r="F103" s="3630">
        <f>E103-D103</f>
        <v>4950000</v>
      </c>
      <c r="G103" s="3632">
        <v>9157054132</v>
      </c>
      <c r="H103" s="738"/>
    </row>
    <row r="104" spans="1:8" ht="30" customHeight="1" x14ac:dyDescent="0.2">
      <c r="A104" s="743" t="s">
        <v>2003</v>
      </c>
      <c r="B104" s="212">
        <v>250000000</v>
      </c>
      <c r="C104" s="3630" t="s">
        <v>2239</v>
      </c>
      <c r="D104" s="3629">
        <f>B104*0.05</f>
        <v>12500000</v>
      </c>
      <c r="E104" s="3630">
        <f>B104*0.065</f>
        <v>16250000</v>
      </c>
      <c r="F104" s="3630">
        <f t="shared" ref="F104:F113" si="9">E104-D104</f>
        <v>3750000</v>
      </c>
      <c r="G104" s="3625"/>
      <c r="H104" s="451"/>
    </row>
    <row r="105" spans="1:8" ht="30" customHeight="1" x14ac:dyDescent="0.2">
      <c r="A105" s="443"/>
      <c r="B105" s="212"/>
      <c r="C105" s="3630"/>
      <c r="D105" s="3629"/>
      <c r="E105" s="3630"/>
      <c r="F105" s="3630"/>
      <c r="G105" s="3632"/>
      <c r="H105" s="738"/>
    </row>
    <row r="106" spans="1:8" ht="30" customHeight="1" x14ac:dyDescent="0.2">
      <c r="A106" s="443" t="s">
        <v>2233</v>
      </c>
      <c r="B106" s="212">
        <v>490000000</v>
      </c>
      <c r="C106" s="3630" t="s">
        <v>2239</v>
      </c>
      <c r="D106" s="3629">
        <v>29500000</v>
      </c>
      <c r="E106" s="3630">
        <f>B106*0.065</f>
        <v>31850000</v>
      </c>
      <c r="F106" s="3630">
        <f t="shared" si="9"/>
        <v>2350000</v>
      </c>
      <c r="G106" s="3632"/>
      <c r="H106" s="738"/>
    </row>
    <row r="107" spans="1:8" ht="30" customHeight="1" x14ac:dyDescent="0.2">
      <c r="A107" s="4402" t="s">
        <v>2234</v>
      </c>
      <c r="B107" s="212">
        <v>95000000</v>
      </c>
      <c r="C107" s="3630" t="s">
        <v>2239</v>
      </c>
      <c r="D107" s="3629">
        <v>3800000</v>
      </c>
      <c r="E107" s="3630">
        <f t="shared" ref="E107:E112" si="10">B107*0.06</f>
        <v>5700000</v>
      </c>
      <c r="F107" s="3630">
        <f t="shared" si="9"/>
        <v>1900000</v>
      </c>
      <c r="G107" s="3632" t="s">
        <v>2240</v>
      </c>
      <c r="H107" s="738"/>
    </row>
    <row r="108" spans="1:8" ht="30" customHeight="1" x14ac:dyDescent="0.2">
      <c r="A108" s="4403"/>
      <c r="B108" s="212">
        <v>55000000</v>
      </c>
      <c r="C108" s="3630" t="s">
        <v>2239</v>
      </c>
      <c r="D108" s="3629">
        <v>2200000</v>
      </c>
      <c r="E108" s="3630">
        <f>B108*0.065</f>
        <v>3575000</v>
      </c>
      <c r="F108" s="3630">
        <f t="shared" si="9"/>
        <v>1375000</v>
      </c>
      <c r="G108" s="3632"/>
      <c r="H108" s="738"/>
    </row>
    <row r="109" spans="1:8" ht="30" customHeight="1" x14ac:dyDescent="0.2">
      <c r="A109" s="443" t="s">
        <v>154</v>
      </c>
      <c r="B109" s="212">
        <v>200000000</v>
      </c>
      <c r="C109" s="3630" t="s">
        <v>2239</v>
      </c>
      <c r="D109" s="3629">
        <v>10000000</v>
      </c>
      <c r="E109" s="3630">
        <f t="shared" si="10"/>
        <v>12000000</v>
      </c>
      <c r="F109" s="3630">
        <f t="shared" si="9"/>
        <v>2000000</v>
      </c>
      <c r="G109" s="3632" t="s">
        <v>2241</v>
      </c>
      <c r="H109" s="738"/>
    </row>
    <row r="110" spans="1:8" ht="30" customHeight="1" x14ac:dyDescent="0.2">
      <c r="A110" s="443" t="s">
        <v>227</v>
      </c>
      <c r="B110" s="212">
        <v>100000000</v>
      </c>
      <c r="C110" s="3630" t="s">
        <v>2239</v>
      </c>
      <c r="D110" s="3629">
        <v>4000000</v>
      </c>
      <c r="E110" s="3630">
        <f t="shared" si="10"/>
        <v>6000000</v>
      </c>
      <c r="F110" s="3630">
        <f t="shared" si="9"/>
        <v>2000000</v>
      </c>
      <c r="G110" s="3632"/>
      <c r="H110" s="738"/>
    </row>
    <row r="111" spans="1:8" ht="30" customHeight="1" x14ac:dyDescent="0.2">
      <c r="A111" s="443" t="s">
        <v>2235</v>
      </c>
      <c r="B111" s="212">
        <v>160000000</v>
      </c>
      <c r="C111" s="3630" t="s">
        <v>2239</v>
      </c>
      <c r="D111" s="3629">
        <v>6400000</v>
      </c>
      <c r="E111" s="3630">
        <f t="shared" si="10"/>
        <v>9600000</v>
      </c>
      <c r="F111" s="3630">
        <f t="shared" si="9"/>
        <v>3200000</v>
      </c>
      <c r="G111" s="3632" t="s">
        <v>2242</v>
      </c>
      <c r="H111" s="738"/>
    </row>
    <row r="112" spans="1:8" ht="30" customHeight="1" x14ac:dyDescent="0.2">
      <c r="A112" s="443" t="s">
        <v>2236</v>
      </c>
      <c r="B112" s="212">
        <v>150000000</v>
      </c>
      <c r="C112" s="3630" t="s">
        <v>2239</v>
      </c>
      <c r="D112" s="3629">
        <v>6000000</v>
      </c>
      <c r="E112" s="3630">
        <f t="shared" si="10"/>
        <v>9000000</v>
      </c>
      <c r="F112" s="3630">
        <f t="shared" si="9"/>
        <v>3000000</v>
      </c>
      <c r="G112" s="3632" t="s">
        <v>2243</v>
      </c>
      <c r="H112" s="738"/>
    </row>
    <row r="113" spans="1:8" ht="30" customHeight="1" x14ac:dyDescent="0.2">
      <c r="A113" s="744" t="s">
        <v>487</v>
      </c>
      <c r="B113" s="442">
        <v>80000000</v>
      </c>
      <c r="C113" s="3624" t="s">
        <v>2239</v>
      </c>
      <c r="D113" s="3633">
        <v>3200000</v>
      </c>
      <c r="E113" s="3624">
        <f>B113*0.06</f>
        <v>4800000</v>
      </c>
      <c r="F113" s="3624">
        <f t="shared" si="9"/>
        <v>1600000</v>
      </c>
      <c r="G113" s="3631">
        <v>9154435809</v>
      </c>
      <c r="H113" s="742" t="s">
        <v>2245</v>
      </c>
    </row>
    <row r="114" spans="1:8" ht="30" customHeight="1" x14ac:dyDescent="0.2">
      <c r="A114" s="247" t="s">
        <v>2249</v>
      </c>
      <c r="B114" s="3630">
        <v>0</v>
      </c>
      <c r="C114" s="3630"/>
      <c r="D114" s="3630">
        <v>3000000</v>
      </c>
      <c r="E114" s="3630">
        <v>0</v>
      </c>
      <c r="F114" s="3630">
        <v>0</v>
      </c>
      <c r="G114" s="3635"/>
      <c r="H114" s="3635"/>
    </row>
    <row r="115" spans="1:8" ht="30" customHeight="1" x14ac:dyDescent="0.2">
      <c r="A115" s="247" t="s">
        <v>2250</v>
      </c>
      <c r="B115" s="3630">
        <v>0</v>
      </c>
      <c r="C115" s="3630"/>
      <c r="D115" s="3630">
        <v>0</v>
      </c>
      <c r="E115" s="3630">
        <v>0</v>
      </c>
      <c r="F115" s="3630">
        <v>5000000</v>
      </c>
      <c r="G115" s="3635"/>
      <c r="H115" s="3635"/>
    </row>
    <row r="116" spans="1:8" ht="30" customHeight="1" x14ac:dyDescent="0.2">
      <c r="A116" s="247" t="s">
        <v>876</v>
      </c>
      <c r="B116" s="3622">
        <f>SUM(B102:B115)</f>
        <v>2815000000</v>
      </c>
      <c r="C116" s="3630"/>
      <c r="D116" s="3622">
        <f>SUM(D102:D115)</f>
        <v>150625000</v>
      </c>
      <c r="E116" s="3622">
        <f>SUM(E102:E115)</f>
        <v>173750000</v>
      </c>
      <c r="F116" s="745">
        <f>SUM(F99:F115)</f>
        <v>31125000</v>
      </c>
      <c r="G116" s="3635"/>
      <c r="H116" s="3635"/>
    </row>
    <row r="117" spans="1:8" ht="30" customHeight="1" x14ac:dyDescent="0.2">
      <c r="A117" s="247" t="s">
        <v>2251</v>
      </c>
      <c r="B117" s="4303">
        <f>F116+D102</f>
        <v>89600000</v>
      </c>
      <c r="C117" s="4324"/>
      <c r="D117" s="4324"/>
      <c r="E117" s="4324"/>
      <c r="F117" s="4324"/>
      <c r="G117" s="4355"/>
      <c r="H117" s="3635"/>
    </row>
    <row r="118" spans="1:8" ht="30" customHeight="1" x14ac:dyDescent="0.2">
      <c r="A118" s="746" t="s">
        <v>2252</v>
      </c>
      <c r="B118" s="4303">
        <f>15600000-7800000</f>
        <v>7800000</v>
      </c>
      <c r="C118" s="4324"/>
      <c r="D118" s="4324"/>
      <c r="E118" s="4324"/>
      <c r="F118" s="4324"/>
      <c r="G118" s="4355"/>
      <c r="H118" s="3630"/>
    </row>
    <row r="119" spans="1:8" ht="30" customHeight="1" x14ac:dyDescent="0.2">
      <c r="A119" s="746" t="s">
        <v>2253</v>
      </c>
      <c r="B119" s="4395">
        <f>B117+B118</f>
        <v>97400000</v>
      </c>
      <c r="C119" s="4395"/>
      <c r="D119" s="4395"/>
      <c r="E119" s="4395"/>
      <c r="F119" s="4395"/>
      <c r="G119" s="4395"/>
      <c r="H119" s="18" t="s">
        <v>2254</v>
      </c>
    </row>
    <row r="120" spans="1:8" ht="30" customHeight="1" x14ac:dyDescent="0.2">
      <c r="A120" s="4396" t="s">
        <v>2255</v>
      </c>
      <c r="B120" s="4397"/>
      <c r="C120" s="4397"/>
      <c r="D120" s="4397"/>
      <c r="E120" s="4397"/>
      <c r="F120" s="4397"/>
      <c r="G120" s="4397"/>
      <c r="H120" s="4398"/>
    </row>
    <row r="121" spans="1:8" ht="30" customHeight="1" x14ac:dyDescent="0.2">
      <c r="A121" s="4399"/>
      <c r="B121" s="4400"/>
      <c r="C121" s="4400"/>
      <c r="D121" s="4400"/>
      <c r="E121" s="4400"/>
      <c r="F121" s="4400"/>
      <c r="G121" s="4400"/>
      <c r="H121" s="4401"/>
    </row>
    <row r="125" spans="1:8" ht="15" thickBot="1" x14ac:dyDescent="0.25"/>
    <row r="126" spans="1:8" ht="50.1" customHeight="1" thickBot="1" x14ac:dyDescent="0.25">
      <c r="A126" s="4392" t="s">
        <v>5548</v>
      </c>
      <c r="B126" s="4393"/>
      <c r="C126" s="4393"/>
      <c r="D126" s="4393"/>
      <c r="E126" s="4393"/>
      <c r="F126" s="4393"/>
      <c r="G126" s="4393"/>
      <c r="H126" s="4394"/>
    </row>
    <row r="127" spans="1:8" ht="50.1" customHeight="1" x14ac:dyDescent="0.2">
      <c r="A127" s="446" t="s">
        <v>2230</v>
      </c>
      <c r="B127" s="447" t="s">
        <v>2237</v>
      </c>
      <c r="C127" s="447" t="s">
        <v>2238</v>
      </c>
      <c r="D127" s="447" t="s">
        <v>2246</v>
      </c>
      <c r="E127" s="741" t="s">
        <v>2247</v>
      </c>
      <c r="F127" s="447" t="s">
        <v>2248</v>
      </c>
      <c r="G127" s="447" t="s">
        <v>332</v>
      </c>
      <c r="H127" s="448" t="s">
        <v>268</v>
      </c>
    </row>
    <row r="128" spans="1:8" ht="50.1" customHeight="1" x14ac:dyDescent="0.2">
      <c r="A128" s="4404" t="s">
        <v>487</v>
      </c>
      <c r="B128" s="400">
        <v>130000000</v>
      </c>
      <c r="C128" s="401" t="s">
        <v>2256</v>
      </c>
      <c r="D128" s="400">
        <v>208000000</v>
      </c>
      <c r="E128" s="3314"/>
      <c r="F128" s="3315"/>
      <c r="G128" s="4406"/>
      <c r="H128" s="4408" t="s">
        <v>2254</v>
      </c>
    </row>
    <row r="129" spans="1:8" ht="50.1" customHeight="1" x14ac:dyDescent="0.2">
      <c r="A129" s="4405"/>
      <c r="B129" s="149">
        <v>130000000</v>
      </c>
      <c r="C129" s="3774" t="s">
        <v>2256</v>
      </c>
      <c r="D129" s="149">
        <v>208000000</v>
      </c>
      <c r="E129" s="754"/>
      <c r="F129" s="753"/>
      <c r="G129" s="4407"/>
      <c r="H129" s="4409"/>
    </row>
    <row r="130" spans="1:8" ht="50.1" customHeight="1" x14ac:dyDescent="0.2">
      <c r="A130" s="4410" t="s">
        <v>1612</v>
      </c>
      <c r="B130" s="156">
        <v>785000000</v>
      </c>
      <c r="C130" s="4413" t="s">
        <v>2239</v>
      </c>
      <c r="D130" s="598">
        <f>B130*0.06</f>
        <v>47100000</v>
      </c>
      <c r="E130" s="598">
        <v>47100000</v>
      </c>
      <c r="F130" s="3796">
        <v>0</v>
      </c>
      <c r="G130" s="164"/>
      <c r="H130" s="3775" t="s">
        <v>877</v>
      </c>
    </row>
    <row r="131" spans="1:8" ht="30" customHeight="1" x14ac:dyDescent="0.2">
      <c r="A131" s="4411"/>
      <c r="B131" s="156">
        <v>77200000</v>
      </c>
      <c r="C131" s="4414"/>
      <c r="D131" s="598">
        <f>B131*0.065</f>
        <v>5018000</v>
      </c>
      <c r="E131" s="598">
        <v>5018000</v>
      </c>
      <c r="F131" s="3796">
        <v>0</v>
      </c>
      <c r="G131" s="3774"/>
      <c r="H131" s="3775" t="s">
        <v>5161</v>
      </c>
    </row>
    <row r="132" spans="1:8" ht="30" customHeight="1" x14ac:dyDescent="0.2">
      <c r="A132" s="4411"/>
      <c r="B132" s="156">
        <v>97800000</v>
      </c>
      <c r="C132" s="4414"/>
      <c r="D132" s="598">
        <f t="shared" ref="D132" si="11">B132*0.065</f>
        <v>6357000</v>
      </c>
      <c r="E132" s="598">
        <v>6357000</v>
      </c>
      <c r="F132" s="3796">
        <v>0</v>
      </c>
      <c r="G132" s="3774"/>
      <c r="H132" s="3775" t="s">
        <v>5162</v>
      </c>
    </row>
    <row r="133" spans="1:8" ht="30" customHeight="1" x14ac:dyDescent="0.2">
      <c r="A133" s="4411"/>
      <c r="B133" s="156">
        <v>50000000</v>
      </c>
      <c r="C133" s="4414"/>
      <c r="D133" s="598">
        <f>B133*0.065</f>
        <v>3250000</v>
      </c>
      <c r="E133" s="598">
        <v>3250000</v>
      </c>
      <c r="F133" s="3796">
        <v>0</v>
      </c>
      <c r="G133" s="3774"/>
      <c r="H133" s="3775" t="s">
        <v>5549</v>
      </c>
    </row>
    <row r="134" spans="1:8" ht="30" customHeight="1" x14ac:dyDescent="0.2">
      <c r="A134" s="4412"/>
      <c r="B134" s="400">
        <f>SUM(B130:B133)</f>
        <v>1010000000</v>
      </c>
      <c r="C134" s="4415"/>
      <c r="D134" s="3842">
        <f>D130+D131+D132+D133</f>
        <v>61725000</v>
      </c>
      <c r="E134" s="3842">
        <f>E130+E131+E132+E133</f>
        <v>61725000</v>
      </c>
      <c r="F134" s="3796">
        <v>0</v>
      </c>
      <c r="G134" s="3774"/>
      <c r="H134" s="3775"/>
    </row>
    <row r="135" spans="1:8" ht="30" customHeight="1" x14ac:dyDescent="0.2">
      <c r="A135" s="444" t="s">
        <v>2231</v>
      </c>
      <c r="B135" s="149">
        <v>275000000</v>
      </c>
      <c r="C135" s="3778" t="s">
        <v>2239</v>
      </c>
      <c r="D135" s="3796">
        <v>11550000</v>
      </c>
      <c r="E135" s="3778">
        <f>B135*0.06</f>
        <v>16500000</v>
      </c>
      <c r="F135" s="3800">
        <f>E135-D135</f>
        <v>4950000</v>
      </c>
      <c r="G135" s="3803">
        <v>9157054132</v>
      </c>
      <c r="H135" s="738"/>
    </row>
    <row r="136" spans="1:8" ht="30" customHeight="1" x14ac:dyDescent="0.2">
      <c r="A136" s="743" t="s">
        <v>2003</v>
      </c>
      <c r="B136" s="212">
        <v>250000000</v>
      </c>
      <c r="C136" s="3800" t="s">
        <v>2239</v>
      </c>
      <c r="D136" s="3796">
        <f>B136*0.05</f>
        <v>12500000</v>
      </c>
      <c r="E136" s="3800">
        <f>B136*0.065</f>
        <v>16250000</v>
      </c>
      <c r="F136" s="3800">
        <f t="shared" ref="F136" si="12">E136-D136</f>
        <v>3750000</v>
      </c>
      <c r="G136" s="3778"/>
      <c r="H136" s="451"/>
    </row>
    <row r="137" spans="1:8" ht="30" customHeight="1" x14ac:dyDescent="0.2">
      <c r="A137" s="443"/>
      <c r="B137" s="212"/>
      <c r="C137" s="3800"/>
      <c r="D137" s="3796"/>
      <c r="E137" s="3800"/>
      <c r="F137" s="3800"/>
      <c r="G137" s="3803"/>
      <c r="H137" s="738"/>
    </row>
    <row r="138" spans="1:8" ht="30" customHeight="1" x14ac:dyDescent="0.2">
      <c r="A138" s="443" t="s">
        <v>2233</v>
      </c>
      <c r="B138" s="212">
        <v>490000000</v>
      </c>
      <c r="C138" s="3800" t="s">
        <v>2239</v>
      </c>
      <c r="D138" s="3796">
        <v>29500000</v>
      </c>
      <c r="E138" s="3800">
        <f>B138*0.065</f>
        <v>31850000</v>
      </c>
      <c r="F138" s="3800">
        <f t="shared" ref="F138:F145" si="13">E138-D138</f>
        <v>2350000</v>
      </c>
      <c r="G138" s="3803"/>
      <c r="H138" s="738"/>
    </row>
    <row r="139" spans="1:8" ht="30" customHeight="1" x14ac:dyDescent="0.2">
      <c r="A139" s="4402" t="s">
        <v>2234</v>
      </c>
      <c r="B139" s="212">
        <v>95000000</v>
      </c>
      <c r="C139" s="3800" t="s">
        <v>2239</v>
      </c>
      <c r="D139" s="3796">
        <v>3800000</v>
      </c>
      <c r="E139" s="3800">
        <f t="shared" ref="E139" si="14">B139*0.06</f>
        <v>5700000</v>
      </c>
      <c r="F139" s="3800">
        <f t="shared" si="13"/>
        <v>1900000</v>
      </c>
      <c r="G139" s="3803" t="s">
        <v>2240</v>
      </c>
      <c r="H139" s="738"/>
    </row>
    <row r="140" spans="1:8" ht="30" customHeight="1" x14ac:dyDescent="0.2">
      <c r="A140" s="4403"/>
      <c r="B140" s="212">
        <v>55000000</v>
      </c>
      <c r="C140" s="3800" t="s">
        <v>2239</v>
      </c>
      <c r="D140" s="3796">
        <v>2200000</v>
      </c>
      <c r="E140" s="3800">
        <f>B140*0.065</f>
        <v>3575000</v>
      </c>
      <c r="F140" s="3800">
        <f t="shared" si="13"/>
        <v>1375000</v>
      </c>
      <c r="G140" s="3803"/>
      <c r="H140" s="738"/>
    </row>
    <row r="141" spans="1:8" ht="30" customHeight="1" x14ac:dyDescent="0.2">
      <c r="A141" s="443" t="s">
        <v>154</v>
      </c>
      <c r="B141" s="212">
        <v>200000000</v>
      </c>
      <c r="C141" s="3800" t="s">
        <v>2239</v>
      </c>
      <c r="D141" s="3796">
        <v>10000000</v>
      </c>
      <c r="E141" s="3800">
        <f t="shared" ref="E141:E144" si="15">B141*0.06</f>
        <v>12000000</v>
      </c>
      <c r="F141" s="3800">
        <f t="shared" si="13"/>
        <v>2000000</v>
      </c>
      <c r="G141" s="3803" t="s">
        <v>2241</v>
      </c>
      <c r="H141" s="738"/>
    </row>
    <row r="142" spans="1:8" ht="30" customHeight="1" x14ac:dyDescent="0.2">
      <c r="A142" s="443" t="s">
        <v>227</v>
      </c>
      <c r="B142" s="212">
        <v>100000000</v>
      </c>
      <c r="C142" s="3800" t="s">
        <v>2239</v>
      </c>
      <c r="D142" s="3796">
        <v>4000000</v>
      </c>
      <c r="E142" s="3800">
        <f t="shared" si="15"/>
        <v>6000000</v>
      </c>
      <c r="F142" s="3800">
        <f t="shared" si="13"/>
        <v>2000000</v>
      </c>
      <c r="G142" s="3803"/>
      <c r="H142" s="738"/>
    </row>
    <row r="143" spans="1:8" ht="30" customHeight="1" x14ac:dyDescent="0.2">
      <c r="A143" s="443" t="s">
        <v>2235</v>
      </c>
      <c r="B143" s="212">
        <v>160000000</v>
      </c>
      <c r="C143" s="3800" t="s">
        <v>2239</v>
      </c>
      <c r="D143" s="3796">
        <v>6400000</v>
      </c>
      <c r="E143" s="3800">
        <f t="shared" si="15"/>
        <v>9600000</v>
      </c>
      <c r="F143" s="3800">
        <f t="shared" si="13"/>
        <v>3200000</v>
      </c>
      <c r="G143" s="3803" t="s">
        <v>2242</v>
      </c>
      <c r="H143" s="738"/>
    </row>
    <row r="144" spans="1:8" ht="30" customHeight="1" x14ac:dyDescent="0.2">
      <c r="A144" s="443" t="s">
        <v>2236</v>
      </c>
      <c r="B144" s="212">
        <v>150000000</v>
      </c>
      <c r="C144" s="3800" t="s">
        <v>2239</v>
      </c>
      <c r="D144" s="3796">
        <v>6000000</v>
      </c>
      <c r="E144" s="3800">
        <f t="shared" si="15"/>
        <v>9000000</v>
      </c>
      <c r="F144" s="3800">
        <f t="shared" si="13"/>
        <v>3000000</v>
      </c>
      <c r="G144" s="3803" t="s">
        <v>2243</v>
      </c>
      <c r="H144" s="738"/>
    </row>
    <row r="145" spans="1:8" ht="30" customHeight="1" x14ac:dyDescent="0.2">
      <c r="A145" s="744" t="s">
        <v>487</v>
      </c>
      <c r="B145" s="442">
        <v>80000000</v>
      </c>
      <c r="C145" s="3776" t="s">
        <v>2239</v>
      </c>
      <c r="D145" s="3818">
        <v>3200000</v>
      </c>
      <c r="E145" s="3776">
        <f>B145*0.06</f>
        <v>4800000</v>
      </c>
      <c r="F145" s="3776">
        <f t="shared" si="13"/>
        <v>1600000</v>
      </c>
      <c r="G145" s="3802">
        <v>9154435809</v>
      </c>
      <c r="H145" s="742" t="s">
        <v>2245</v>
      </c>
    </row>
    <row r="146" spans="1:8" ht="30" customHeight="1" x14ac:dyDescent="0.2">
      <c r="A146" s="247" t="s">
        <v>2249</v>
      </c>
      <c r="B146" s="3800">
        <v>0</v>
      </c>
      <c r="C146" s="3800"/>
      <c r="D146" s="3800">
        <v>3000000</v>
      </c>
      <c r="E146" s="3800">
        <v>0</v>
      </c>
      <c r="F146" s="3800">
        <v>0</v>
      </c>
      <c r="G146" s="3823"/>
      <c r="H146" s="3823"/>
    </row>
    <row r="147" spans="1:8" ht="30" customHeight="1" x14ac:dyDescent="0.2">
      <c r="A147" s="247" t="s">
        <v>2250</v>
      </c>
      <c r="B147" s="3800">
        <v>0</v>
      </c>
      <c r="C147" s="3800"/>
      <c r="D147" s="3800">
        <v>0</v>
      </c>
      <c r="E147" s="3800">
        <v>0</v>
      </c>
      <c r="F147" s="3800">
        <v>5000000</v>
      </c>
      <c r="G147" s="3823"/>
      <c r="H147" s="3823"/>
    </row>
    <row r="148" spans="1:8" ht="30" customHeight="1" x14ac:dyDescent="0.2">
      <c r="A148" s="247" t="s">
        <v>876</v>
      </c>
      <c r="B148" s="3773">
        <f>SUM(B134:B147)</f>
        <v>2865000000</v>
      </c>
      <c r="C148" s="3800"/>
      <c r="D148" s="3773">
        <f>SUM(D134:D147)</f>
        <v>153875000</v>
      </c>
      <c r="E148" s="3773">
        <f>SUM(E134:E147)</f>
        <v>177000000</v>
      </c>
      <c r="F148" s="745">
        <f>SUM(F130:F147)</f>
        <v>31125000</v>
      </c>
      <c r="G148" s="3823"/>
      <c r="H148" s="3823"/>
    </row>
    <row r="149" spans="1:8" ht="30" customHeight="1" x14ac:dyDescent="0.2">
      <c r="A149" s="247" t="s">
        <v>2251</v>
      </c>
      <c r="B149" s="4303">
        <f>F148+D134</f>
        <v>92850000</v>
      </c>
      <c r="C149" s="4324"/>
      <c r="D149" s="4324"/>
      <c r="E149" s="4324"/>
      <c r="F149" s="4324"/>
      <c r="G149" s="4355"/>
      <c r="H149" s="3823"/>
    </row>
    <row r="150" spans="1:8" ht="30" customHeight="1" x14ac:dyDescent="0.2">
      <c r="A150" s="746" t="s">
        <v>2252</v>
      </c>
      <c r="B150" s="4303">
        <f>15600000-7800000</f>
        <v>7800000</v>
      </c>
      <c r="C150" s="4324"/>
      <c r="D150" s="4324"/>
      <c r="E150" s="4324"/>
      <c r="F150" s="4324"/>
      <c r="G150" s="4355"/>
      <c r="H150" s="3800"/>
    </row>
    <row r="151" spans="1:8" ht="30" customHeight="1" x14ac:dyDescent="0.2">
      <c r="A151" s="746" t="s">
        <v>2253</v>
      </c>
      <c r="B151" s="4395">
        <f>B149+B150</f>
        <v>100650000</v>
      </c>
      <c r="C151" s="4395"/>
      <c r="D151" s="4395"/>
      <c r="E151" s="4395"/>
      <c r="F151" s="4395"/>
      <c r="G151" s="4395"/>
      <c r="H151" s="18" t="s">
        <v>2254</v>
      </c>
    </row>
    <row r="152" spans="1:8" ht="30" customHeight="1" x14ac:dyDescent="0.2">
      <c r="A152" s="4396" t="s">
        <v>2255</v>
      </c>
      <c r="B152" s="4397"/>
      <c r="C152" s="4397"/>
      <c r="D152" s="4397"/>
      <c r="E152" s="4397"/>
      <c r="F152" s="4397"/>
      <c r="G152" s="4397"/>
      <c r="H152" s="4398"/>
    </row>
    <row r="153" spans="1:8" ht="30" customHeight="1" x14ac:dyDescent="0.2">
      <c r="A153" s="4399"/>
      <c r="B153" s="4400"/>
      <c r="C153" s="4400"/>
      <c r="D153" s="4400"/>
      <c r="E153" s="4400"/>
      <c r="F153" s="4400"/>
      <c r="G153" s="4400"/>
      <c r="H153" s="4401"/>
    </row>
  </sheetData>
  <mergeCells count="52">
    <mergeCell ref="A139:A140"/>
    <mergeCell ref="B149:G149"/>
    <mergeCell ref="B150:G150"/>
    <mergeCell ref="B151:G151"/>
    <mergeCell ref="A152:H153"/>
    <mergeCell ref="A126:H126"/>
    <mergeCell ref="A128:A129"/>
    <mergeCell ref="G128:G129"/>
    <mergeCell ref="H128:H129"/>
    <mergeCell ref="A130:A134"/>
    <mergeCell ref="C130:C134"/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  <mergeCell ref="B55:G55"/>
    <mergeCell ref="B56:G56"/>
    <mergeCell ref="A57:H58"/>
    <mergeCell ref="B29:G29"/>
    <mergeCell ref="A36:H36"/>
    <mergeCell ref="A38:A39"/>
    <mergeCell ref="G38:G39"/>
    <mergeCell ref="H38:H39"/>
    <mergeCell ref="B54:G54"/>
    <mergeCell ref="A64:H64"/>
    <mergeCell ref="A66:A67"/>
    <mergeCell ref="G66:G67"/>
    <mergeCell ref="H66:H67"/>
    <mergeCell ref="B85:G85"/>
    <mergeCell ref="B86:G86"/>
    <mergeCell ref="B87:G87"/>
    <mergeCell ref="A88:H89"/>
    <mergeCell ref="A68:A71"/>
    <mergeCell ref="C68:C71"/>
    <mergeCell ref="A95:H95"/>
    <mergeCell ref="A97:A98"/>
    <mergeCell ref="G97:G98"/>
    <mergeCell ref="H97:H98"/>
    <mergeCell ref="A99:A102"/>
    <mergeCell ref="C99:C102"/>
    <mergeCell ref="B117:G117"/>
    <mergeCell ref="B118:G118"/>
    <mergeCell ref="B119:G119"/>
    <mergeCell ref="A120:H121"/>
    <mergeCell ref="A107:A10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topLeftCell="A5" workbookViewId="0">
      <selection activeCell="A2" sqref="A2:XFD15"/>
    </sheetView>
  </sheetViews>
  <sheetFormatPr defaultRowHeight="14.25" x14ac:dyDescent="0.2"/>
  <cols>
    <col min="1" max="1" width="5.75" customWidth="1"/>
    <col min="2" max="4" width="20.625" customWidth="1"/>
    <col min="5" max="5" width="23.625" customWidth="1"/>
    <col min="6" max="6" width="11.75" customWidth="1"/>
    <col min="7" max="7" width="39.875" customWidth="1"/>
  </cols>
  <sheetData>
    <row r="1" spans="1:7" ht="15" thickBot="1" x14ac:dyDescent="0.25"/>
    <row r="2" spans="1:7" ht="50.1" customHeight="1" thickBot="1" x14ac:dyDescent="0.25">
      <c r="A2" s="4296" t="s">
        <v>5102</v>
      </c>
      <c r="B2" s="4297"/>
      <c r="C2" s="4297"/>
      <c r="D2" s="4297"/>
      <c r="E2" s="4297"/>
      <c r="F2" s="4297"/>
      <c r="G2" s="4298"/>
    </row>
    <row r="3" spans="1:7" ht="50.1" customHeight="1" x14ac:dyDescent="0.2">
      <c r="A3" s="1858" t="s">
        <v>0</v>
      </c>
      <c r="B3" s="8" t="s">
        <v>3795</v>
      </c>
      <c r="C3" s="8" t="s">
        <v>3796</v>
      </c>
      <c r="D3" s="8" t="s">
        <v>3797</v>
      </c>
      <c r="E3" s="1" t="s">
        <v>3798</v>
      </c>
      <c r="F3" s="2" t="s">
        <v>3799</v>
      </c>
      <c r="G3" s="2" t="s">
        <v>268</v>
      </c>
    </row>
    <row r="4" spans="1:7" ht="30" customHeight="1" x14ac:dyDescent="0.2">
      <c r="A4" s="3210">
        <v>1</v>
      </c>
      <c r="B4" s="401" t="s">
        <v>4501</v>
      </c>
      <c r="C4" s="3185">
        <v>195000000</v>
      </c>
      <c r="D4" s="401" t="s">
        <v>5103</v>
      </c>
      <c r="E4" s="3185" t="s">
        <v>5104</v>
      </c>
      <c r="F4" s="3213" t="s">
        <v>1180</v>
      </c>
      <c r="G4" s="4106" t="s">
        <v>5899</v>
      </c>
    </row>
    <row r="5" spans="1:7" ht="30" customHeight="1" x14ac:dyDescent="0.2">
      <c r="A5" s="3210">
        <v>2</v>
      </c>
      <c r="B5" s="401" t="s">
        <v>4501</v>
      </c>
      <c r="C5" s="3185">
        <v>195000000</v>
      </c>
      <c r="D5" s="401" t="s">
        <v>5105</v>
      </c>
      <c r="E5" s="3185" t="s">
        <v>5104</v>
      </c>
      <c r="F5" s="3213" t="s">
        <v>1180</v>
      </c>
      <c r="G5" s="4106" t="s">
        <v>5899</v>
      </c>
    </row>
    <row r="6" spans="1:7" ht="30" customHeight="1" x14ac:dyDescent="0.2">
      <c r="A6" s="3210">
        <v>3</v>
      </c>
      <c r="B6" s="401" t="s">
        <v>4501</v>
      </c>
      <c r="C6" s="3185">
        <v>195000000</v>
      </c>
      <c r="D6" s="401" t="s">
        <v>5106</v>
      </c>
      <c r="E6" s="3185" t="s">
        <v>5104</v>
      </c>
      <c r="F6" s="3213" t="s">
        <v>1180</v>
      </c>
      <c r="G6" s="4106" t="s">
        <v>5899</v>
      </c>
    </row>
    <row r="7" spans="1:7" ht="30" customHeight="1" x14ac:dyDescent="0.2">
      <c r="A7" s="3210">
        <v>4</v>
      </c>
      <c r="B7" s="401" t="s">
        <v>5108</v>
      </c>
      <c r="C7" s="3185">
        <v>170000000</v>
      </c>
      <c r="D7" s="401" t="s">
        <v>5109</v>
      </c>
      <c r="E7" s="3185" t="s">
        <v>5104</v>
      </c>
      <c r="F7" s="3213" t="s">
        <v>3819</v>
      </c>
      <c r="G7" s="4106" t="s">
        <v>5899</v>
      </c>
    </row>
    <row r="8" spans="1:7" ht="30" customHeight="1" x14ac:dyDescent="0.2">
      <c r="A8" s="3210">
        <v>5</v>
      </c>
      <c r="B8" s="401" t="s">
        <v>4501</v>
      </c>
      <c r="C8" s="3185">
        <v>175000000</v>
      </c>
      <c r="D8" s="401" t="s">
        <v>5110</v>
      </c>
      <c r="E8" s="3185" t="s">
        <v>5104</v>
      </c>
      <c r="F8" s="3213" t="s">
        <v>3819</v>
      </c>
      <c r="G8" s="4106" t="s">
        <v>5899</v>
      </c>
    </row>
    <row r="9" spans="1:7" ht="30" customHeight="1" x14ac:dyDescent="0.2">
      <c r="A9" s="3210">
        <v>6</v>
      </c>
      <c r="B9" s="401" t="s">
        <v>4501</v>
      </c>
      <c r="C9" s="3185">
        <v>195000000</v>
      </c>
      <c r="D9" s="401" t="s">
        <v>5111</v>
      </c>
      <c r="E9" s="3185" t="s">
        <v>5104</v>
      </c>
      <c r="F9" s="3213" t="s">
        <v>3819</v>
      </c>
      <c r="G9" s="4106" t="s">
        <v>5899</v>
      </c>
    </row>
    <row r="10" spans="1:7" ht="30" customHeight="1" x14ac:dyDescent="0.2">
      <c r="A10" s="3210">
        <v>7</v>
      </c>
      <c r="B10" s="401" t="s">
        <v>5107</v>
      </c>
      <c r="C10" s="3185">
        <v>50000000</v>
      </c>
      <c r="D10" s="401"/>
      <c r="E10" s="3185" t="s">
        <v>5104</v>
      </c>
      <c r="F10" s="3213" t="s">
        <v>5079</v>
      </c>
      <c r="G10" s="4106" t="s">
        <v>5899</v>
      </c>
    </row>
    <row r="11" spans="1:7" ht="30" customHeight="1" x14ac:dyDescent="0.2">
      <c r="A11" s="3210">
        <v>8</v>
      </c>
      <c r="B11" s="4417" t="s">
        <v>5897</v>
      </c>
      <c r="C11" s="4418"/>
      <c r="D11" s="4418"/>
      <c r="E11" s="4418"/>
      <c r="F11" s="4419"/>
      <c r="G11" s="1860"/>
    </row>
    <row r="12" spans="1:7" ht="30" customHeight="1" x14ac:dyDescent="0.2">
      <c r="A12" s="3210">
        <v>9</v>
      </c>
      <c r="B12" s="4417" t="s">
        <v>5898</v>
      </c>
      <c r="C12" s="4418"/>
      <c r="D12" s="4418"/>
      <c r="E12" s="4418"/>
      <c r="F12" s="4419"/>
      <c r="G12" s="1860"/>
    </row>
    <row r="13" spans="1:7" ht="30" customHeight="1" x14ac:dyDescent="0.2">
      <c r="A13" s="3211"/>
      <c r="B13" s="4417" t="s">
        <v>5112</v>
      </c>
      <c r="C13" s="4418"/>
      <c r="D13" s="4418"/>
      <c r="E13" s="4418"/>
      <c r="F13" s="4419"/>
      <c r="G13" s="1860"/>
    </row>
    <row r="14" spans="1:7" ht="30" customHeight="1" x14ac:dyDescent="0.2">
      <c r="A14" s="3211"/>
      <c r="B14" s="4420" t="s">
        <v>5113</v>
      </c>
      <c r="C14" s="4421"/>
      <c r="D14" s="4421"/>
      <c r="E14" s="4421"/>
      <c r="F14" s="4422"/>
      <c r="G14" s="3214"/>
    </row>
    <row r="15" spans="1:7" ht="30" customHeight="1" thickBot="1" x14ac:dyDescent="0.25">
      <c r="A15" s="3212"/>
      <c r="B15" s="3215" t="s">
        <v>5072</v>
      </c>
      <c r="C15" s="4373">
        <f>SUM(C4:C10)</f>
        <v>1175000000</v>
      </c>
      <c r="D15" s="4416"/>
      <c r="E15" s="4416"/>
      <c r="F15" s="4374"/>
      <c r="G15" s="1867"/>
    </row>
  </sheetData>
  <mergeCells count="6">
    <mergeCell ref="A2:G2"/>
    <mergeCell ref="C15:F15"/>
    <mergeCell ref="B11:F11"/>
    <mergeCell ref="B12:F12"/>
    <mergeCell ref="B13:F13"/>
    <mergeCell ref="B14:F1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rightToLeft="1" topLeftCell="A26" workbookViewId="0">
      <selection activeCell="H14" sqref="H14"/>
    </sheetView>
  </sheetViews>
  <sheetFormatPr defaultRowHeight="14.25" x14ac:dyDescent="0.2"/>
  <cols>
    <col min="1" max="1" width="10.625" style="5" customWidth="1"/>
    <col min="2" max="2" width="24.375" customWidth="1"/>
    <col min="3" max="3" width="15.75" customWidth="1"/>
    <col min="4" max="5" width="11.625" customWidth="1"/>
  </cols>
  <sheetData>
    <row r="1" spans="1:5" ht="50.1" customHeight="1" thickBot="1" x14ac:dyDescent="0.25">
      <c r="A1" s="4077"/>
      <c r="B1" s="4296" t="s">
        <v>5900</v>
      </c>
      <c r="C1" s="4297"/>
      <c r="D1" s="4297"/>
      <c r="E1" s="4298"/>
    </row>
    <row r="2" spans="1:5" ht="50.1" customHeight="1" x14ac:dyDescent="0.2">
      <c r="A2" s="189" t="s">
        <v>0</v>
      </c>
      <c r="B2" s="147" t="s">
        <v>879</v>
      </c>
      <c r="C2" s="8" t="s">
        <v>862</v>
      </c>
      <c r="D2" s="213" t="s">
        <v>5901</v>
      </c>
      <c r="E2" s="148" t="s">
        <v>863</v>
      </c>
    </row>
    <row r="3" spans="1:5" ht="30" customHeight="1" x14ac:dyDescent="0.2">
      <c r="A3" s="4076"/>
      <c r="B3" s="4107"/>
      <c r="C3" s="4108"/>
      <c r="D3" s="4301" t="s">
        <v>3852</v>
      </c>
      <c r="E3" s="4302"/>
    </row>
    <row r="4" spans="1:5" ht="30" customHeight="1" x14ac:dyDescent="0.2">
      <c r="A4" s="4076"/>
      <c r="B4" s="149">
        <v>100000000</v>
      </c>
      <c r="C4" s="4079" t="s">
        <v>5018</v>
      </c>
      <c r="D4" s="4109"/>
      <c r="E4" s="4110">
        <v>2005</v>
      </c>
    </row>
    <row r="5" spans="1:5" ht="30" customHeight="1" x14ac:dyDescent="0.2">
      <c r="A5" s="4076"/>
      <c r="B5" s="149">
        <v>50000000</v>
      </c>
      <c r="C5" s="4079" t="s">
        <v>4922</v>
      </c>
      <c r="D5" s="4079">
        <v>3008</v>
      </c>
      <c r="E5" s="4110">
        <v>2005</v>
      </c>
    </row>
    <row r="6" spans="1:5" ht="30" customHeight="1" x14ac:dyDescent="0.2">
      <c r="A6" s="4076">
        <v>1</v>
      </c>
      <c r="B6" s="149">
        <v>50000000</v>
      </c>
      <c r="C6" s="4079" t="s">
        <v>4941</v>
      </c>
      <c r="D6" s="4087">
        <v>3008</v>
      </c>
      <c r="E6" s="4110">
        <v>2005</v>
      </c>
    </row>
    <row r="7" spans="1:5" ht="30" customHeight="1" x14ac:dyDescent="0.2">
      <c r="A7" s="193">
        <v>2</v>
      </c>
      <c r="B7" s="149">
        <v>50000000</v>
      </c>
      <c r="C7" s="4080" t="s">
        <v>4941</v>
      </c>
      <c r="D7" s="24">
        <v>3008</v>
      </c>
      <c r="E7" s="251">
        <v>2005</v>
      </c>
    </row>
    <row r="8" spans="1:5" ht="30" customHeight="1" x14ac:dyDescent="0.2">
      <c r="A8" s="4076">
        <v>3</v>
      </c>
      <c r="B8" s="149">
        <v>50000000</v>
      </c>
      <c r="C8" s="4079" t="s">
        <v>5011</v>
      </c>
      <c r="D8" s="4087">
        <v>3008</v>
      </c>
      <c r="E8" s="151">
        <v>2005</v>
      </c>
    </row>
    <row r="9" spans="1:5" ht="30" customHeight="1" x14ac:dyDescent="0.2">
      <c r="A9" s="193">
        <v>4</v>
      </c>
      <c r="B9" s="149">
        <v>50000000</v>
      </c>
      <c r="C9" s="4079" t="s">
        <v>5011</v>
      </c>
      <c r="D9" s="4087">
        <v>3008</v>
      </c>
      <c r="E9" s="151">
        <v>2005</v>
      </c>
    </row>
    <row r="10" spans="1:5" ht="30" customHeight="1" x14ac:dyDescent="0.2">
      <c r="A10" s="4076">
        <v>5</v>
      </c>
      <c r="B10" s="149">
        <v>100000000</v>
      </c>
      <c r="C10" s="4079" t="s">
        <v>4938</v>
      </c>
      <c r="D10" s="4087">
        <v>3008</v>
      </c>
      <c r="E10" s="151">
        <v>2005</v>
      </c>
    </row>
    <row r="11" spans="1:5" ht="30" customHeight="1" x14ac:dyDescent="0.2">
      <c r="A11" s="193">
        <v>6</v>
      </c>
      <c r="B11" s="149">
        <v>90000000</v>
      </c>
      <c r="C11" s="4079" t="s">
        <v>4938</v>
      </c>
      <c r="D11" s="4087">
        <v>3008</v>
      </c>
      <c r="E11" s="151">
        <v>2005</v>
      </c>
    </row>
    <row r="12" spans="1:5" ht="30" customHeight="1" x14ac:dyDescent="0.2">
      <c r="A12" s="4076">
        <v>7</v>
      </c>
      <c r="B12" s="149">
        <v>100000000</v>
      </c>
      <c r="C12" s="4079" t="s">
        <v>5054</v>
      </c>
      <c r="D12" s="4087">
        <v>3008</v>
      </c>
      <c r="E12" s="151">
        <v>2005</v>
      </c>
    </row>
    <row r="13" spans="1:5" ht="30" customHeight="1" x14ac:dyDescent="0.2">
      <c r="A13" s="193">
        <v>8</v>
      </c>
      <c r="B13" s="149">
        <v>16000000</v>
      </c>
      <c r="C13" s="4079" t="s">
        <v>4961</v>
      </c>
      <c r="D13" s="4087">
        <v>3008</v>
      </c>
      <c r="E13" s="151">
        <v>2005</v>
      </c>
    </row>
    <row r="14" spans="1:5" ht="30" customHeight="1" x14ac:dyDescent="0.2">
      <c r="A14" s="4076">
        <v>9</v>
      </c>
      <c r="B14" s="149">
        <v>100000000</v>
      </c>
      <c r="C14" s="4079" t="s">
        <v>5018</v>
      </c>
      <c r="D14" s="4087"/>
      <c r="E14" s="151">
        <v>2005</v>
      </c>
    </row>
    <row r="15" spans="1:5" ht="30" customHeight="1" x14ac:dyDescent="0.2">
      <c r="A15" s="193">
        <v>10</v>
      </c>
      <c r="B15" s="149">
        <v>200000000</v>
      </c>
      <c r="C15" s="4079" t="s">
        <v>3531</v>
      </c>
      <c r="D15" s="4301" t="s">
        <v>3852</v>
      </c>
      <c r="E15" s="4302"/>
    </row>
    <row r="16" spans="1:5" ht="30" customHeight="1" x14ac:dyDescent="0.2">
      <c r="A16" s="4076">
        <v>11</v>
      </c>
      <c r="B16" s="149">
        <v>200000000</v>
      </c>
      <c r="C16" s="4079" t="s">
        <v>3558</v>
      </c>
      <c r="D16" s="4301" t="s">
        <v>3852</v>
      </c>
      <c r="E16" s="4302"/>
    </row>
    <row r="17" spans="1:9" ht="30" customHeight="1" thickBot="1" x14ac:dyDescent="0.25">
      <c r="A17" s="193">
        <v>12</v>
      </c>
      <c r="B17" s="149">
        <v>200000000</v>
      </c>
      <c r="C17" s="4079" t="s">
        <v>3463</v>
      </c>
      <c r="D17" s="4301" t="s">
        <v>3852</v>
      </c>
      <c r="E17" s="4302"/>
    </row>
    <row r="18" spans="1:9" ht="30" customHeight="1" x14ac:dyDescent="0.2">
      <c r="A18" s="193"/>
      <c r="B18" s="156">
        <v>200000000</v>
      </c>
      <c r="C18" s="565"/>
      <c r="D18" s="5173" t="s">
        <v>6123</v>
      </c>
      <c r="E18" s="5174"/>
      <c r="G18" s="5175" t="s">
        <v>6125</v>
      </c>
      <c r="H18" s="5176"/>
      <c r="I18" s="5177"/>
    </row>
    <row r="19" spans="1:9" ht="30" customHeight="1" x14ac:dyDescent="0.2">
      <c r="A19" s="193"/>
      <c r="B19" s="156">
        <v>200000000</v>
      </c>
      <c r="C19" s="565"/>
      <c r="D19" s="5173" t="s">
        <v>6123</v>
      </c>
      <c r="E19" s="5174"/>
      <c r="G19" s="5178"/>
      <c r="H19" s="5179"/>
      <c r="I19" s="5180"/>
    </row>
    <row r="20" spans="1:9" ht="30" customHeight="1" x14ac:dyDescent="0.2">
      <c r="A20" s="193"/>
      <c r="B20" s="156">
        <v>150000000</v>
      </c>
      <c r="C20" s="565"/>
      <c r="D20" s="5173" t="s">
        <v>6122</v>
      </c>
      <c r="E20" s="5174"/>
      <c r="G20" s="5178"/>
      <c r="H20" s="5179"/>
      <c r="I20" s="5180"/>
    </row>
    <row r="21" spans="1:9" ht="30" customHeight="1" thickBot="1" x14ac:dyDescent="0.25">
      <c r="A21" s="193"/>
      <c r="B21" s="156">
        <v>150000000</v>
      </c>
      <c r="C21" s="565"/>
      <c r="D21" s="5173" t="s">
        <v>6124</v>
      </c>
      <c r="E21" s="5174"/>
      <c r="G21" s="5181"/>
      <c r="H21" s="5182"/>
      <c r="I21" s="5183"/>
    </row>
    <row r="22" spans="1:9" ht="30" customHeight="1" thickBot="1" x14ac:dyDescent="0.25">
      <c r="A22" s="4073" t="s">
        <v>876</v>
      </c>
      <c r="B22" s="153">
        <f>SUM(B3:B21)</f>
        <v>2056000000</v>
      </c>
      <c r="C22" s="154"/>
      <c r="D22" s="5171"/>
      <c r="E22" s="5172"/>
    </row>
    <row r="25" spans="1:9" ht="15" thickBot="1" x14ac:dyDescent="0.25"/>
    <row r="26" spans="1:9" ht="50.1" customHeight="1" thickBot="1" x14ac:dyDescent="0.25">
      <c r="A26" s="4296" t="s">
        <v>5902</v>
      </c>
      <c r="B26" s="4297"/>
      <c r="C26" s="4297"/>
      <c r="D26" s="4297"/>
      <c r="E26" s="4297"/>
      <c r="F26" s="4297"/>
      <c r="G26" s="4298"/>
    </row>
    <row r="27" spans="1:9" ht="50.1" customHeight="1" x14ac:dyDescent="0.2">
      <c r="A27" s="1858" t="s">
        <v>0</v>
      </c>
      <c r="B27" s="8" t="s">
        <v>5904</v>
      </c>
      <c r="C27" s="8" t="s">
        <v>5903</v>
      </c>
      <c r="D27" s="8" t="s">
        <v>891</v>
      </c>
      <c r="E27" s="1" t="s">
        <v>3798</v>
      </c>
      <c r="F27" s="2" t="s">
        <v>3799</v>
      </c>
      <c r="G27" s="2" t="s">
        <v>268</v>
      </c>
    </row>
    <row r="28" spans="1:9" ht="30" customHeight="1" x14ac:dyDescent="0.2">
      <c r="A28" s="3210">
        <v>1</v>
      </c>
      <c r="B28" s="149">
        <v>200000000</v>
      </c>
      <c r="C28" s="4079" t="s">
        <v>5905</v>
      </c>
      <c r="D28" s="4080">
        <v>252793</v>
      </c>
      <c r="E28" s="4112" t="s">
        <v>3459</v>
      </c>
      <c r="F28" s="1859" t="s">
        <v>5079</v>
      </c>
      <c r="G28" s="4111"/>
    </row>
    <row r="29" spans="1:9" ht="30" customHeight="1" x14ac:dyDescent="0.2">
      <c r="A29" s="3210">
        <v>2</v>
      </c>
      <c r="B29" s="149">
        <v>1000000000</v>
      </c>
      <c r="C29" s="4079" t="s">
        <v>5906</v>
      </c>
      <c r="D29" s="4080">
        <v>47212</v>
      </c>
      <c r="E29" s="4112" t="s">
        <v>3459</v>
      </c>
      <c r="F29" s="1859" t="s">
        <v>5079</v>
      </c>
      <c r="G29" s="4111"/>
    </row>
    <row r="30" spans="1:9" ht="30" customHeight="1" x14ac:dyDescent="0.2">
      <c r="A30" s="3210">
        <v>3</v>
      </c>
      <c r="B30" s="149">
        <v>1000000000</v>
      </c>
      <c r="C30" s="4079" t="s">
        <v>5905</v>
      </c>
      <c r="D30" s="4080">
        <v>47209</v>
      </c>
      <c r="E30" s="4112" t="s">
        <v>3459</v>
      </c>
      <c r="F30" s="1859" t="s">
        <v>5079</v>
      </c>
      <c r="G30" s="4111"/>
    </row>
    <row r="31" spans="1:9" ht="30" customHeight="1" x14ac:dyDescent="0.2">
      <c r="A31" s="3210">
        <v>4</v>
      </c>
      <c r="B31" s="4080"/>
      <c r="C31" s="4075"/>
      <c r="D31" s="4080"/>
      <c r="E31" s="4075"/>
      <c r="F31" s="1859"/>
      <c r="G31" s="4111"/>
    </row>
    <row r="32" spans="1:9" ht="30" customHeight="1" x14ac:dyDescent="0.2">
      <c r="A32" s="3210">
        <v>5</v>
      </c>
      <c r="B32" s="4080"/>
      <c r="C32" s="4075"/>
      <c r="D32" s="4080"/>
      <c r="E32" s="4075"/>
      <c r="F32" s="1859"/>
      <c r="G32" s="4111"/>
    </row>
    <row r="33" spans="1:7" ht="30" customHeight="1" x14ac:dyDescent="0.2">
      <c r="A33" s="3210">
        <v>6</v>
      </c>
      <c r="B33" s="4080"/>
      <c r="C33" s="4075"/>
      <c r="D33" s="4080"/>
      <c r="E33" s="4075"/>
      <c r="F33" s="1859"/>
      <c r="G33" s="4111"/>
    </row>
    <row r="34" spans="1:7" ht="30" customHeight="1" x14ac:dyDescent="0.2">
      <c r="A34" s="3210">
        <v>7</v>
      </c>
      <c r="B34" s="4080"/>
      <c r="C34" s="4075"/>
      <c r="D34" s="4080"/>
      <c r="E34" s="4075"/>
      <c r="F34" s="1859"/>
      <c r="G34" s="4111"/>
    </row>
    <row r="35" spans="1:7" ht="30" customHeight="1" x14ac:dyDescent="0.2">
      <c r="A35" s="3210">
        <v>8</v>
      </c>
      <c r="B35" s="4417" t="s">
        <v>5897</v>
      </c>
      <c r="C35" s="4418"/>
      <c r="D35" s="4418"/>
      <c r="E35" s="4418"/>
      <c r="F35" s="4419"/>
      <c r="G35" s="1860"/>
    </row>
    <row r="36" spans="1:7" ht="30" customHeight="1" x14ac:dyDescent="0.2">
      <c r="A36" s="3210">
        <v>9</v>
      </c>
      <c r="B36" s="4417" t="s">
        <v>5898</v>
      </c>
      <c r="C36" s="4418"/>
      <c r="D36" s="4418"/>
      <c r="E36" s="4418"/>
      <c r="F36" s="4419"/>
      <c r="G36" s="1860"/>
    </row>
    <row r="37" spans="1:7" ht="30" customHeight="1" x14ac:dyDescent="0.2">
      <c r="A37" s="3211"/>
      <c r="B37" s="4417" t="s">
        <v>5112</v>
      </c>
      <c r="C37" s="4418"/>
      <c r="D37" s="4418"/>
      <c r="E37" s="4418"/>
      <c r="F37" s="4419"/>
      <c r="G37" s="1860"/>
    </row>
    <row r="38" spans="1:7" ht="30" customHeight="1" x14ac:dyDescent="0.2">
      <c r="A38" s="3211"/>
      <c r="B38" s="4420" t="s">
        <v>5113</v>
      </c>
      <c r="C38" s="4421"/>
      <c r="D38" s="4421"/>
      <c r="E38" s="4421"/>
      <c r="F38" s="4422"/>
      <c r="G38" s="3214"/>
    </row>
    <row r="39" spans="1:7" ht="30" customHeight="1" thickBot="1" x14ac:dyDescent="0.25">
      <c r="A39" s="3212"/>
      <c r="B39" s="3215" t="s">
        <v>5072</v>
      </c>
      <c r="C39" s="4373">
        <f>SUM(C28:C34)</f>
        <v>0</v>
      </c>
      <c r="D39" s="4416"/>
      <c r="E39" s="4416"/>
      <c r="F39" s="4374"/>
      <c r="G39" s="1867"/>
    </row>
  </sheetData>
  <mergeCells count="17">
    <mergeCell ref="G18:I21"/>
    <mergeCell ref="B38:F38"/>
    <mergeCell ref="C39:F39"/>
    <mergeCell ref="B1:E1"/>
    <mergeCell ref="D3:E3"/>
    <mergeCell ref="A26:G26"/>
    <mergeCell ref="B35:F35"/>
    <mergeCell ref="B36:F36"/>
    <mergeCell ref="B37:F37"/>
    <mergeCell ref="D15:E15"/>
    <mergeCell ref="D16:E16"/>
    <mergeCell ref="D17:E17"/>
    <mergeCell ref="D18:E18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20" sqref="E20"/>
    </sheetView>
  </sheetViews>
  <sheetFormatPr defaultRowHeight="14.2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workbookViewId="0">
      <selection activeCell="C17" sqref="C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188"/>
      <c r="B1" s="4296" t="s">
        <v>53</v>
      </c>
      <c r="C1" s="4297"/>
      <c r="D1" s="4298"/>
    </row>
    <row r="2" spans="1:4" ht="50.1" customHeight="1" x14ac:dyDescent="0.2">
      <c r="A2" s="189" t="s">
        <v>0</v>
      </c>
      <c r="B2" s="147" t="s">
        <v>879</v>
      </c>
      <c r="C2" s="8" t="s">
        <v>1026</v>
      </c>
      <c r="D2" s="148" t="s">
        <v>1027</v>
      </c>
    </row>
    <row r="3" spans="1:4" ht="30" customHeight="1" thickBot="1" x14ac:dyDescent="0.25">
      <c r="A3" s="185">
        <v>1</v>
      </c>
      <c r="B3" s="186">
        <v>1350000000</v>
      </c>
      <c r="C3" s="187">
        <v>7.0000000000000007E-2</v>
      </c>
      <c r="D3" s="155">
        <v>96600000</v>
      </c>
    </row>
    <row r="4" spans="1:4" ht="30" customHeight="1" x14ac:dyDescent="0.2">
      <c r="A4" s="182"/>
      <c r="B4" s="199"/>
      <c r="C4" s="203"/>
      <c r="D4" s="199"/>
    </row>
    <row r="5" spans="1:4" s="184" customFormat="1" ht="30" customHeight="1" thickBot="1" x14ac:dyDescent="0.25">
      <c r="A5" s="181"/>
      <c r="B5" s="182"/>
      <c r="C5" s="183"/>
      <c r="D5" s="182"/>
    </row>
    <row r="6" spans="1:4" s="184" customFormat="1" ht="30" customHeight="1" thickBot="1" x14ac:dyDescent="0.25">
      <c r="A6" s="4356" t="s">
        <v>1028</v>
      </c>
      <c r="B6" s="4357"/>
      <c r="C6" s="4357"/>
      <c r="D6" s="4358"/>
    </row>
    <row r="7" spans="1:4" s="184" customFormat="1" ht="30" customHeight="1" x14ac:dyDescent="0.2">
      <c r="A7" s="182"/>
      <c r="B7" s="182"/>
      <c r="C7" s="182"/>
      <c r="D7" s="182"/>
    </row>
    <row r="8" spans="1:4" s="184" customFormat="1" ht="30" customHeight="1" thickBot="1" x14ac:dyDescent="0.25">
      <c r="A8" s="4359"/>
      <c r="B8" s="4359"/>
      <c r="C8" s="4359"/>
      <c r="D8" s="4359"/>
    </row>
    <row r="9" spans="1:4" s="184" customFormat="1" ht="30" customHeight="1" thickBot="1" x14ac:dyDescent="0.25">
      <c r="A9" s="4356" t="s">
        <v>1029</v>
      </c>
      <c r="B9" s="4357"/>
      <c r="C9" s="4357"/>
      <c r="D9" s="4358"/>
    </row>
    <row r="10" spans="1:4" s="184" customFormat="1" ht="30" customHeight="1" x14ac:dyDescent="0.2">
      <c r="A10" s="199"/>
      <c r="B10" s="199"/>
      <c r="C10" s="199"/>
      <c r="D10" s="199"/>
    </row>
    <row r="11" spans="1:4" s="184" customFormat="1" ht="30" customHeight="1" thickBot="1" x14ac:dyDescent="0.25">
      <c r="A11" s="182"/>
      <c r="B11" s="182"/>
      <c r="C11" s="182"/>
      <c r="D11" s="182"/>
    </row>
    <row r="12" spans="1:4" s="184" customFormat="1" ht="30" customHeight="1" x14ac:dyDescent="0.2">
      <c r="A12" s="4423" t="s">
        <v>2285</v>
      </c>
      <c r="B12" s="4424"/>
      <c r="C12" s="4424"/>
      <c r="D12" s="4425"/>
    </row>
    <row r="13" spans="1:4" s="184" customFormat="1" ht="30" customHeight="1" thickBot="1" x14ac:dyDescent="0.25">
      <c r="A13" s="4426"/>
      <c r="B13" s="4427"/>
      <c r="C13" s="4427"/>
      <c r="D13" s="4428"/>
    </row>
    <row r="14" spans="1:4" s="184" customFormat="1" ht="30" customHeight="1" x14ac:dyDescent="0.2">
      <c r="A14" s="199"/>
      <c r="B14" s="199"/>
      <c r="C14" s="199"/>
      <c r="D14" s="199"/>
    </row>
    <row r="15" spans="1:4" s="184" customFormat="1" ht="30" customHeight="1" thickBot="1" x14ac:dyDescent="0.25">
      <c r="A15" s="200"/>
      <c r="B15" s="200"/>
      <c r="C15" s="201"/>
      <c r="D15" s="200"/>
    </row>
    <row r="16" spans="1:4" ht="50.1" customHeight="1" x14ac:dyDescent="0.2">
      <c r="A16" s="189" t="s">
        <v>0</v>
      </c>
      <c r="B16" s="147" t="s">
        <v>879</v>
      </c>
      <c r="C16" s="8" t="s">
        <v>1026</v>
      </c>
      <c r="D16" s="148" t="s">
        <v>1027</v>
      </c>
    </row>
    <row r="17" spans="1:4" ht="30" customHeight="1" thickBot="1" x14ac:dyDescent="0.25">
      <c r="A17" s="195">
        <v>1</v>
      </c>
      <c r="B17" s="196">
        <v>1500000000</v>
      </c>
      <c r="C17" s="197">
        <v>7.0000000000000007E-2</v>
      </c>
      <c r="D17" s="198">
        <f>B17*C17</f>
        <v>105000000.00000001</v>
      </c>
    </row>
    <row r="18" spans="1:4" ht="30" customHeight="1" x14ac:dyDescent="0.2">
      <c r="A18" s="181"/>
      <c r="B18" s="182"/>
      <c r="C18" s="202"/>
      <c r="D18" s="182"/>
    </row>
    <row r="19" spans="1:4" ht="30" customHeight="1" thickBot="1" x14ac:dyDescent="0.25">
      <c r="A19" s="182"/>
      <c r="B19" s="182"/>
      <c r="C19" s="202"/>
      <c r="D19" s="182"/>
    </row>
    <row r="20" spans="1:4" ht="30" customHeight="1" x14ac:dyDescent="0.2">
      <c r="A20" s="4423" t="s">
        <v>1030</v>
      </c>
      <c r="B20" s="4424"/>
      <c r="C20" s="4424"/>
      <c r="D20" s="4425"/>
    </row>
    <row r="21" spans="1:4" ht="30" customHeight="1" thickBot="1" x14ac:dyDescent="0.25">
      <c r="A21" s="4426"/>
      <c r="B21" s="4427"/>
      <c r="C21" s="4427"/>
      <c r="D21" s="4428"/>
    </row>
    <row r="22" spans="1:4" ht="30" customHeight="1" x14ac:dyDescent="0.2">
      <c r="A22" s="182"/>
      <c r="B22" s="182"/>
      <c r="C22" s="202"/>
      <c r="D22" s="182"/>
    </row>
    <row r="23" spans="1:4" ht="30" customHeight="1" thickBot="1" x14ac:dyDescent="0.25">
      <c r="A23" s="182"/>
      <c r="B23" s="182"/>
      <c r="C23" s="202"/>
      <c r="D23" s="182"/>
    </row>
    <row r="24" spans="1:4" ht="30" customHeight="1" x14ac:dyDescent="0.2">
      <c r="A24" s="4423" t="s">
        <v>1031</v>
      </c>
      <c r="B24" s="4424"/>
      <c r="C24" s="4424"/>
      <c r="D24" s="4425"/>
    </row>
    <row r="25" spans="1:4" ht="30" customHeight="1" thickBot="1" x14ac:dyDescent="0.25">
      <c r="A25" s="4426"/>
      <c r="B25" s="4427"/>
      <c r="C25" s="4427"/>
      <c r="D25" s="4428"/>
    </row>
    <row r="26" spans="1:4" ht="30" customHeight="1" thickBot="1" x14ac:dyDescent="0.25">
      <c r="A26" s="182"/>
      <c r="B26" s="182"/>
      <c r="C26" s="202"/>
      <c r="D26" s="182"/>
    </row>
    <row r="27" spans="1:4" ht="30" customHeight="1" x14ac:dyDescent="0.2">
      <c r="A27" s="4423" t="s">
        <v>2283</v>
      </c>
      <c r="B27" s="4424"/>
      <c r="C27" s="4424"/>
      <c r="D27" s="4425"/>
    </row>
    <row r="28" spans="1:4" ht="30" customHeight="1" thickBot="1" x14ac:dyDescent="0.25">
      <c r="A28" s="4426"/>
      <c r="B28" s="4427"/>
      <c r="C28" s="4427"/>
      <c r="D28" s="4428"/>
    </row>
    <row r="29" spans="1:4" ht="30" customHeight="1" thickBot="1" x14ac:dyDescent="0.25">
      <c r="A29" s="442"/>
      <c r="B29" s="763"/>
      <c r="C29" s="763"/>
      <c r="D29" s="767"/>
    </row>
    <row r="30" spans="1:4" ht="30" customHeight="1" x14ac:dyDescent="0.2">
      <c r="A30" s="4423" t="s">
        <v>2284</v>
      </c>
      <c r="B30" s="4424"/>
      <c r="C30" s="4424"/>
      <c r="D30" s="4425"/>
    </row>
    <row r="31" spans="1:4" ht="30" customHeight="1" thickBot="1" x14ac:dyDescent="0.25">
      <c r="A31" s="4426"/>
      <c r="B31" s="4427"/>
      <c r="C31" s="4427"/>
      <c r="D31" s="4428"/>
    </row>
    <row r="32" spans="1:4" ht="30" customHeight="1" x14ac:dyDescent="0.2">
      <c r="A32" s="763"/>
      <c r="B32" s="763"/>
      <c r="C32" s="763"/>
      <c r="D32" s="763"/>
    </row>
    <row r="33" spans="1:4" ht="30" customHeight="1" x14ac:dyDescent="0.2">
      <c r="A33" s="4359" t="s">
        <v>2286</v>
      </c>
      <c r="B33" s="4359"/>
      <c r="C33" s="4359"/>
      <c r="D33" s="4359"/>
    </row>
    <row r="34" spans="1:4" ht="30" customHeight="1" x14ac:dyDescent="0.2">
      <c r="A34" s="765"/>
      <c r="B34" s="765"/>
      <c r="C34" s="765"/>
      <c r="D34" s="765"/>
    </row>
    <row r="35" spans="1:4" ht="30" customHeight="1" x14ac:dyDescent="0.2">
      <c r="A35" s="4429" t="s">
        <v>2282</v>
      </c>
      <c r="B35" s="4430"/>
      <c r="C35" s="4430"/>
      <c r="D35" s="4430"/>
    </row>
    <row r="36" spans="1:4" ht="30" customHeight="1" x14ac:dyDescent="0.2">
      <c r="A36" s="763"/>
      <c r="B36" s="763"/>
      <c r="C36" s="763"/>
      <c r="D36" s="763"/>
    </row>
    <row r="37" spans="1:4" ht="30" customHeight="1" x14ac:dyDescent="0.2">
      <c r="A37" s="763"/>
      <c r="B37" s="763"/>
      <c r="C37" s="763"/>
      <c r="D37" s="763"/>
    </row>
  </sheetData>
  <mergeCells count="11">
    <mergeCell ref="A27:D28"/>
    <mergeCell ref="A30:D31"/>
    <mergeCell ref="A35:D35"/>
    <mergeCell ref="A20:D21"/>
    <mergeCell ref="A24:D25"/>
    <mergeCell ref="A33:D33"/>
    <mergeCell ref="B1:D1"/>
    <mergeCell ref="A6:D6"/>
    <mergeCell ref="A9:D9"/>
    <mergeCell ref="A12:D13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rightToLeft="1" topLeftCell="A55" zoomScale="70" zoomScaleNormal="70" workbookViewId="0">
      <selection activeCell="D67" sqref="D6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4296" t="s">
        <v>2430</v>
      </c>
      <c r="C1" s="4297"/>
      <c r="D1" s="4298"/>
    </row>
    <row r="2" spans="1:4" ht="50.1" customHeight="1" x14ac:dyDescent="0.2">
      <c r="A2" s="10" t="s">
        <v>0</v>
      </c>
      <c r="B2" s="147" t="s">
        <v>879</v>
      </c>
      <c r="C2" s="8" t="s">
        <v>862</v>
      </c>
      <c r="D2" s="148" t="s">
        <v>863</v>
      </c>
    </row>
    <row r="3" spans="1:4" ht="50.1" customHeight="1" x14ac:dyDescent="0.2">
      <c r="A3" s="129">
        <v>1</v>
      </c>
      <c r="B3" s="156">
        <v>282750000</v>
      </c>
      <c r="C3" s="4299" t="s">
        <v>877</v>
      </c>
      <c r="D3" s="4300"/>
    </row>
    <row r="4" spans="1:4" ht="30" customHeight="1" x14ac:dyDescent="0.2">
      <c r="A4" s="146">
        <v>2</v>
      </c>
      <c r="B4" s="3689">
        <v>20000000</v>
      </c>
      <c r="C4" s="2463"/>
      <c r="D4" s="150" t="s">
        <v>864</v>
      </c>
    </row>
    <row r="5" spans="1:4" ht="30" customHeight="1" x14ac:dyDescent="0.2">
      <c r="A5" s="146">
        <v>3</v>
      </c>
      <c r="B5" s="3689">
        <v>5000000</v>
      </c>
      <c r="C5" s="2464" t="s">
        <v>865</v>
      </c>
      <c r="D5" s="151" t="s">
        <v>866</v>
      </c>
    </row>
    <row r="6" spans="1:4" ht="30" customHeight="1" x14ac:dyDescent="0.2">
      <c r="A6" s="146">
        <v>4</v>
      </c>
      <c r="B6" s="3689">
        <v>10000000</v>
      </c>
      <c r="C6" s="2464" t="s">
        <v>867</v>
      </c>
      <c r="D6" s="151" t="s">
        <v>870</v>
      </c>
    </row>
    <row r="7" spans="1:4" ht="30" customHeight="1" x14ac:dyDescent="0.2">
      <c r="A7" s="146">
        <v>5</v>
      </c>
      <c r="B7" s="3689">
        <v>10000000</v>
      </c>
      <c r="C7" s="2464" t="s">
        <v>868</v>
      </c>
      <c r="D7" s="151" t="s">
        <v>869</v>
      </c>
    </row>
    <row r="8" spans="1:4" ht="30" customHeight="1" x14ac:dyDescent="0.2">
      <c r="A8" s="146">
        <v>6</v>
      </c>
      <c r="B8" s="3689">
        <v>90000000</v>
      </c>
      <c r="C8" s="2464" t="s">
        <v>871</v>
      </c>
      <c r="D8" s="151" t="s">
        <v>872</v>
      </c>
    </row>
    <row r="9" spans="1:4" ht="30" customHeight="1" x14ac:dyDescent="0.2">
      <c r="A9" s="146">
        <v>7</v>
      </c>
      <c r="B9" s="3689">
        <v>10000000</v>
      </c>
      <c r="C9" s="2464" t="s">
        <v>873</v>
      </c>
      <c r="D9" s="151" t="s">
        <v>869</v>
      </c>
    </row>
    <row r="10" spans="1:4" ht="30" customHeight="1" x14ac:dyDescent="0.2">
      <c r="A10" s="146">
        <v>8</v>
      </c>
      <c r="B10" s="3689">
        <v>70000000</v>
      </c>
      <c r="C10" s="2464" t="s">
        <v>874</v>
      </c>
      <c r="D10" s="151" t="s">
        <v>872</v>
      </c>
    </row>
    <row r="11" spans="1:4" ht="30" customHeight="1" x14ac:dyDescent="0.2">
      <c r="A11" s="146">
        <v>9</v>
      </c>
      <c r="B11" s="3689">
        <v>2250000</v>
      </c>
      <c r="C11" s="2464" t="s">
        <v>875</v>
      </c>
      <c r="D11" s="152"/>
    </row>
    <row r="12" spans="1:4" ht="30" customHeight="1" x14ac:dyDescent="0.2">
      <c r="A12" s="146">
        <v>10</v>
      </c>
      <c r="B12" s="3689">
        <v>10000000</v>
      </c>
      <c r="C12" s="2464" t="s">
        <v>443</v>
      </c>
      <c r="D12" s="151" t="s">
        <v>869</v>
      </c>
    </row>
    <row r="13" spans="1:4" ht="30" customHeight="1" x14ac:dyDescent="0.2">
      <c r="A13" s="146">
        <v>11</v>
      </c>
      <c r="B13" s="3689">
        <v>20000000</v>
      </c>
      <c r="C13" s="3645"/>
      <c r="D13" s="151" t="s">
        <v>872</v>
      </c>
    </row>
    <row r="14" spans="1:4" ht="30" customHeight="1" x14ac:dyDescent="0.2">
      <c r="A14" s="146">
        <v>12</v>
      </c>
      <c r="B14" s="3689">
        <v>29150000</v>
      </c>
      <c r="C14" s="4303" t="s">
        <v>914</v>
      </c>
      <c r="D14" s="4304"/>
    </row>
    <row r="15" spans="1:4" ht="30" customHeight="1" x14ac:dyDescent="0.2">
      <c r="A15" s="146">
        <v>13</v>
      </c>
      <c r="B15" s="3689">
        <v>10000000</v>
      </c>
      <c r="C15" s="2464" t="s">
        <v>2072</v>
      </c>
      <c r="D15" s="151" t="s">
        <v>869</v>
      </c>
    </row>
    <row r="16" spans="1:4" ht="30" customHeight="1" x14ac:dyDescent="0.2">
      <c r="A16" s="146">
        <v>14</v>
      </c>
      <c r="B16" s="3689">
        <v>10000000</v>
      </c>
      <c r="C16" s="2464" t="s">
        <v>2072</v>
      </c>
      <c r="D16" s="151" t="s">
        <v>869</v>
      </c>
    </row>
    <row r="17" spans="1:4" ht="30" customHeight="1" x14ac:dyDescent="0.2">
      <c r="A17" s="146">
        <v>15</v>
      </c>
      <c r="B17" s="3689">
        <v>850000</v>
      </c>
      <c r="C17" s="2464" t="s">
        <v>2262</v>
      </c>
      <c r="D17" s="151" t="s">
        <v>869</v>
      </c>
    </row>
    <row r="18" spans="1:4" ht="30" customHeight="1" x14ac:dyDescent="0.2">
      <c r="A18" s="146">
        <v>16</v>
      </c>
      <c r="B18" s="3689">
        <v>50000000</v>
      </c>
      <c r="C18" s="2464" t="s">
        <v>1916</v>
      </c>
      <c r="D18" s="151" t="s">
        <v>2874</v>
      </c>
    </row>
    <row r="19" spans="1:4" ht="30" customHeight="1" x14ac:dyDescent="0.2">
      <c r="A19" s="146">
        <v>17</v>
      </c>
      <c r="B19" s="3689">
        <v>31900000</v>
      </c>
      <c r="C19" s="4303" t="s">
        <v>2277</v>
      </c>
      <c r="D19" s="4304"/>
    </row>
    <row r="20" spans="1:4" ht="30" customHeight="1" x14ac:dyDescent="0.2">
      <c r="A20" s="146">
        <v>18</v>
      </c>
      <c r="B20" s="3689">
        <v>5000000</v>
      </c>
      <c r="C20" s="2464" t="s">
        <v>2553</v>
      </c>
      <c r="D20" s="151"/>
    </row>
    <row r="21" spans="1:4" ht="30" customHeight="1" x14ac:dyDescent="0.2">
      <c r="A21" s="146">
        <v>19</v>
      </c>
      <c r="B21" s="3689">
        <v>10000000</v>
      </c>
      <c r="C21" s="2464" t="s">
        <v>2875</v>
      </c>
      <c r="D21" s="151" t="s">
        <v>869</v>
      </c>
    </row>
    <row r="22" spans="1:4" ht="30" customHeight="1" x14ac:dyDescent="0.2">
      <c r="A22" s="146">
        <v>20</v>
      </c>
      <c r="B22" s="3689">
        <v>2800000</v>
      </c>
      <c r="C22" s="2464" t="s">
        <v>2875</v>
      </c>
      <c r="D22" s="151" t="s">
        <v>869</v>
      </c>
    </row>
    <row r="23" spans="1:4" ht="30" customHeight="1" x14ac:dyDescent="0.2">
      <c r="A23" s="146">
        <v>21</v>
      </c>
      <c r="B23" s="3688">
        <v>10000000</v>
      </c>
      <c r="C23" s="2464" t="s">
        <v>2877</v>
      </c>
      <c r="D23" s="151" t="s">
        <v>869</v>
      </c>
    </row>
    <row r="24" spans="1:4" ht="30" customHeight="1" x14ac:dyDescent="0.2">
      <c r="A24" s="146">
        <v>22</v>
      </c>
      <c r="B24" s="3688">
        <v>9000000</v>
      </c>
      <c r="C24" s="2464" t="s">
        <v>2897</v>
      </c>
      <c r="D24" s="151" t="s">
        <v>869</v>
      </c>
    </row>
    <row r="25" spans="1:4" ht="30" customHeight="1" x14ac:dyDescent="0.2">
      <c r="A25" s="146">
        <v>23</v>
      </c>
      <c r="B25" s="3688">
        <v>10000000</v>
      </c>
      <c r="C25" s="2464" t="s">
        <v>2897</v>
      </c>
      <c r="D25" s="151" t="s">
        <v>869</v>
      </c>
    </row>
    <row r="26" spans="1:4" ht="30" customHeight="1" x14ac:dyDescent="0.2">
      <c r="A26" s="146">
        <v>24</v>
      </c>
      <c r="B26" s="3688">
        <v>10000000</v>
      </c>
      <c r="C26" s="2464" t="s">
        <v>2897</v>
      </c>
      <c r="D26" s="151" t="s">
        <v>869</v>
      </c>
    </row>
    <row r="27" spans="1:4" ht="30" customHeight="1" x14ac:dyDescent="0.2">
      <c r="A27" s="146">
        <v>25</v>
      </c>
      <c r="B27" s="3688">
        <v>2300000</v>
      </c>
      <c r="C27" s="2464" t="s">
        <v>2897</v>
      </c>
      <c r="D27" s="151" t="s">
        <v>869</v>
      </c>
    </row>
    <row r="28" spans="1:4" ht="30" customHeight="1" x14ac:dyDescent="0.2">
      <c r="A28" s="146">
        <v>26</v>
      </c>
      <c r="B28" s="3688">
        <v>9000000</v>
      </c>
      <c r="C28" s="2464" t="s">
        <v>3004</v>
      </c>
      <c r="D28" s="151" t="s">
        <v>869</v>
      </c>
    </row>
    <row r="29" spans="1:4" ht="30" customHeight="1" x14ac:dyDescent="0.2">
      <c r="A29" s="146"/>
      <c r="B29" s="149">
        <f>SUM(B3:B28)</f>
        <v>730000000</v>
      </c>
      <c r="C29" s="4301" t="s">
        <v>4543</v>
      </c>
      <c r="D29" s="4302"/>
    </row>
    <row r="30" spans="1:4" ht="30" customHeight="1" x14ac:dyDescent="0.2">
      <c r="A30" s="146"/>
      <c r="B30" s="149">
        <f>B29*0.06</f>
        <v>43800000</v>
      </c>
      <c r="C30" s="4301" t="s">
        <v>2876</v>
      </c>
      <c r="D30" s="4302"/>
    </row>
    <row r="31" spans="1:4" ht="30" customHeight="1" x14ac:dyDescent="0.2">
      <c r="A31" s="146"/>
      <c r="B31" s="2474">
        <f>B29+B30</f>
        <v>773800000</v>
      </c>
      <c r="C31" s="4305" t="s">
        <v>5396</v>
      </c>
      <c r="D31" s="4306"/>
    </row>
    <row r="32" spans="1:4" ht="30" customHeight="1" x14ac:dyDescent="0.2">
      <c r="A32" s="146">
        <v>27</v>
      </c>
      <c r="B32" s="3691">
        <v>140000000</v>
      </c>
      <c r="C32" s="2464" t="s">
        <v>2599</v>
      </c>
      <c r="D32" s="151"/>
    </row>
    <row r="33" spans="1:4" ht="30" customHeight="1" x14ac:dyDescent="0.2">
      <c r="A33" s="146">
        <v>28</v>
      </c>
      <c r="B33" s="3691">
        <v>10000000</v>
      </c>
      <c r="C33" s="2464" t="s">
        <v>1189</v>
      </c>
      <c r="D33" s="151" t="s">
        <v>869</v>
      </c>
    </row>
    <row r="34" spans="1:4" ht="30" customHeight="1" x14ac:dyDescent="0.2">
      <c r="A34" s="146">
        <v>29</v>
      </c>
      <c r="B34" s="3691">
        <v>10000000</v>
      </c>
      <c r="C34" s="2464" t="s">
        <v>3770</v>
      </c>
      <c r="D34" s="151"/>
    </row>
    <row r="35" spans="1:4" ht="30" customHeight="1" x14ac:dyDescent="0.2">
      <c r="A35" s="146">
        <v>30</v>
      </c>
      <c r="B35" s="3691">
        <v>10000000</v>
      </c>
      <c r="C35" s="2464" t="s">
        <v>3770</v>
      </c>
      <c r="D35" s="151"/>
    </row>
    <row r="36" spans="1:4" ht="30" customHeight="1" x14ac:dyDescent="0.2">
      <c r="A36" s="146">
        <v>31</v>
      </c>
      <c r="B36" s="3691">
        <v>5000000</v>
      </c>
      <c r="C36" s="2464" t="s">
        <v>3770</v>
      </c>
      <c r="D36" s="151" t="s">
        <v>869</v>
      </c>
    </row>
    <row r="37" spans="1:4" ht="30" customHeight="1" x14ac:dyDescent="0.2">
      <c r="A37" s="146"/>
      <c r="B37" s="149">
        <f>SUM(B32:B36)</f>
        <v>175000000</v>
      </c>
      <c r="C37" s="4301" t="s">
        <v>4544</v>
      </c>
      <c r="D37" s="4302"/>
    </row>
    <row r="38" spans="1:4" ht="30" customHeight="1" x14ac:dyDescent="0.2">
      <c r="A38" s="146">
        <v>32</v>
      </c>
      <c r="B38" s="149">
        <f>B31+B37</f>
        <v>948800000</v>
      </c>
      <c r="C38" s="4301" t="s">
        <v>4547</v>
      </c>
      <c r="D38" s="4302"/>
    </row>
    <row r="39" spans="1:4" ht="30" customHeight="1" x14ac:dyDescent="0.2">
      <c r="A39" s="146">
        <v>33</v>
      </c>
      <c r="B39" s="149">
        <f>B38*0.07</f>
        <v>66416000.000000007</v>
      </c>
      <c r="C39" s="4301" t="s">
        <v>3211</v>
      </c>
      <c r="D39" s="4302"/>
    </row>
    <row r="40" spans="1:4" ht="30" customHeight="1" x14ac:dyDescent="0.2">
      <c r="A40" s="146"/>
      <c r="B40" s="2474">
        <f>B38+B39</f>
        <v>1015216000</v>
      </c>
      <c r="C40" s="4305" t="s">
        <v>5397</v>
      </c>
      <c r="D40" s="4306"/>
    </row>
    <row r="41" spans="1:4" ht="30" customHeight="1" x14ac:dyDescent="0.2">
      <c r="A41" s="146">
        <v>34</v>
      </c>
      <c r="B41" s="3691">
        <v>10000000</v>
      </c>
      <c r="C41" s="2464" t="s">
        <v>3078</v>
      </c>
      <c r="D41" s="151" t="s">
        <v>869</v>
      </c>
    </row>
    <row r="42" spans="1:4" ht="30" customHeight="1" x14ac:dyDescent="0.2">
      <c r="A42" s="146">
        <v>35</v>
      </c>
      <c r="B42" s="3691">
        <v>10000000</v>
      </c>
      <c r="C42" s="2464" t="s">
        <v>4045</v>
      </c>
      <c r="D42" s="151"/>
    </row>
    <row r="43" spans="1:4" ht="30" customHeight="1" x14ac:dyDescent="0.2">
      <c r="A43" s="146">
        <v>36</v>
      </c>
      <c r="B43" s="3691">
        <v>5000000</v>
      </c>
      <c r="C43" s="2464" t="s">
        <v>4045</v>
      </c>
      <c r="D43" s="151" t="s">
        <v>869</v>
      </c>
    </row>
    <row r="44" spans="1:4" ht="30" customHeight="1" x14ac:dyDescent="0.2">
      <c r="A44" s="146">
        <v>37</v>
      </c>
      <c r="B44" s="3691">
        <v>10000000</v>
      </c>
      <c r="C44" s="2464" t="s">
        <v>4045</v>
      </c>
      <c r="D44" s="151"/>
    </row>
    <row r="45" spans="1:4" ht="30" customHeight="1" x14ac:dyDescent="0.2">
      <c r="A45" s="146">
        <v>38</v>
      </c>
      <c r="B45" s="3693">
        <v>10000000</v>
      </c>
      <c r="C45" s="2464" t="s">
        <v>4130</v>
      </c>
      <c r="D45" s="151" t="s">
        <v>869</v>
      </c>
    </row>
    <row r="46" spans="1:4" ht="30" customHeight="1" x14ac:dyDescent="0.2">
      <c r="A46" s="146"/>
      <c r="B46" s="3693">
        <v>3500000</v>
      </c>
      <c r="C46" s="2464" t="s">
        <v>4119</v>
      </c>
      <c r="D46" s="151" t="s">
        <v>4549</v>
      </c>
    </row>
    <row r="47" spans="1:4" ht="30" customHeight="1" x14ac:dyDescent="0.2">
      <c r="A47" s="146">
        <v>39</v>
      </c>
      <c r="B47" s="3694">
        <v>10000000</v>
      </c>
      <c r="C47" s="2465" t="s">
        <v>4146</v>
      </c>
      <c r="D47" s="151" t="s">
        <v>869</v>
      </c>
    </row>
    <row r="48" spans="1:4" ht="30" customHeight="1" x14ac:dyDescent="0.2">
      <c r="A48" s="146"/>
      <c r="B48" s="575">
        <f>SUM(B41:B47)</f>
        <v>58500000</v>
      </c>
      <c r="C48" s="4301" t="s">
        <v>4545</v>
      </c>
      <c r="D48" s="4302"/>
    </row>
    <row r="49" spans="1:4" ht="30" customHeight="1" x14ac:dyDescent="0.2">
      <c r="A49" s="146"/>
      <c r="B49" s="575">
        <f>B40+B48</f>
        <v>1073716000</v>
      </c>
      <c r="C49" s="4301" t="s">
        <v>4546</v>
      </c>
      <c r="D49" s="4302"/>
    </row>
    <row r="50" spans="1:4" ht="30" customHeight="1" x14ac:dyDescent="0.2">
      <c r="A50" s="146"/>
      <c r="B50" s="575">
        <f>B49*0.07</f>
        <v>75160120</v>
      </c>
      <c r="C50" s="4301" t="s">
        <v>4548</v>
      </c>
      <c r="D50" s="4302"/>
    </row>
    <row r="51" spans="1:4" ht="30" customHeight="1" x14ac:dyDescent="0.2">
      <c r="A51" s="146"/>
      <c r="B51" s="2474">
        <f>B49+B50</f>
        <v>1148876120</v>
      </c>
      <c r="C51" s="4305" t="s">
        <v>5398</v>
      </c>
      <c r="D51" s="4306"/>
    </row>
    <row r="52" spans="1:4" ht="30" customHeight="1" x14ac:dyDescent="0.2">
      <c r="A52" s="146"/>
      <c r="B52" s="3692">
        <v>10000000</v>
      </c>
      <c r="C52" s="2465" t="s">
        <v>3003</v>
      </c>
      <c r="D52" s="151"/>
    </row>
    <row r="53" spans="1:4" ht="30" customHeight="1" x14ac:dyDescent="0.2">
      <c r="A53" s="146"/>
      <c r="B53" s="3692">
        <v>10000000</v>
      </c>
      <c r="C53" s="2465" t="s">
        <v>3003</v>
      </c>
      <c r="D53" s="151"/>
    </row>
    <row r="54" spans="1:4" ht="30" customHeight="1" x14ac:dyDescent="0.2">
      <c r="A54" s="146"/>
      <c r="B54" s="3692">
        <v>10000000</v>
      </c>
      <c r="C54" s="2465" t="s">
        <v>4542</v>
      </c>
      <c r="D54" s="151"/>
    </row>
    <row r="55" spans="1:4" ht="30" customHeight="1" x14ac:dyDescent="0.2">
      <c r="A55" s="146"/>
      <c r="B55" s="3690">
        <v>10000000</v>
      </c>
      <c r="C55" s="2464" t="s">
        <v>4542</v>
      </c>
      <c r="D55" s="151"/>
    </row>
    <row r="56" spans="1:4" ht="30" customHeight="1" x14ac:dyDescent="0.2">
      <c r="A56" s="146"/>
      <c r="B56" s="3690">
        <v>10000000</v>
      </c>
      <c r="C56" s="2464" t="s">
        <v>2125</v>
      </c>
      <c r="D56" s="151"/>
    </row>
    <row r="57" spans="1:4" ht="30" customHeight="1" x14ac:dyDescent="0.2">
      <c r="A57" s="146"/>
      <c r="B57" s="575">
        <f>SUM(B52:B56)</f>
        <v>50000000</v>
      </c>
      <c r="C57" s="4301" t="s">
        <v>5392</v>
      </c>
      <c r="D57" s="4302"/>
    </row>
    <row r="58" spans="1:4" ht="30" customHeight="1" x14ac:dyDescent="0.2">
      <c r="A58" s="146"/>
      <c r="B58" s="575">
        <f>B51+B57</f>
        <v>1198876120</v>
      </c>
      <c r="C58" s="4301" t="s">
        <v>5393</v>
      </c>
      <c r="D58" s="4302"/>
    </row>
    <row r="59" spans="1:4" ht="30" customHeight="1" x14ac:dyDescent="0.2">
      <c r="A59" s="146"/>
      <c r="B59" s="575">
        <f>B58*0.07</f>
        <v>83921328.400000006</v>
      </c>
      <c r="C59" s="4301" t="s">
        <v>4401</v>
      </c>
      <c r="D59" s="4302"/>
    </row>
    <row r="60" spans="1:4" ht="30" customHeight="1" x14ac:dyDescent="0.2">
      <c r="A60" s="146"/>
      <c r="B60" s="2474">
        <f>B58+B59</f>
        <v>1282797448.4000001</v>
      </c>
      <c r="C60" s="4305" t="s">
        <v>5399</v>
      </c>
      <c r="D60" s="4306"/>
    </row>
    <row r="61" spans="1:4" ht="30" customHeight="1" x14ac:dyDescent="0.2">
      <c r="A61" s="146"/>
      <c r="B61" s="3690">
        <v>30000000</v>
      </c>
      <c r="C61" s="2464" t="s">
        <v>4876</v>
      </c>
      <c r="D61" s="151" t="s">
        <v>869</v>
      </c>
    </row>
    <row r="62" spans="1:4" ht="30" customHeight="1" x14ac:dyDescent="0.2">
      <c r="A62" s="146"/>
      <c r="B62" s="575">
        <f>B61</f>
        <v>30000000</v>
      </c>
      <c r="C62" s="4301" t="s">
        <v>5394</v>
      </c>
      <c r="D62" s="4302"/>
    </row>
    <row r="63" spans="1:4" ht="30" customHeight="1" x14ac:dyDescent="0.2">
      <c r="A63" s="146"/>
      <c r="B63" s="575">
        <f>30000000*0.07/2</f>
        <v>1050000</v>
      </c>
      <c r="C63" s="4301" t="s">
        <v>5755</v>
      </c>
      <c r="D63" s="4302"/>
    </row>
    <row r="64" spans="1:4" ht="30" customHeight="1" x14ac:dyDescent="0.2">
      <c r="A64" s="146"/>
      <c r="B64" s="575">
        <f>B60+B62+B63</f>
        <v>1313847448.4000001</v>
      </c>
      <c r="C64" s="4301" t="s">
        <v>5378</v>
      </c>
      <c r="D64" s="4302"/>
    </row>
    <row r="65" spans="1:4" ht="30" customHeight="1" x14ac:dyDescent="0.2">
      <c r="A65" s="146"/>
      <c r="B65" s="575">
        <f>B64*0.07</f>
        <v>91969321.388000011</v>
      </c>
      <c r="C65" s="4301" t="s">
        <v>5395</v>
      </c>
      <c r="D65" s="4302"/>
    </row>
    <row r="66" spans="1:4" ht="30" customHeight="1" x14ac:dyDescent="0.2">
      <c r="A66" s="146"/>
      <c r="B66" s="2474">
        <f>B64+B65</f>
        <v>1405816769.7880001</v>
      </c>
      <c r="C66" s="4305" t="s">
        <v>5400</v>
      </c>
      <c r="D66" s="4306"/>
    </row>
    <row r="67" spans="1:4" ht="30" customHeight="1" x14ac:dyDescent="0.2">
      <c r="A67" s="146"/>
      <c r="B67" s="4034">
        <v>50000000</v>
      </c>
      <c r="C67" s="3976" t="s">
        <v>5744</v>
      </c>
      <c r="D67" s="151" t="s">
        <v>872</v>
      </c>
    </row>
    <row r="68" spans="1:4" ht="30" customHeight="1" x14ac:dyDescent="0.2">
      <c r="A68" s="146"/>
      <c r="B68" s="149">
        <f>B67</f>
        <v>50000000</v>
      </c>
      <c r="C68" s="4301" t="s">
        <v>5379</v>
      </c>
      <c r="D68" s="4302"/>
    </row>
    <row r="69" spans="1:4" ht="30" customHeight="1" x14ac:dyDescent="0.2">
      <c r="A69" s="146"/>
      <c r="B69" s="149">
        <f>B66+B68</f>
        <v>1455816769.7880001</v>
      </c>
      <c r="C69" s="4301" t="s">
        <v>5745</v>
      </c>
      <c r="D69" s="4302"/>
    </row>
    <row r="70" spans="1:4" ht="30" customHeight="1" x14ac:dyDescent="0.2">
      <c r="A70" s="399"/>
      <c r="B70" s="4032"/>
      <c r="C70" s="3993"/>
      <c r="D70" s="4033"/>
    </row>
    <row r="71" spans="1:4" ht="30" customHeight="1" thickBot="1" x14ac:dyDescent="0.25">
      <c r="A71" s="98" t="s">
        <v>876</v>
      </c>
      <c r="B71" s="153"/>
      <c r="C71" s="154"/>
      <c r="D71" s="155"/>
    </row>
  </sheetData>
  <mergeCells count="26">
    <mergeCell ref="C68:D68"/>
    <mergeCell ref="C69:D69"/>
    <mergeCell ref="C63:D63"/>
    <mergeCell ref="C64:D64"/>
    <mergeCell ref="C65:D65"/>
    <mergeCell ref="C66:D66"/>
    <mergeCell ref="C57:D57"/>
    <mergeCell ref="C58:D58"/>
    <mergeCell ref="C59:D59"/>
    <mergeCell ref="C60:D60"/>
    <mergeCell ref="C62:D62"/>
    <mergeCell ref="C49:D49"/>
    <mergeCell ref="C51:D51"/>
    <mergeCell ref="C48:D48"/>
    <mergeCell ref="C50:D50"/>
    <mergeCell ref="C40:D40"/>
    <mergeCell ref="B1:D1"/>
    <mergeCell ref="C3:D3"/>
    <mergeCell ref="C38:D38"/>
    <mergeCell ref="C39:D39"/>
    <mergeCell ref="C19:D19"/>
    <mergeCell ref="C14:D14"/>
    <mergeCell ref="C30:D30"/>
    <mergeCell ref="C37:D37"/>
    <mergeCell ref="C31:D31"/>
    <mergeCell ref="C29:D2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rightToLeft="1" workbookViewId="0">
      <selection activeCell="B11" sqref="B11:E11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188"/>
      <c r="B1" s="4296" t="s">
        <v>1037</v>
      </c>
      <c r="C1" s="4297"/>
      <c r="D1" s="4297"/>
      <c r="E1" s="4297"/>
      <c r="F1" s="4298"/>
    </row>
    <row r="2" spans="1:6" ht="50.1" customHeight="1" x14ac:dyDescent="0.2">
      <c r="A2" s="189" t="s">
        <v>0</v>
      </c>
      <c r="B2" s="147" t="s">
        <v>879</v>
      </c>
      <c r="C2" s="8" t="s">
        <v>271</v>
      </c>
      <c r="D2" s="213" t="s">
        <v>5</v>
      </c>
      <c r="E2" s="213" t="s">
        <v>277</v>
      </c>
      <c r="F2" s="148" t="s">
        <v>1036</v>
      </c>
    </row>
    <row r="3" spans="1:6" ht="30" customHeight="1" thickBot="1" x14ac:dyDescent="0.25">
      <c r="A3" s="192">
        <v>1</v>
      </c>
      <c r="B3" s="449" t="s">
        <v>1032</v>
      </c>
      <c r="C3" s="4053">
        <v>150000000</v>
      </c>
      <c r="D3" s="4092">
        <v>0.05</v>
      </c>
      <c r="E3" s="4068">
        <f>C3*D3</f>
        <v>7500000</v>
      </c>
      <c r="F3" s="4433">
        <f>E3+E8+E11</f>
        <v>18500000</v>
      </c>
    </row>
    <row r="4" spans="1:6" ht="30" customHeight="1" x14ac:dyDescent="0.2">
      <c r="A4" s="193">
        <v>2</v>
      </c>
      <c r="B4" s="452" t="s">
        <v>1033</v>
      </c>
      <c r="C4" s="425">
        <v>115000000</v>
      </c>
      <c r="D4" s="453"/>
      <c r="E4" s="453">
        <v>5750000</v>
      </c>
      <c r="F4" s="4434"/>
    </row>
    <row r="5" spans="1:6" ht="30" customHeight="1" x14ac:dyDescent="0.2">
      <c r="A5" s="441"/>
      <c r="B5" s="4439" t="s">
        <v>1490</v>
      </c>
      <c r="C5" s="4440"/>
      <c r="D5" s="4440"/>
      <c r="E5" s="4441"/>
      <c r="F5" s="4434"/>
    </row>
    <row r="6" spans="1:6" ht="30" customHeight="1" thickBot="1" x14ac:dyDescent="0.25">
      <c r="A6" s="441"/>
      <c r="B6" s="452" t="s">
        <v>1033</v>
      </c>
      <c r="C6" s="4058">
        <v>120000000</v>
      </c>
      <c r="D6" s="2812">
        <v>0.05</v>
      </c>
      <c r="E6" s="453">
        <f>C6*D6</f>
        <v>6000000</v>
      </c>
      <c r="F6" s="4434"/>
    </row>
    <row r="7" spans="1:6" ht="30" customHeight="1" x14ac:dyDescent="0.2">
      <c r="A7" s="4091"/>
      <c r="B7" s="4439" t="s">
        <v>5881</v>
      </c>
      <c r="C7" s="4440"/>
      <c r="D7" s="4440"/>
      <c r="E7" s="4441"/>
      <c r="F7" s="4434"/>
    </row>
    <row r="8" spans="1:6" ht="30" customHeight="1" thickBot="1" x14ac:dyDescent="0.25">
      <c r="A8" s="4091"/>
      <c r="B8" s="449" t="s">
        <v>1033</v>
      </c>
      <c r="C8" s="4053">
        <v>150000000</v>
      </c>
      <c r="D8" s="4092">
        <v>0.05</v>
      </c>
      <c r="E8" s="4068">
        <f>C8*D8</f>
        <v>7500000</v>
      </c>
      <c r="F8" s="4434"/>
    </row>
    <row r="9" spans="1:6" ht="30" customHeight="1" thickBot="1" x14ac:dyDescent="0.25">
      <c r="A9" s="4431">
        <v>3</v>
      </c>
      <c r="B9" s="4442" t="s">
        <v>1034</v>
      </c>
      <c r="C9" s="2788">
        <v>45000000</v>
      </c>
      <c r="D9" s="2812">
        <v>0.06</v>
      </c>
      <c r="E9" s="453">
        <f>C9*D9</f>
        <v>2700000</v>
      </c>
      <c r="F9" s="4434"/>
    </row>
    <row r="10" spans="1:6" ht="30" customHeight="1" thickBot="1" x14ac:dyDescent="0.25">
      <c r="A10" s="4432"/>
      <c r="B10" s="4442"/>
      <c r="C10" s="2787">
        <v>85000000</v>
      </c>
      <c r="D10" s="2812">
        <v>0.05</v>
      </c>
      <c r="E10" s="2788">
        <f>C10*D10</f>
        <v>4250000</v>
      </c>
      <c r="F10" s="4434"/>
    </row>
    <row r="11" spans="1:6" ht="30" customHeight="1" thickBot="1" x14ac:dyDescent="0.25">
      <c r="A11" s="214">
        <v>4</v>
      </c>
      <c r="B11" s="4057" t="s">
        <v>1035</v>
      </c>
      <c r="C11" s="2046">
        <v>50000000</v>
      </c>
      <c r="D11" s="4092">
        <v>7.0000000000000007E-2</v>
      </c>
      <c r="E11" s="4059">
        <v>3500000</v>
      </c>
      <c r="F11" s="4435"/>
    </row>
    <row r="12" spans="1:6" ht="30" customHeight="1" x14ac:dyDescent="0.2">
      <c r="A12" s="190"/>
      <c r="C12" s="1923">
        <f>C3+C6+C9+C11+C10</f>
        <v>450000000</v>
      </c>
      <c r="D12" s="190"/>
      <c r="E12" s="190"/>
    </row>
    <row r="13" spans="1:6" ht="30" customHeight="1" x14ac:dyDescent="0.2">
      <c r="A13" s="190"/>
      <c r="B13" s="190"/>
      <c r="C13" s="190"/>
      <c r="D13" s="190"/>
      <c r="E13" s="190"/>
      <c r="F13" s="190"/>
    </row>
    <row r="14" spans="1:6" ht="30" customHeight="1" thickBot="1" x14ac:dyDescent="0.25">
      <c r="A14" s="190"/>
      <c r="C14" s="190"/>
      <c r="D14" s="190"/>
      <c r="E14" s="190"/>
    </row>
    <row r="15" spans="1:6" ht="50.1" customHeight="1" thickBot="1" x14ac:dyDescent="0.25">
      <c r="A15" s="188"/>
      <c r="B15" s="4296" t="s">
        <v>1038</v>
      </c>
      <c r="C15" s="4297"/>
      <c r="D15" s="4297"/>
      <c r="E15" s="4297"/>
      <c r="F15" s="4298"/>
    </row>
    <row r="16" spans="1:6" ht="50.1" customHeight="1" x14ac:dyDescent="0.2">
      <c r="A16" s="189" t="s">
        <v>0</v>
      </c>
      <c r="B16" s="147" t="s">
        <v>879</v>
      </c>
      <c r="C16" s="8" t="s">
        <v>271</v>
      </c>
      <c r="D16" s="213" t="s">
        <v>5</v>
      </c>
      <c r="E16" s="213" t="s">
        <v>277</v>
      </c>
      <c r="F16" s="148" t="s">
        <v>1036</v>
      </c>
    </row>
    <row r="17" spans="1:6" ht="30" customHeight="1" thickBot="1" x14ac:dyDescent="0.25">
      <c r="A17" s="192">
        <v>1</v>
      </c>
      <c r="B17" s="212" t="s">
        <v>1039</v>
      </c>
      <c r="C17" s="6">
        <v>70000000</v>
      </c>
      <c r="D17" s="197">
        <v>5.5E-2</v>
      </c>
      <c r="E17" s="98">
        <v>3500000</v>
      </c>
      <c r="F17" s="4436">
        <f>E17+E18+E19+E20</f>
        <v>20410000</v>
      </c>
    </row>
    <row r="18" spans="1:6" ht="30" customHeight="1" thickBot="1" x14ac:dyDescent="0.25">
      <c r="A18" s="193">
        <v>2</v>
      </c>
      <c r="B18" s="212" t="s">
        <v>1040</v>
      </c>
      <c r="C18" s="6">
        <v>140000000</v>
      </c>
      <c r="D18" s="197">
        <v>5.5E-2</v>
      </c>
      <c r="E18" s="98">
        <v>7000000</v>
      </c>
      <c r="F18" s="4437"/>
    </row>
    <row r="19" spans="1:6" ht="30" customHeight="1" thickBot="1" x14ac:dyDescent="0.25">
      <c r="A19" s="441"/>
      <c r="B19" s="212" t="s">
        <v>1035</v>
      </c>
      <c r="C19" s="1682">
        <v>63000000</v>
      </c>
      <c r="D19" s="197">
        <v>5.5E-2</v>
      </c>
      <c r="E19" s="1681">
        <v>4410000</v>
      </c>
      <c r="F19" s="4437"/>
    </row>
    <row r="20" spans="1:6" ht="30" customHeight="1" thickBot="1" x14ac:dyDescent="0.25">
      <c r="A20" s="192">
        <v>3</v>
      </c>
      <c r="B20" s="212" t="s">
        <v>3606</v>
      </c>
      <c r="C20" s="6">
        <v>100000000</v>
      </c>
      <c r="D20" s="197">
        <v>5.5E-2</v>
      </c>
      <c r="E20" s="98">
        <v>5500000</v>
      </c>
      <c r="F20" s="4438"/>
    </row>
    <row r="21" spans="1:6" x14ac:dyDescent="0.2">
      <c r="C21" s="402"/>
    </row>
  </sheetData>
  <mergeCells count="8">
    <mergeCell ref="A9:A10"/>
    <mergeCell ref="B1:F1"/>
    <mergeCell ref="F3:F11"/>
    <mergeCell ref="B15:F15"/>
    <mergeCell ref="F17:F20"/>
    <mergeCell ref="B5:E5"/>
    <mergeCell ref="B9:B10"/>
    <mergeCell ref="B7:E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rightToLeft="1" zoomScale="90" zoomScaleNormal="90" workbookViewId="0">
      <selection activeCell="B99" sqref="B99"/>
    </sheetView>
  </sheetViews>
  <sheetFormatPr defaultRowHeight="14.25" x14ac:dyDescent="0.2"/>
  <cols>
    <col min="1" max="1" width="5.75" style="5" customWidth="1"/>
    <col min="2" max="4" width="20.625" customWidth="1"/>
    <col min="5" max="5" width="23.625" style="5" customWidth="1"/>
    <col min="6" max="6" width="11.75" customWidth="1"/>
    <col min="7" max="7" width="39.875" customWidth="1"/>
  </cols>
  <sheetData>
    <row r="1" spans="1:13" ht="50.1" customHeight="1" thickBot="1" x14ac:dyDescent="0.25">
      <c r="A1" s="4296" t="s">
        <v>3830</v>
      </c>
      <c r="B1" s="4297"/>
      <c r="C1" s="4297"/>
      <c r="D1" s="4297"/>
      <c r="E1" s="4297"/>
      <c r="F1" s="4297"/>
      <c r="G1" s="4298"/>
    </row>
    <row r="2" spans="1:13" ht="50.1" customHeight="1" x14ac:dyDescent="0.2">
      <c r="A2" s="1858" t="s">
        <v>0</v>
      </c>
      <c r="B2" s="8" t="s">
        <v>3795</v>
      </c>
      <c r="C2" s="8" t="s">
        <v>3796</v>
      </c>
      <c r="D2" s="8" t="s">
        <v>3797</v>
      </c>
      <c r="E2" s="1" t="s">
        <v>3798</v>
      </c>
      <c r="F2" s="2" t="s">
        <v>3799</v>
      </c>
      <c r="G2" s="2" t="s">
        <v>268</v>
      </c>
    </row>
    <row r="3" spans="1:13" ht="30" customHeight="1" x14ac:dyDescent="0.2">
      <c r="A3" s="1865">
        <v>1</v>
      </c>
      <c r="B3" s="1822" t="s">
        <v>3802</v>
      </c>
      <c r="C3" s="1826">
        <v>500000000</v>
      </c>
      <c r="D3" s="1822" t="s">
        <v>3810</v>
      </c>
      <c r="E3" s="1826" t="s">
        <v>3818</v>
      </c>
      <c r="F3" s="1859" t="s">
        <v>3819</v>
      </c>
      <c r="G3" s="1860"/>
    </row>
    <row r="4" spans="1:13" ht="30" customHeight="1" x14ac:dyDescent="0.2">
      <c r="A4" s="1865">
        <v>2</v>
      </c>
      <c r="B4" s="1822" t="s">
        <v>3803</v>
      </c>
      <c r="C4" s="1826">
        <v>2000000000</v>
      </c>
      <c r="D4" s="1822" t="s">
        <v>3811</v>
      </c>
      <c r="E4" s="1826" t="s">
        <v>3818</v>
      </c>
      <c r="F4" s="1859" t="s">
        <v>3820</v>
      </c>
      <c r="G4" s="1860"/>
    </row>
    <row r="5" spans="1:13" ht="30" customHeight="1" x14ac:dyDescent="0.2">
      <c r="A5" s="1865">
        <v>3</v>
      </c>
      <c r="B5" s="1822" t="s">
        <v>3804</v>
      </c>
      <c r="C5" s="1826">
        <v>1520000000</v>
      </c>
      <c r="D5" s="1822" t="s">
        <v>3812</v>
      </c>
      <c r="E5" s="1826" t="s">
        <v>3818</v>
      </c>
      <c r="F5" s="1859" t="s">
        <v>3819</v>
      </c>
      <c r="G5" s="1860"/>
    </row>
    <row r="6" spans="1:13" ht="30" customHeight="1" x14ac:dyDescent="0.2">
      <c r="A6" s="1865">
        <v>4</v>
      </c>
      <c r="B6" s="1822" t="s">
        <v>3805</v>
      </c>
      <c r="C6" s="1826">
        <v>655000000</v>
      </c>
      <c r="D6" s="1822" t="s">
        <v>3813</v>
      </c>
      <c r="E6" s="1826" t="s">
        <v>3818</v>
      </c>
      <c r="F6" s="1859" t="s">
        <v>3819</v>
      </c>
      <c r="G6" s="1860"/>
    </row>
    <row r="7" spans="1:13" ht="30" customHeight="1" x14ac:dyDescent="0.2">
      <c r="A7" s="1865">
        <v>5</v>
      </c>
      <c r="B7" s="1822" t="s">
        <v>3806</v>
      </c>
      <c r="C7" s="1826">
        <v>490000000</v>
      </c>
      <c r="D7" s="1822" t="s">
        <v>3814</v>
      </c>
      <c r="E7" s="1826" t="s">
        <v>3818</v>
      </c>
      <c r="F7" s="1859" t="s">
        <v>3820</v>
      </c>
      <c r="G7" s="1860"/>
    </row>
    <row r="8" spans="1:13" ht="30" customHeight="1" x14ac:dyDescent="0.2">
      <c r="A8" s="1865">
        <v>6</v>
      </c>
      <c r="B8" s="1822" t="s">
        <v>3463</v>
      </c>
      <c r="C8" s="1826">
        <v>1050000000</v>
      </c>
      <c r="D8" s="1822" t="s">
        <v>3815</v>
      </c>
      <c r="E8" s="1826" t="s">
        <v>3818</v>
      </c>
      <c r="F8" s="1859" t="s">
        <v>3820</v>
      </c>
      <c r="G8" s="1860"/>
    </row>
    <row r="9" spans="1:13" ht="30" customHeight="1" x14ac:dyDescent="0.2">
      <c r="A9" s="1865">
        <v>7</v>
      </c>
      <c r="B9" s="1822" t="s">
        <v>3807</v>
      </c>
      <c r="C9" s="1826">
        <v>1370000000</v>
      </c>
      <c r="D9" s="1822" t="s">
        <v>3816</v>
      </c>
      <c r="E9" s="1826" t="s">
        <v>3818</v>
      </c>
      <c r="F9" s="1859" t="s">
        <v>3800</v>
      </c>
      <c r="G9" s="1860"/>
    </row>
    <row r="10" spans="1:13" ht="30" customHeight="1" x14ac:dyDescent="0.2">
      <c r="A10" s="1865">
        <v>8</v>
      </c>
      <c r="B10" s="1822" t="s">
        <v>3808</v>
      </c>
      <c r="C10" s="1826">
        <v>2600000000</v>
      </c>
      <c r="D10" s="1822" t="s">
        <v>3817</v>
      </c>
      <c r="E10" s="1826" t="s">
        <v>3818</v>
      </c>
      <c r="F10" s="1859" t="s">
        <v>1180</v>
      </c>
      <c r="G10" s="1860"/>
    </row>
    <row r="11" spans="1:13" ht="30" customHeight="1" x14ac:dyDescent="0.2">
      <c r="A11" s="1865">
        <v>9</v>
      </c>
      <c r="B11" s="1707" t="s">
        <v>3421</v>
      </c>
      <c r="C11" s="1828">
        <v>1000000000</v>
      </c>
      <c r="D11" s="1707">
        <v>595471</v>
      </c>
      <c r="E11" s="1828" t="s">
        <v>3818</v>
      </c>
      <c r="F11" s="1871" t="s">
        <v>3801</v>
      </c>
      <c r="G11" s="1861"/>
    </row>
    <row r="12" spans="1:13" ht="30" customHeight="1" x14ac:dyDescent="0.2">
      <c r="A12" s="1865">
        <v>10</v>
      </c>
      <c r="B12" s="1707" t="s">
        <v>3809</v>
      </c>
      <c r="C12" s="1828">
        <v>500000000</v>
      </c>
      <c r="D12" s="1707">
        <v>174155</v>
      </c>
      <c r="E12" s="1828" t="s">
        <v>3818</v>
      </c>
      <c r="F12" s="1871" t="s">
        <v>3801</v>
      </c>
      <c r="G12" s="1861"/>
    </row>
    <row r="13" spans="1:13" ht="30" customHeight="1" thickBot="1" x14ac:dyDescent="0.25">
      <c r="A13" s="1866"/>
      <c r="B13" s="1862" t="s">
        <v>3821</v>
      </c>
      <c r="C13" s="4373">
        <f>SUM(C3:C12)</f>
        <v>11685000000</v>
      </c>
      <c r="D13" s="4416"/>
      <c r="E13" s="4416"/>
      <c r="F13" s="4374"/>
      <c r="G13" s="1867"/>
    </row>
    <row r="14" spans="1:13" ht="18" x14ac:dyDescent="0.2">
      <c r="A14" s="181"/>
      <c r="B14" s="183"/>
      <c r="C14" s="183"/>
      <c r="D14" s="183"/>
      <c r="E14" s="1820"/>
      <c r="F14" s="1863"/>
      <c r="G14" s="1864"/>
    </row>
    <row r="15" spans="1:13" ht="18.75" thickBot="1" x14ac:dyDescent="0.25">
      <c r="A15" s="181"/>
      <c r="B15" s="183"/>
      <c r="C15" s="183"/>
      <c r="D15" s="183"/>
      <c r="E15" s="1820"/>
      <c r="F15" s="1863"/>
      <c r="G15" s="1864"/>
    </row>
    <row r="16" spans="1:13" ht="39.950000000000003" customHeight="1" thickBot="1" x14ac:dyDescent="0.25">
      <c r="A16" s="4443" t="s">
        <v>3823</v>
      </c>
      <c r="B16" s="4444"/>
      <c r="C16" s="4444"/>
      <c r="D16" s="4444"/>
      <c r="E16" s="4444"/>
      <c r="F16" s="4444"/>
      <c r="G16" s="4445"/>
      <c r="H16" s="1868"/>
      <c r="I16" s="1868"/>
      <c r="J16" s="1868"/>
      <c r="K16" s="1868"/>
      <c r="L16" s="1868"/>
      <c r="M16" s="1868"/>
    </row>
    <row r="17" spans="1:7" ht="18" customHeight="1" x14ac:dyDescent="0.2">
      <c r="A17" s="4446" t="s">
        <v>3822</v>
      </c>
      <c r="B17" s="4447"/>
      <c r="C17" s="4447"/>
      <c r="D17" s="4447"/>
      <c r="E17" s="4447"/>
      <c r="F17" s="4447"/>
      <c r="G17" s="4448"/>
    </row>
    <row r="18" spans="1:7" ht="18" customHeight="1" thickBot="1" x14ac:dyDescent="0.25">
      <c r="A18" s="4449"/>
      <c r="B18" s="4450"/>
      <c r="C18" s="4450"/>
      <c r="D18" s="4450"/>
      <c r="E18" s="4450"/>
      <c r="F18" s="4450"/>
      <c r="G18" s="4451"/>
    </row>
    <row r="19" spans="1:7" x14ac:dyDescent="0.2">
      <c r="A19" s="4446" t="s">
        <v>3824</v>
      </c>
      <c r="B19" s="4447"/>
      <c r="C19" s="4447"/>
      <c r="D19" s="4447"/>
      <c r="E19" s="4447"/>
      <c r="F19" s="4447"/>
      <c r="G19" s="4448"/>
    </row>
    <row r="20" spans="1:7" ht="15" thickBot="1" x14ac:dyDescent="0.25">
      <c r="A20" s="4449"/>
      <c r="B20" s="4450"/>
      <c r="C20" s="4450"/>
      <c r="D20" s="4450"/>
      <c r="E20" s="4450"/>
      <c r="F20" s="4450"/>
      <c r="G20" s="4451"/>
    </row>
    <row r="21" spans="1:7" x14ac:dyDescent="0.2">
      <c r="A21" s="181"/>
      <c r="B21" s="181"/>
      <c r="C21" s="181"/>
      <c r="D21" s="181"/>
      <c r="E21" s="181"/>
      <c r="F21" s="181"/>
      <c r="G21" s="181"/>
    </row>
    <row r="22" spans="1:7" x14ac:dyDescent="0.2">
      <c r="A22" s="181"/>
      <c r="B22" s="181"/>
      <c r="C22" s="181"/>
      <c r="D22" s="181"/>
      <c r="E22" s="181"/>
      <c r="F22" s="181"/>
      <c r="G22" s="181"/>
    </row>
    <row r="23" spans="1:7" ht="18.75" thickBot="1" x14ac:dyDescent="0.25">
      <c r="A23" s="181"/>
      <c r="B23" s="183"/>
      <c r="C23" s="183"/>
      <c r="D23" s="183"/>
      <c r="E23" s="1820"/>
      <c r="F23" s="1863"/>
      <c r="G23" s="1864"/>
    </row>
    <row r="24" spans="1:7" ht="50.1" customHeight="1" thickBot="1" x14ac:dyDescent="0.25">
      <c r="A24" s="4296" t="s">
        <v>3831</v>
      </c>
      <c r="B24" s="4297"/>
      <c r="C24" s="4297"/>
      <c r="D24" s="4297"/>
      <c r="E24" s="4297"/>
      <c r="F24" s="4297"/>
      <c r="G24" s="4298"/>
    </row>
    <row r="25" spans="1:7" ht="50.1" customHeight="1" x14ac:dyDescent="0.2">
      <c r="A25" s="1858" t="s">
        <v>0</v>
      </c>
      <c r="B25" s="8" t="s">
        <v>3795</v>
      </c>
      <c r="C25" s="8" t="s">
        <v>3796</v>
      </c>
      <c r="D25" s="8" t="s">
        <v>3797</v>
      </c>
      <c r="E25" s="1" t="s">
        <v>3798</v>
      </c>
      <c r="F25" s="2" t="s">
        <v>3799</v>
      </c>
      <c r="G25" s="2" t="s">
        <v>268</v>
      </c>
    </row>
    <row r="26" spans="1:7" ht="30" customHeight="1" x14ac:dyDescent="0.2">
      <c r="A26" s="1865">
        <v>1</v>
      </c>
      <c r="B26" s="1822" t="s">
        <v>3802</v>
      </c>
      <c r="C26" s="1826">
        <v>500000000</v>
      </c>
      <c r="D26" s="1822" t="s">
        <v>3810</v>
      </c>
      <c r="E26" s="1826" t="s">
        <v>3818</v>
      </c>
      <c r="F26" s="1859" t="s">
        <v>3819</v>
      </c>
      <c r="G26" s="1860"/>
    </row>
    <row r="27" spans="1:7" ht="30" customHeight="1" x14ac:dyDescent="0.2">
      <c r="A27" s="1865">
        <v>2</v>
      </c>
      <c r="B27" s="1822" t="s">
        <v>3803</v>
      </c>
      <c r="C27" s="1826">
        <v>2000000000</v>
      </c>
      <c r="D27" s="1822" t="s">
        <v>3811</v>
      </c>
      <c r="E27" s="1826" t="s">
        <v>3818</v>
      </c>
      <c r="F27" s="1859" t="s">
        <v>3820</v>
      </c>
      <c r="G27" s="1860"/>
    </row>
    <row r="28" spans="1:7" ht="30" customHeight="1" x14ac:dyDescent="0.2">
      <c r="A28" s="1865">
        <v>3</v>
      </c>
      <c r="B28" s="1822" t="s">
        <v>3804</v>
      </c>
      <c r="C28" s="1826">
        <v>1520000000</v>
      </c>
      <c r="D28" s="1822" t="s">
        <v>3812</v>
      </c>
      <c r="E28" s="1826" t="s">
        <v>3818</v>
      </c>
      <c r="F28" s="1859" t="s">
        <v>3819</v>
      </c>
      <c r="G28" s="1860"/>
    </row>
    <row r="29" spans="1:7" ht="30" customHeight="1" x14ac:dyDescent="0.2">
      <c r="A29" s="1865">
        <v>4</v>
      </c>
      <c r="B29" s="1822" t="s">
        <v>3805</v>
      </c>
      <c r="C29" s="1826">
        <v>655000000</v>
      </c>
      <c r="D29" s="1822" t="s">
        <v>3813</v>
      </c>
      <c r="E29" s="1826" t="s">
        <v>3818</v>
      </c>
      <c r="F29" s="1859" t="s">
        <v>3819</v>
      </c>
      <c r="G29" s="1860"/>
    </row>
    <row r="30" spans="1:7" ht="30" customHeight="1" x14ac:dyDescent="0.2">
      <c r="A30" s="1865">
        <v>5</v>
      </c>
      <c r="B30" s="1822" t="s">
        <v>3806</v>
      </c>
      <c r="C30" s="1826">
        <v>490000000</v>
      </c>
      <c r="D30" s="1822" t="s">
        <v>3814</v>
      </c>
      <c r="E30" s="1826" t="s">
        <v>3818</v>
      </c>
      <c r="F30" s="1859" t="s">
        <v>3820</v>
      </c>
      <c r="G30" s="1860"/>
    </row>
    <row r="31" spans="1:7" ht="30" customHeight="1" x14ac:dyDescent="0.2">
      <c r="A31" s="1865">
        <v>6</v>
      </c>
      <c r="B31" s="1822" t="s">
        <v>3463</v>
      </c>
      <c r="C31" s="1826">
        <v>1050000000</v>
      </c>
      <c r="D31" s="1822" t="s">
        <v>3815</v>
      </c>
      <c r="E31" s="1826" t="s">
        <v>3818</v>
      </c>
      <c r="F31" s="1859" t="s">
        <v>3820</v>
      </c>
      <c r="G31" s="1860"/>
    </row>
    <row r="32" spans="1:7" ht="30" customHeight="1" x14ac:dyDescent="0.2">
      <c r="A32" s="1865">
        <v>7</v>
      </c>
      <c r="B32" s="1822" t="s">
        <v>3807</v>
      </c>
      <c r="C32" s="1826">
        <v>1370000000</v>
      </c>
      <c r="D32" s="1822" t="s">
        <v>3816</v>
      </c>
      <c r="E32" s="1826" t="s">
        <v>3818</v>
      </c>
      <c r="F32" s="1859" t="s">
        <v>3800</v>
      </c>
      <c r="G32" s="1860"/>
    </row>
    <row r="33" spans="1:13" ht="30" customHeight="1" x14ac:dyDescent="0.2">
      <c r="A33" s="1865">
        <v>8</v>
      </c>
      <c r="B33" s="1822" t="s">
        <v>3808</v>
      </c>
      <c r="C33" s="1826">
        <v>2600000000</v>
      </c>
      <c r="D33" s="1822" t="s">
        <v>3817</v>
      </c>
      <c r="E33" s="1826" t="s">
        <v>3818</v>
      </c>
      <c r="F33" s="1859" t="s">
        <v>1180</v>
      </c>
      <c r="G33" s="1860"/>
    </row>
    <row r="34" spans="1:13" ht="30" customHeight="1" x14ac:dyDescent="0.2">
      <c r="A34" s="1865">
        <v>9</v>
      </c>
      <c r="B34" s="1707"/>
      <c r="C34" s="1828">
        <v>1050000000</v>
      </c>
      <c r="D34" s="1707">
        <v>174155</v>
      </c>
      <c r="E34" s="1828" t="s">
        <v>3818</v>
      </c>
      <c r="F34" s="1871" t="s">
        <v>3801</v>
      </c>
      <c r="G34" s="1861"/>
    </row>
    <row r="35" spans="1:13" ht="30" customHeight="1" thickBot="1" x14ac:dyDescent="0.25">
      <c r="A35" s="1866"/>
      <c r="B35" s="1862" t="s">
        <v>3829</v>
      </c>
      <c r="C35" s="4373">
        <f>SUM(C26:C34)</f>
        <v>11235000000</v>
      </c>
      <c r="D35" s="4416"/>
      <c r="E35" s="4416"/>
      <c r="F35" s="4374"/>
      <c r="G35" s="1867"/>
    </row>
    <row r="36" spans="1:13" ht="18" x14ac:dyDescent="0.2">
      <c r="A36" s="181"/>
      <c r="B36" s="183"/>
      <c r="C36" s="183"/>
      <c r="D36" s="183"/>
      <c r="E36" s="1820"/>
      <c r="F36" s="1863"/>
      <c r="G36" s="1864"/>
    </row>
    <row r="37" spans="1:13" ht="18.75" thickBot="1" x14ac:dyDescent="0.25">
      <c r="A37" s="181"/>
      <c r="B37" s="183"/>
      <c r="C37" s="183"/>
      <c r="D37" s="183"/>
      <c r="E37" s="1820"/>
      <c r="F37" s="1863"/>
      <c r="G37" s="1864"/>
    </row>
    <row r="38" spans="1:13" ht="39.950000000000003" customHeight="1" thickBot="1" x14ac:dyDescent="0.25">
      <c r="A38" s="4443" t="s">
        <v>3825</v>
      </c>
      <c r="B38" s="4444"/>
      <c r="C38" s="4444"/>
      <c r="D38" s="4444"/>
      <c r="E38" s="4444"/>
      <c r="F38" s="4444"/>
      <c r="G38" s="4445"/>
      <c r="H38" s="1868"/>
      <c r="I38" s="1868"/>
      <c r="J38" s="1868"/>
      <c r="K38" s="1868"/>
      <c r="L38" s="1868"/>
      <c r="M38" s="1868"/>
    </row>
    <row r="39" spans="1:13" ht="39.950000000000003" customHeight="1" thickBot="1" x14ac:dyDescent="0.25">
      <c r="A39" s="4443" t="s">
        <v>3826</v>
      </c>
      <c r="B39" s="4444"/>
      <c r="C39" s="4444"/>
      <c r="D39" s="4444"/>
      <c r="E39" s="4444"/>
      <c r="F39" s="4444"/>
      <c r="G39" s="4445"/>
      <c r="H39" s="1868"/>
      <c r="I39" s="1868"/>
      <c r="J39" s="1868"/>
      <c r="K39" s="1868"/>
      <c r="L39" s="1868"/>
      <c r="M39" s="1868"/>
    </row>
    <row r="40" spans="1:13" ht="39.950000000000003" customHeight="1" thickBot="1" x14ac:dyDescent="0.25">
      <c r="A40" s="4443" t="s">
        <v>3827</v>
      </c>
      <c r="B40" s="4444"/>
      <c r="C40" s="4444"/>
      <c r="D40" s="4444"/>
      <c r="E40" s="4444"/>
      <c r="F40" s="4444"/>
      <c r="G40" s="4445"/>
      <c r="H40" s="1868"/>
      <c r="I40" s="1868"/>
      <c r="J40" s="1868"/>
      <c r="K40" s="1868"/>
      <c r="L40" s="1868"/>
      <c r="M40" s="1868"/>
    </row>
    <row r="41" spans="1:13" ht="18" x14ac:dyDescent="0.2">
      <c r="A41" s="181"/>
      <c r="B41" s="183"/>
      <c r="C41" s="183"/>
      <c r="D41" s="183"/>
      <c r="E41" s="1820"/>
      <c r="F41" s="1863"/>
      <c r="G41" s="1864"/>
    </row>
    <row r="42" spans="1:13" ht="18" x14ac:dyDescent="0.2">
      <c r="A42" s="181"/>
      <c r="B42" s="183"/>
      <c r="C42" s="183"/>
      <c r="D42" s="183"/>
      <c r="E42" s="1820"/>
      <c r="F42" s="1863"/>
      <c r="G42" s="1864"/>
    </row>
    <row r="43" spans="1:13" ht="18.75" thickBot="1" x14ac:dyDescent="0.25">
      <c r="A43" s="181"/>
      <c r="B43" s="183"/>
      <c r="C43" s="183"/>
      <c r="D43" s="183"/>
      <c r="E43" s="1820"/>
      <c r="F43" s="1863"/>
      <c r="G43" s="1864"/>
    </row>
    <row r="44" spans="1:13" ht="50.1" customHeight="1" thickBot="1" x14ac:dyDescent="0.25">
      <c r="A44" s="4296" t="s">
        <v>3832</v>
      </c>
      <c r="B44" s="4297"/>
      <c r="C44" s="4297"/>
      <c r="D44" s="4297"/>
      <c r="E44" s="4297"/>
      <c r="F44" s="4297"/>
      <c r="G44" s="4298"/>
    </row>
    <row r="45" spans="1:13" ht="50.1" customHeight="1" x14ac:dyDescent="0.2">
      <c r="A45" s="1858" t="s">
        <v>0</v>
      </c>
      <c r="B45" s="8" t="s">
        <v>3795</v>
      </c>
      <c r="C45" s="8" t="s">
        <v>3796</v>
      </c>
      <c r="D45" s="8" t="s">
        <v>3797</v>
      </c>
      <c r="E45" s="1" t="s">
        <v>3798</v>
      </c>
      <c r="F45" s="2" t="s">
        <v>3799</v>
      </c>
      <c r="G45" s="2" t="s">
        <v>268</v>
      </c>
    </row>
    <row r="46" spans="1:13" ht="30" customHeight="1" x14ac:dyDescent="0.2">
      <c r="A46" s="1865">
        <v>1</v>
      </c>
      <c r="B46" s="1822" t="s">
        <v>3802</v>
      </c>
      <c r="C46" s="1826">
        <v>500000000</v>
      </c>
      <c r="D46" s="1822" t="s">
        <v>3810</v>
      </c>
      <c r="E46" s="1826" t="s">
        <v>3818</v>
      </c>
      <c r="F46" s="1859" t="s">
        <v>3819</v>
      </c>
      <c r="G46" s="1860"/>
    </row>
    <row r="47" spans="1:13" ht="30" customHeight="1" x14ac:dyDescent="0.2">
      <c r="A47" s="1865">
        <v>2</v>
      </c>
      <c r="B47" s="1822" t="s">
        <v>3803</v>
      </c>
      <c r="C47" s="1826">
        <v>2000000000</v>
      </c>
      <c r="D47" s="1822" t="s">
        <v>3811</v>
      </c>
      <c r="E47" s="1826" t="s">
        <v>3818</v>
      </c>
      <c r="F47" s="1859" t="s">
        <v>3820</v>
      </c>
      <c r="G47" s="1860"/>
    </row>
    <row r="48" spans="1:13" ht="30" customHeight="1" x14ac:dyDescent="0.2">
      <c r="A48" s="1865">
        <v>3</v>
      </c>
      <c r="B48" s="1822" t="s">
        <v>3804</v>
      </c>
      <c r="C48" s="1826">
        <v>1520000000</v>
      </c>
      <c r="D48" s="1822" t="s">
        <v>3812</v>
      </c>
      <c r="E48" s="1826" t="s">
        <v>3818</v>
      </c>
      <c r="F48" s="1859" t="s">
        <v>3819</v>
      </c>
      <c r="G48" s="1860"/>
    </row>
    <row r="49" spans="1:7" ht="30" customHeight="1" x14ac:dyDescent="0.2">
      <c r="A49" s="1865">
        <v>4</v>
      </c>
      <c r="B49" s="1822" t="s">
        <v>3805</v>
      </c>
      <c r="C49" s="1826">
        <v>655000000</v>
      </c>
      <c r="D49" s="1822" t="s">
        <v>3813</v>
      </c>
      <c r="E49" s="1826" t="s">
        <v>3818</v>
      </c>
      <c r="F49" s="1859" t="s">
        <v>3819</v>
      </c>
      <c r="G49" s="1860"/>
    </row>
    <row r="50" spans="1:7" ht="30" customHeight="1" x14ac:dyDescent="0.2">
      <c r="A50" s="1865">
        <v>5</v>
      </c>
      <c r="B50" s="1822" t="s">
        <v>3806</v>
      </c>
      <c r="C50" s="1826">
        <v>490000000</v>
      </c>
      <c r="D50" s="1822" t="s">
        <v>3814</v>
      </c>
      <c r="E50" s="1826" t="s">
        <v>3818</v>
      </c>
      <c r="F50" s="1859" t="s">
        <v>3820</v>
      </c>
      <c r="G50" s="1860"/>
    </row>
    <row r="51" spans="1:7" ht="30" customHeight="1" x14ac:dyDescent="0.2">
      <c r="A51" s="1865">
        <v>6</v>
      </c>
      <c r="B51" s="1822" t="s">
        <v>3463</v>
      </c>
      <c r="C51" s="1826">
        <v>1050000000</v>
      </c>
      <c r="D51" s="1822" t="s">
        <v>3815</v>
      </c>
      <c r="E51" s="1826" t="s">
        <v>3818</v>
      </c>
      <c r="F51" s="1859" t="s">
        <v>3820</v>
      </c>
      <c r="G51" s="1860"/>
    </row>
    <row r="52" spans="1:7" ht="30" customHeight="1" x14ac:dyDescent="0.2">
      <c r="A52" s="1865">
        <v>7</v>
      </c>
      <c r="B52" s="1822" t="s">
        <v>3807</v>
      </c>
      <c r="C52" s="1826">
        <v>1370000000</v>
      </c>
      <c r="D52" s="1822" t="s">
        <v>3816</v>
      </c>
      <c r="E52" s="1826" t="s">
        <v>3818</v>
      </c>
      <c r="F52" s="1859" t="s">
        <v>3800</v>
      </c>
      <c r="G52" s="1860"/>
    </row>
    <row r="53" spans="1:7" ht="30" customHeight="1" x14ac:dyDescent="0.2">
      <c r="A53" s="1865">
        <v>8</v>
      </c>
      <c r="B53" s="1822" t="s">
        <v>3808</v>
      </c>
      <c r="C53" s="1826">
        <v>2600000000</v>
      </c>
      <c r="D53" s="1822" t="s">
        <v>3817</v>
      </c>
      <c r="E53" s="1826" t="s">
        <v>3818</v>
      </c>
      <c r="F53" s="1859" t="s">
        <v>1180</v>
      </c>
      <c r="G53" s="1860"/>
    </row>
    <row r="54" spans="1:7" ht="30" customHeight="1" x14ac:dyDescent="0.2">
      <c r="A54" s="1865">
        <v>9</v>
      </c>
      <c r="B54" s="1822" t="s">
        <v>3833</v>
      </c>
      <c r="C54" s="1826">
        <v>2730000000</v>
      </c>
      <c r="D54" s="1822" t="s">
        <v>3834</v>
      </c>
      <c r="E54" s="1826" t="s">
        <v>3818</v>
      </c>
      <c r="F54" s="1859"/>
      <c r="G54" s="1861"/>
    </row>
    <row r="55" spans="1:7" ht="30" customHeight="1" thickBot="1" x14ac:dyDescent="0.25">
      <c r="A55" s="1866"/>
      <c r="B55" s="1862" t="s">
        <v>3828</v>
      </c>
      <c r="C55" s="4453">
        <f>SUM(C46:C54)</f>
        <v>12915000000</v>
      </c>
      <c r="D55" s="4454"/>
      <c r="E55" s="4454"/>
      <c r="F55" s="4455"/>
      <c r="G55" s="1867"/>
    </row>
    <row r="56" spans="1:7" ht="18" x14ac:dyDescent="0.2">
      <c r="A56" s="181"/>
      <c r="B56" s="183"/>
      <c r="C56" s="183"/>
      <c r="D56" s="183"/>
      <c r="E56" s="1820"/>
      <c r="F56" s="1863"/>
      <c r="G56" s="1864"/>
    </row>
    <row r="57" spans="1:7" ht="18" x14ac:dyDescent="0.2">
      <c r="A57" s="181"/>
      <c r="B57" s="183"/>
      <c r="C57" s="183"/>
      <c r="D57" s="183"/>
      <c r="E57" s="1820"/>
      <c r="F57" s="1863"/>
      <c r="G57" s="1864"/>
    </row>
    <row r="58" spans="1:7" ht="18.75" thickBot="1" x14ac:dyDescent="0.25">
      <c r="A58" s="181"/>
      <c r="B58" s="183"/>
      <c r="C58" s="183"/>
      <c r="D58" s="183"/>
      <c r="E58" s="1820"/>
      <c r="F58" s="1863"/>
      <c r="G58" s="1864"/>
    </row>
    <row r="59" spans="1:7" ht="50.1" customHeight="1" thickBot="1" x14ac:dyDescent="0.25">
      <c r="A59" s="4296" t="s">
        <v>5071</v>
      </c>
      <c r="B59" s="4297"/>
      <c r="C59" s="4297"/>
      <c r="D59" s="4297"/>
      <c r="E59" s="4297"/>
      <c r="F59" s="4297"/>
      <c r="G59" s="4298"/>
    </row>
    <row r="60" spans="1:7" ht="50.1" customHeight="1" x14ac:dyDescent="0.2">
      <c r="A60" s="1858" t="s">
        <v>0</v>
      </c>
      <c r="B60" s="8" t="s">
        <v>3795</v>
      </c>
      <c r="C60" s="8" t="s">
        <v>3796</v>
      </c>
      <c r="D60" s="8" t="s">
        <v>3797</v>
      </c>
      <c r="E60" s="1" t="s">
        <v>3798</v>
      </c>
      <c r="F60" s="2" t="s">
        <v>3799</v>
      </c>
      <c r="G60" s="2" t="s">
        <v>268</v>
      </c>
    </row>
    <row r="61" spans="1:7" ht="30" customHeight="1" x14ac:dyDescent="0.2">
      <c r="A61" s="3169">
        <v>1</v>
      </c>
      <c r="B61" s="3133" t="s">
        <v>3802</v>
      </c>
      <c r="C61" s="3140">
        <v>500000000</v>
      </c>
      <c r="D61" s="3133" t="s">
        <v>3810</v>
      </c>
      <c r="E61" s="3140" t="s">
        <v>3818</v>
      </c>
      <c r="F61" s="3166" t="s">
        <v>3819</v>
      </c>
      <c r="G61" s="1860"/>
    </row>
    <row r="62" spans="1:7" ht="30" customHeight="1" x14ac:dyDescent="0.2">
      <c r="A62" s="3169">
        <v>2</v>
      </c>
      <c r="B62" s="3133" t="s">
        <v>3803</v>
      </c>
      <c r="C62" s="3140">
        <v>2000000000</v>
      </c>
      <c r="D62" s="3133" t="s">
        <v>3811</v>
      </c>
      <c r="E62" s="3140" t="s">
        <v>3818</v>
      </c>
      <c r="F62" s="3166" t="s">
        <v>3820</v>
      </c>
      <c r="G62" s="1860"/>
    </row>
    <row r="63" spans="1:7" ht="30" customHeight="1" x14ac:dyDescent="0.2">
      <c r="A63" s="3169">
        <v>3</v>
      </c>
      <c r="B63" s="3133" t="s">
        <v>3804</v>
      </c>
      <c r="C63" s="3140">
        <v>1520000000</v>
      </c>
      <c r="D63" s="3133" t="s">
        <v>3812</v>
      </c>
      <c r="E63" s="3140" t="s">
        <v>3818</v>
      </c>
      <c r="F63" s="3166" t="s">
        <v>3819</v>
      </c>
      <c r="G63" s="1860"/>
    </row>
    <row r="64" spans="1:7" ht="30" customHeight="1" x14ac:dyDescent="0.2">
      <c r="A64" s="3169">
        <v>4</v>
      </c>
      <c r="B64" s="3133" t="s">
        <v>3805</v>
      </c>
      <c r="C64" s="3140">
        <v>655000000</v>
      </c>
      <c r="D64" s="3133" t="s">
        <v>3813</v>
      </c>
      <c r="E64" s="3140" t="s">
        <v>3818</v>
      </c>
      <c r="F64" s="3166" t="s">
        <v>3819</v>
      </c>
      <c r="G64" s="1860"/>
    </row>
    <row r="65" spans="1:7" ht="30" customHeight="1" x14ac:dyDescent="0.2">
      <c r="A65" s="3169">
        <v>5</v>
      </c>
      <c r="B65" s="3133" t="s">
        <v>3806</v>
      </c>
      <c r="C65" s="3140">
        <v>490000000</v>
      </c>
      <c r="D65" s="3133" t="s">
        <v>3814</v>
      </c>
      <c r="E65" s="3140" t="s">
        <v>3818</v>
      </c>
      <c r="F65" s="3166" t="s">
        <v>3820</v>
      </c>
      <c r="G65" s="1860"/>
    </row>
    <row r="66" spans="1:7" ht="30" customHeight="1" x14ac:dyDescent="0.2">
      <c r="A66" s="3169">
        <v>6</v>
      </c>
      <c r="B66" s="3133" t="s">
        <v>3463</v>
      </c>
      <c r="C66" s="3140">
        <v>1050000000</v>
      </c>
      <c r="D66" s="3133" t="s">
        <v>3815</v>
      </c>
      <c r="E66" s="3140" t="s">
        <v>3818</v>
      </c>
      <c r="F66" s="3166" t="s">
        <v>3820</v>
      </c>
      <c r="G66" s="1860"/>
    </row>
    <row r="67" spans="1:7" ht="30" customHeight="1" x14ac:dyDescent="0.2">
      <c r="A67" s="1865">
        <v>7</v>
      </c>
      <c r="B67" s="1707" t="s">
        <v>3807</v>
      </c>
      <c r="C67" s="3141">
        <v>1370000000</v>
      </c>
      <c r="D67" s="1707" t="s">
        <v>3816</v>
      </c>
      <c r="E67" s="3141" t="s">
        <v>3818</v>
      </c>
      <c r="F67" s="1871" t="s">
        <v>3800</v>
      </c>
      <c r="G67" s="1860"/>
    </row>
    <row r="68" spans="1:7" ht="30" customHeight="1" x14ac:dyDescent="0.2">
      <c r="A68" s="1865">
        <v>8</v>
      </c>
      <c r="B68" s="1707" t="s">
        <v>3808</v>
      </c>
      <c r="C68" s="3141">
        <v>2600000000</v>
      </c>
      <c r="D68" s="1707" t="s">
        <v>3817</v>
      </c>
      <c r="E68" s="3141" t="s">
        <v>3818</v>
      </c>
      <c r="F68" s="1871" t="s">
        <v>1180</v>
      </c>
      <c r="G68" s="1860"/>
    </row>
    <row r="69" spans="1:7" ht="30" customHeight="1" x14ac:dyDescent="0.2">
      <c r="A69" s="1865">
        <v>9</v>
      </c>
      <c r="B69" s="1707" t="s">
        <v>3833</v>
      </c>
      <c r="C69" s="3141">
        <v>2730000000</v>
      </c>
      <c r="D69" s="1707" t="s">
        <v>3834</v>
      </c>
      <c r="E69" s="3141" t="s">
        <v>3818</v>
      </c>
      <c r="F69" s="1871"/>
      <c r="G69" s="1861"/>
    </row>
    <row r="70" spans="1:7" ht="30" customHeight="1" x14ac:dyDescent="0.2">
      <c r="A70" s="3164"/>
      <c r="B70" s="1707"/>
      <c r="C70" s="3141">
        <v>690000000</v>
      </c>
      <c r="D70" s="1707"/>
      <c r="E70" s="3141"/>
      <c r="F70" s="3167"/>
      <c r="G70" s="3165"/>
    </row>
    <row r="71" spans="1:7" ht="30" customHeight="1" x14ac:dyDescent="0.2">
      <c r="A71" s="3164"/>
      <c r="B71" s="1707"/>
      <c r="C71" s="3141">
        <v>935000000</v>
      </c>
      <c r="D71" s="1707"/>
      <c r="E71" s="3141"/>
      <c r="F71" s="3167"/>
      <c r="G71" s="3165"/>
    </row>
    <row r="72" spans="1:7" ht="30" customHeight="1" x14ac:dyDescent="0.2">
      <c r="A72" s="3170"/>
      <c r="B72" s="3133" t="s">
        <v>2830</v>
      </c>
      <c r="C72" s="3140">
        <v>3000000000</v>
      </c>
      <c r="D72" s="3133" t="s">
        <v>5075</v>
      </c>
      <c r="E72" s="3140" t="s">
        <v>5076</v>
      </c>
      <c r="F72" s="3168" t="s">
        <v>5077</v>
      </c>
      <c r="G72" s="3165"/>
    </row>
    <row r="73" spans="1:7" ht="30" customHeight="1" x14ac:dyDescent="0.2">
      <c r="A73" s="3170"/>
      <c r="B73" s="3133" t="s">
        <v>1175</v>
      </c>
      <c r="C73" s="3140">
        <v>3700000000</v>
      </c>
      <c r="D73" s="3133" t="s">
        <v>5078</v>
      </c>
      <c r="E73" s="3140" t="s">
        <v>5076</v>
      </c>
      <c r="F73" s="3168" t="s">
        <v>3801</v>
      </c>
      <c r="G73" s="3165"/>
    </row>
    <row r="74" spans="1:7" ht="30" customHeight="1" x14ac:dyDescent="0.2">
      <c r="A74" s="3170"/>
      <c r="B74" s="3133" t="s">
        <v>5073</v>
      </c>
      <c r="C74" s="3140">
        <v>690000000</v>
      </c>
      <c r="D74" s="3133" t="s">
        <v>5074</v>
      </c>
      <c r="E74" s="3140" t="s">
        <v>3818</v>
      </c>
      <c r="F74" s="3168" t="s">
        <v>3819</v>
      </c>
      <c r="G74" s="3165"/>
    </row>
    <row r="75" spans="1:7" ht="30" customHeight="1" x14ac:dyDescent="0.2">
      <c r="A75" s="3170"/>
      <c r="B75" s="3133" t="s">
        <v>4230</v>
      </c>
      <c r="C75" s="3140">
        <v>425000000</v>
      </c>
      <c r="D75" s="3133">
        <v>369207</v>
      </c>
      <c r="E75" s="3140" t="s">
        <v>3818</v>
      </c>
      <c r="F75" s="3168" t="s">
        <v>5079</v>
      </c>
      <c r="G75" s="3165"/>
    </row>
    <row r="76" spans="1:7" ht="30" customHeight="1" x14ac:dyDescent="0.2">
      <c r="A76" s="3170"/>
      <c r="B76" s="3133" t="s">
        <v>4230</v>
      </c>
      <c r="C76" s="3140">
        <v>500000000</v>
      </c>
      <c r="D76" s="3133">
        <v>369208</v>
      </c>
      <c r="E76" s="3140" t="s">
        <v>3818</v>
      </c>
      <c r="F76" s="3168" t="s">
        <v>5079</v>
      </c>
      <c r="G76" s="3165"/>
    </row>
    <row r="77" spans="1:7" ht="30" customHeight="1" x14ac:dyDescent="0.2">
      <c r="A77" s="3170"/>
      <c r="B77" s="3133" t="s">
        <v>5080</v>
      </c>
      <c r="C77" s="3140">
        <v>850000000</v>
      </c>
      <c r="D77" s="3133">
        <v>47211</v>
      </c>
      <c r="E77" s="3140" t="s">
        <v>3818</v>
      </c>
      <c r="F77" s="3168" t="s">
        <v>5079</v>
      </c>
      <c r="G77" s="3165"/>
    </row>
    <row r="78" spans="1:7" ht="30" customHeight="1" thickBot="1" x14ac:dyDescent="0.25">
      <c r="A78" s="1866"/>
      <c r="B78" s="3171" t="s">
        <v>5072</v>
      </c>
      <c r="C78" s="4453">
        <f>C61+C62+C63+C64+C65+C66+C72+C73+C74+C75+C76+C77</f>
        <v>15380000000</v>
      </c>
      <c r="D78" s="4454"/>
      <c r="E78" s="4454"/>
      <c r="F78" s="4455"/>
      <c r="G78" s="1867"/>
    </row>
    <row r="79" spans="1:7" ht="18" x14ac:dyDescent="0.2">
      <c r="A79" s="181"/>
      <c r="B79" s="183"/>
      <c r="C79" s="183"/>
      <c r="D79" s="183"/>
      <c r="E79" s="1820"/>
      <c r="F79" s="1863"/>
      <c r="G79" s="1864"/>
    </row>
    <row r="80" spans="1:7" ht="18" x14ac:dyDescent="0.2">
      <c r="A80" s="181"/>
      <c r="B80" s="183"/>
      <c r="C80" s="183"/>
      <c r="D80" s="183"/>
      <c r="E80" s="1820"/>
      <c r="F80" s="1863"/>
      <c r="G80" s="1864"/>
    </row>
    <row r="81" spans="1:7" ht="18.75" thickBot="1" x14ac:dyDescent="0.25">
      <c r="A81" s="181"/>
      <c r="B81" s="183"/>
      <c r="C81" s="183"/>
      <c r="D81" s="183"/>
      <c r="E81" s="1820"/>
      <c r="F81" s="1863"/>
      <c r="G81" s="1864"/>
    </row>
    <row r="82" spans="1:7" ht="50.1" customHeight="1" thickBot="1" x14ac:dyDescent="0.25">
      <c r="A82" s="4296" t="s">
        <v>5449</v>
      </c>
      <c r="B82" s="4297"/>
      <c r="C82" s="4297"/>
      <c r="D82" s="4297"/>
      <c r="E82" s="4297"/>
      <c r="F82" s="4297"/>
      <c r="G82" s="4298"/>
    </row>
    <row r="83" spans="1:7" ht="50.1" customHeight="1" x14ac:dyDescent="0.2">
      <c r="A83" s="1858" t="s">
        <v>0</v>
      </c>
      <c r="B83" s="8" t="s">
        <v>3795</v>
      </c>
      <c r="C83" s="8" t="s">
        <v>3796</v>
      </c>
      <c r="D83" s="8" t="s">
        <v>3797</v>
      </c>
      <c r="E83" s="1" t="s">
        <v>3798</v>
      </c>
      <c r="F83" s="2" t="s">
        <v>3799</v>
      </c>
      <c r="G83" s="2" t="s">
        <v>268</v>
      </c>
    </row>
    <row r="84" spans="1:7" ht="30" customHeight="1" x14ac:dyDescent="0.2">
      <c r="A84" s="3169">
        <v>1</v>
      </c>
      <c r="B84" s="3702" t="s">
        <v>3802</v>
      </c>
      <c r="C84" s="3705">
        <v>500000000</v>
      </c>
      <c r="D84" s="3702" t="s">
        <v>3810</v>
      </c>
      <c r="E84" s="3705" t="s">
        <v>3818</v>
      </c>
      <c r="F84" s="3166" t="s">
        <v>3819</v>
      </c>
      <c r="G84" s="1860"/>
    </row>
    <row r="85" spans="1:7" ht="30" customHeight="1" x14ac:dyDescent="0.2">
      <c r="A85" s="3169">
        <v>2</v>
      </c>
      <c r="B85" s="3702" t="s">
        <v>3803</v>
      </c>
      <c r="C85" s="3705">
        <v>2000000000</v>
      </c>
      <c r="D85" s="3702" t="s">
        <v>3811</v>
      </c>
      <c r="E85" s="3705" t="s">
        <v>3818</v>
      </c>
      <c r="F85" s="3166" t="s">
        <v>3820</v>
      </c>
      <c r="G85" s="1860"/>
    </row>
    <row r="86" spans="1:7" ht="30" customHeight="1" x14ac:dyDescent="0.2">
      <c r="A86" s="3169">
        <v>3</v>
      </c>
      <c r="B86" s="3702" t="s">
        <v>3804</v>
      </c>
      <c r="C86" s="3705">
        <v>1520000000</v>
      </c>
      <c r="D86" s="3702" t="s">
        <v>3812</v>
      </c>
      <c r="E86" s="3705" t="s">
        <v>3818</v>
      </c>
      <c r="F86" s="3166" t="s">
        <v>3819</v>
      </c>
      <c r="G86" s="1860"/>
    </row>
    <row r="87" spans="1:7" ht="30" customHeight="1" x14ac:dyDescent="0.2">
      <c r="A87" s="3169">
        <v>4</v>
      </c>
      <c r="B87" s="3702" t="s">
        <v>3805</v>
      </c>
      <c r="C87" s="3705">
        <v>655000000</v>
      </c>
      <c r="D87" s="3702" t="s">
        <v>3813</v>
      </c>
      <c r="E87" s="3705" t="s">
        <v>3818</v>
      </c>
      <c r="F87" s="3166" t="s">
        <v>3819</v>
      </c>
      <c r="G87" s="1860"/>
    </row>
    <row r="88" spans="1:7" ht="30" customHeight="1" x14ac:dyDescent="0.2">
      <c r="A88" s="3169">
        <v>5</v>
      </c>
      <c r="B88" s="3702" t="s">
        <v>3806</v>
      </c>
      <c r="C88" s="3705">
        <v>490000000</v>
      </c>
      <c r="D88" s="3702" t="s">
        <v>3814</v>
      </c>
      <c r="E88" s="3705" t="s">
        <v>3818</v>
      </c>
      <c r="F88" s="3166" t="s">
        <v>3820</v>
      </c>
      <c r="G88" s="1860"/>
    </row>
    <row r="89" spans="1:7" ht="30" customHeight="1" x14ac:dyDescent="0.2">
      <c r="A89" s="3169">
        <v>6</v>
      </c>
      <c r="B89" s="3702" t="s">
        <v>3463</v>
      </c>
      <c r="C89" s="3705">
        <v>1050000000</v>
      </c>
      <c r="D89" s="3702" t="s">
        <v>3815</v>
      </c>
      <c r="E89" s="3705" t="s">
        <v>3818</v>
      </c>
      <c r="F89" s="3166" t="s">
        <v>3820</v>
      </c>
      <c r="G89" s="1860"/>
    </row>
    <row r="90" spans="1:7" ht="30" customHeight="1" x14ac:dyDescent="0.2">
      <c r="A90" s="1865">
        <v>7</v>
      </c>
      <c r="B90" s="3732" t="s">
        <v>3807</v>
      </c>
      <c r="C90" s="3709">
        <v>1370000000</v>
      </c>
      <c r="D90" s="3732" t="s">
        <v>3816</v>
      </c>
      <c r="E90" s="3709" t="s">
        <v>3818</v>
      </c>
      <c r="F90" s="1871" t="s">
        <v>3800</v>
      </c>
      <c r="G90" s="1860"/>
    </row>
    <row r="91" spans="1:7" ht="30" customHeight="1" x14ac:dyDescent="0.2">
      <c r="A91" s="1865">
        <v>8</v>
      </c>
      <c r="B91" s="3732" t="s">
        <v>3808</v>
      </c>
      <c r="C91" s="3709">
        <v>2600000000</v>
      </c>
      <c r="D91" s="3732" t="s">
        <v>3817</v>
      </c>
      <c r="E91" s="3709" t="s">
        <v>3818</v>
      </c>
      <c r="F91" s="1871" t="s">
        <v>1180</v>
      </c>
      <c r="G91" s="1860"/>
    </row>
    <row r="92" spans="1:7" ht="30" customHeight="1" x14ac:dyDescent="0.2">
      <c r="A92" s="1865">
        <v>9</v>
      </c>
      <c r="B92" s="3732" t="s">
        <v>3833</v>
      </c>
      <c r="C92" s="3709">
        <v>2730000000</v>
      </c>
      <c r="D92" s="3732" t="s">
        <v>3834</v>
      </c>
      <c r="E92" s="3709" t="s">
        <v>3818</v>
      </c>
      <c r="F92" s="1871"/>
      <c r="G92" s="1861"/>
    </row>
    <row r="93" spans="1:7" ht="30" customHeight="1" x14ac:dyDescent="0.2">
      <c r="A93" s="3164"/>
      <c r="B93" s="3732"/>
      <c r="C93" s="3709">
        <v>690000000</v>
      </c>
      <c r="D93" s="3732"/>
      <c r="E93" s="3709"/>
      <c r="F93" s="3167"/>
      <c r="G93" s="3165"/>
    </row>
    <row r="94" spans="1:7" ht="30" customHeight="1" x14ac:dyDescent="0.2">
      <c r="A94" s="3164"/>
      <c r="B94" s="3732"/>
      <c r="C94" s="3709">
        <v>935000000</v>
      </c>
      <c r="D94" s="3732"/>
      <c r="E94" s="3709"/>
      <c r="F94" s="3167"/>
      <c r="G94" s="3165"/>
    </row>
    <row r="95" spans="1:7" ht="30" customHeight="1" x14ac:dyDescent="0.2">
      <c r="A95" s="3170"/>
      <c r="B95" s="3702" t="s">
        <v>2830</v>
      </c>
      <c r="C95" s="3705">
        <v>3000000000</v>
      </c>
      <c r="D95" s="3702" t="s">
        <v>5075</v>
      </c>
      <c r="E95" s="3705" t="s">
        <v>5076</v>
      </c>
      <c r="F95" s="3168" t="s">
        <v>5077</v>
      </c>
      <c r="G95" s="3165"/>
    </row>
    <row r="96" spans="1:7" ht="30" customHeight="1" x14ac:dyDescent="0.2">
      <c r="A96" s="3170"/>
      <c r="B96" s="3702" t="s">
        <v>1175</v>
      </c>
      <c r="C96" s="3705">
        <v>3700000000</v>
      </c>
      <c r="D96" s="3702" t="s">
        <v>5078</v>
      </c>
      <c r="E96" s="3705" t="s">
        <v>5076</v>
      </c>
      <c r="F96" s="3168" t="s">
        <v>3801</v>
      </c>
      <c r="G96" s="3165"/>
    </row>
    <row r="97" spans="1:7" ht="30" customHeight="1" x14ac:dyDescent="0.2">
      <c r="A97" s="3170"/>
      <c r="B97" s="3702" t="s">
        <v>5073</v>
      </c>
      <c r="C97" s="3705">
        <v>690000000</v>
      </c>
      <c r="D97" s="3702" t="s">
        <v>5074</v>
      </c>
      <c r="E97" s="3705" t="s">
        <v>3818</v>
      </c>
      <c r="F97" s="3168" t="s">
        <v>3819</v>
      </c>
      <c r="G97" s="3165"/>
    </row>
    <row r="98" spans="1:7" ht="30" customHeight="1" x14ac:dyDescent="0.2">
      <c r="A98" s="3170"/>
      <c r="B98" s="3702" t="s">
        <v>4230</v>
      </c>
      <c r="C98" s="3705">
        <v>425000000</v>
      </c>
      <c r="D98" s="3702">
        <v>369207</v>
      </c>
      <c r="E98" s="3705" t="s">
        <v>3818</v>
      </c>
      <c r="F98" s="3168" t="s">
        <v>5079</v>
      </c>
      <c r="G98" s="3165"/>
    </row>
    <row r="99" spans="1:7" ht="30" customHeight="1" x14ac:dyDescent="0.2">
      <c r="A99" s="3170"/>
      <c r="B99" s="3702" t="s">
        <v>4230</v>
      </c>
      <c r="C99" s="3705">
        <v>500000000</v>
      </c>
      <c r="D99" s="3702">
        <v>369208</v>
      </c>
      <c r="E99" s="3705" t="s">
        <v>3818</v>
      </c>
      <c r="F99" s="3168" t="s">
        <v>5079</v>
      </c>
      <c r="G99" s="3165"/>
    </row>
    <row r="100" spans="1:7" ht="30" customHeight="1" x14ac:dyDescent="0.2">
      <c r="A100" s="3170"/>
      <c r="B100" s="3702" t="s">
        <v>5080</v>
      </c>
      <c r="C100" s="3705">
        <v>850000000</v>
      </c>
      <c r="D100" s="3702">
        <v>47211</v>
      </c>
      <c r="E100" s="3705" t="s">
        <v>3818</v>
      </c>
      <c r="F100" s="3168" t="s">
        <v>5079</v>
      </c>
      <c r="G100" s="3165"/>
    </row>
    <row r="101" spans="1:7" ht="30" customHeight="1" x14ac:dyDescent="0.2">
      <c r="A101" s="3170"/>
      <c r="B101" s="920" t="s">
        <v>5450</v>
      </c>
      <c r="C101" s="3696">
        <v>500000000</v>
      </c>
      <c r="D101" s="920">
        <v>320968</v>
      </c>
      <c r="E101" s="3705" t="s">
        <v>3818</v>
      </c>
      <c r="F101" s="3168" t="s">
        <v>5079</v>
      </c>
      <c r="G101" s="3750"/>
    </row>
    <row r="102" spans="1:7" ht="30" customHeight="1" x14ac:dyDescent="0.2">
      <c r="A102" s="3170"/>
      <c r="B102" s="920" t="s">
        <v>5450</v>
      </c>
      <c r="C102" s="3696">
        <v>370000000</v>
      </c>
      <c r="D102" s="920">
        <v>320967</v>
      </c>
      <c r="E102" s="3705" t="s">
        <v>3818</v>
      </c>
      <c r="F102" s="3168" t="s">
        <v>5079</v>
      </c>
      <c r="G102" s="3750"/>
    </row>
    <row r="103" spans="1:7" ht="30" customHeight="1" thickBot="1" x14ac:dyDescent="0.25">
      <c r="A103" s="1866"/>
      <c r="B103" s="3171" t="s">
        <v>5072</v>
      </c>
      <c r="C103" s="4452">
        <f>C84+C85+C86+C87+C88+C89+C95+C96+C97+C98+C99+C100+C101+C102</f>
        <v>16250000000</v>
      </c>
      <c r="D103" s="4427"/>
      <c r="E103" s="4427"/>
      <c r="F103" s="4428"/>
      <c r="G103" s="1867"/>
    </row>
    <row r="104" spans="1:7" ht="18" x14ac:dyDescent="0.2">
      <c r="A104" s="181"/>
      <c r="B104" s="183"/>
      <c r="C104" s="183"/>
      <c r="D104" s="183"/>
      <c r="E104" s="1820"/>
      <c r="F104" s="1863"/>
      <c r="G104" s="1864"/>
    </row>
    <row r="105" spans="1:7" ht="18" x14ac:dyDescent="0.2">
      <c r="A105" s="181"/>
      <c r="B105" s="183"/>
      <c r="C105" s="183"/>
      <c r="D105" s="183"/>
      <c r="E105" s="1820"/>
      <c r="F105" s="1863"/>
      <c r="G105" s="1864"/>
    </row>
    <row r="106" spans="1:7" ht="18" x14ac:dyDescent="0.2">
      <c r="A106" s="181"/>
      <c r="B106" s="183"/>
      <c r="C106" s="183"/>
      <c r="D106" s="183"/>
      <c r="E106" s="1820"/>
      <c r="F106" s="1863"/>
      <c r="G106" s="1864"/>
    </row>
    <row r="107" spans="1:7" ht="18" x14ac:dyDescent="0.2">
      <c r="A107" s="181"/>
      <c r="B107" s="183"/>
      <c r="C107" s="183"/>
      <c r="D107" s="183"/>
      <c r="E107" s="1820"/>
      <c r="F107" s="1863"/>
      <c r="G107" s="1864"/>
    </row>
    <row r="108" spans="1:7" ht="18" x14ac:dyDescent="0.2">
      <c r="A108" s="181"/>
      <c r="B108" s="183"/>
      <c r="C108" s="183"/>
      <c r="D108" s="183"/>
      <c r="E108" s="1820"/>
      <c r="F108" s="1863"/>
      <c r="G108" s="1864"/>
    </row>
    <row r="109" spans="1:7" ht="18" x14ac:dyDescent="0.2">
      <c r="A109" s="181"/>
      <c r="B109" s="183"/>
      <c r="C109" s="183"/>
      <c r="D109" s="183"/>
      <c r="E109" s="1820"/>
      <c r="F109" s="1863"/>
      <c r="G109" s="1864"/>
    </row>
    <row r="110" spans="1:7" ht="18" x14ac:dyDescent="0.2">
      <c r="A110" s="181"/>
      <c r="B110" s="183"/>
      <c r="C110" s="183"/>
      <c r="D110" s="183"/>
      <c r="E110" s="1820"/>
      <c r="F110" s="1863"/>
      <c r="G110" s="1864"/>
    </row>
    <row r="111" spans="1:7" ht="18" x14ac:dyDescent="0.2">
      <c r="A111" s="181"/>
      <c r="B111" s="183"/>
      <c r="C111" s="183"/>
      <c r="D111" s="183"/>
      <c r="E111" s="1820"/>
      <c r="F111" s="1863"/>
      <c r="G111" s="1864"/>
    </row>
    <row r="112" spans="1:7" ht="18" x14ac:dyDescent="0.2">
      <c r="A112" s="181"/>
      <c r="B112" s="183"/>
      <c r="C112" s="183"/>
      <c r="D112" s="183"/>
      <c r="E112" s="1820"/>
      <c r="F112" s="1863"/>
      <c r="G112" s="1864"/>
    </row>
    <row r="113" spans="1:7" ht="18" x14ac:dyDescent="0.2">
      <c r="A113" s="181"/>
      <c r="B113" s="183"/>
      <c r="C113" s="183"/>
      <c r="D113" s="183"/>
      <c r="E113" s="1820"/>
      <c r="F113" s="1863"/>
      <c r="G113" s="1864"/>
    </row>
    <row r="114" spans="1:7" ht="18" x14ac:dyDescent="0.2">
      <c r="A114" s="181"/>
      <c r="B114" s="183"/>
      <c r="C114" s="183"/>
      <c r="D114" s="183"/>
      <c r="E114" s="1820"/>
      <c r="F114" s="1863"/>
      <c r="G114" s="1864"/>
    </row>
    <row r="115" spans="1:7" ht="18" x14ac:dyDescent="0.2">
      <c r="A115" s="181"/>
      <c r="B115" s="183"/>
      <c r="C115" s="183"/>
      <c r="D115" s="183"/>
      <c r="E115" s="1820"/>
      <c r="F115" s="1863"/>
      <c r="G115" s="1864"/>
    </row>
    <row r="116" spans="1:7" ht="18" x14ac:dyDescent="0.2">
      <c r="A116" s="181"/>
      <c r="B116" s="183"/>
      <c r="C116" s="183"/>
      <c r="D116" s="183"/>
      <c r="E116" s="1820"/>
      <c r="F116" s="1863"/>
      <c r="G116" s="1864"/>
    </row>
    <row r="117" spans="1:7" ht="18" x14ac:dyDescent="0.2">
      <c r="A117" s="181"/>
      <c r="B117" s="183"/>
      <c r="C117" s="183"/>
      <c r="D117" s="183"/>
      <c r="E117" s="1820"/>
      <c r="F117" s="1863"/>
      <c r="G117" s="1864"/>
    </row>
    <row r="118" spans="1:7" ht="18" x14ac:dyDescent="0.2">
      <c r="A118" s="181"/>
      <c r="B118" s="183"/>
      <c r="C118" s="183"/>
      <c r="D118" s="183"/>
      <c r="E118" s="1820"/>
      <c r="F118" s="1863"/>
      <c r="G118" s="1864"/>
    </row>
    <row r="119" spans="1:7" ht="18" x14ac:dyDescent="0.2">
      <c r="A119" s="181"/>
      <c r="B119" s="183"/>
      <c r="C119" s="183"/>
      <c r="D119" s="183"/>
      <c r="E119" s="1820"/>
      <c r="F119" s="1863"/>
      <c r="G119" s="1864"/>
    </row>
    <row r="120" spans="1:7" ht="18" x14ac:dyDescent="0.2">
      <c r="A120" s="181"/>
      <c r="B120" s="183"/>
      <c r="C120" s="183"/>
      <c r="D120" s="183"/>
      <c r="E120" s="1820"/>
      <c r="F120" s="1863"/>
      <c r="G120" s="1864"/>
    </row>
    <row r="121" spans="1:7" ht="18" x14ac:dyDescent="0.2">
      <c r="A121" s="181"/>
      <c r="B121" s="183"/>
      <c r="C121" s="183"/>
      <c r="D121" s="183"/>
      <c r="E121" s="1820"/>
      <c r="F121" s="1863"/>
      <c r="G121" s="1864"/>
    </row>
    <row r="122" spans="1:7" ht="18" x14ac:dyDescent="0.2">
      <c r="A122" s="181"/>
      <c r="B122" s="183"/>
      <c r="C122" s="183"/>
      <c r="D122" s="183"/>
      <c r="E122" s="1820"/>
      <c r="F122" s="1863"/>
      <c r="G122" s="1864"/>
    </row>
    <row r="123" spans="1:7" ht="18" x14ac:dyDescent="0.2">
      <c r="A123" s="181"/>
      <c r="B123" s="183"/>
      <c r="C123" s="183"/>
      <c r="D123" s="183"/>
      <c r="E123" s="1820"/>
      <c r="F123" s="1863"/>
      <c r="G123" s="1864"/>
    </row>
    <row r="124" spans="1:7" ht="18" x14ac:dyDescent="0.2">
      <c r="A124" s="181"/>
      <c r="B124" s="183"/>
      <c r="C124" s="183"/>
      <c r="D124" s="183"/>
      <c r="E124" s="1820"/>
      <c r="F124" s="1863"/>
      <c r="G124" s="1864"/>
    </row>
    <row r="125" spans="1:7" ht="18" x14ac:dyDescent="0.2">
      <c r="A125" s="181"/>
      <c r="B125" s="183"/>
      <c r="C125" s="183"/>
      <c r="D125" s="183"/>
      <c r="E125" s="1820"/>
      <c r="F125" s="1863"/>
      <c r="G125" s="1864"/>
    </row>
    <row r="126" spans="1:7" ht="18" x14ac:dyDescent="0.2">
      <c r="A126" s="181"/>
      <c r="B126" s="183"/>
      <c r="C126" s="183"/>
      <c r="D126" s="183"/>
      <c r="E126" s="1820"/>
      <c r="F126" s="1863"/>
      <c r="G126" s="1864"/>
    </row>
    <row r="127" spans="1:7" ht="18" x14ac:dyDescent="0.2">
      <c r="A127" s="181"/>
      <c r="B127" s="183"/>
      <c r="C127" s="183"/>
      <c r="D127" s="183"/>
      <c r="E127" s="1820"/>
      <c r="F127" s="1863"/>
      <c r="G127" s="1864"/>
    </row>
    <row r="128" spans="1:7" ht="18" x14ac:dyDescent="0.2">
      <c r="A128" s="181"/>
      <c r="B128" s="183"/>
      <c r="C128" s="183"/>
      <c r="D128" s="183"/>
      <c r="E128" s="1820"/>
      <c r="F128" s="1863"/>
      <c r="G128" s="1864"/>
    </row>
    <row r="129" spans="1:7" ht="18" x14ac:dyDescent="0.2">
      <c r="A129" s="181"/>
      <c r="B129" s="183"/>
      <c r="C129" s="183"/>
      <c r="D129" s="183"/>
      <c r="E129" s="1820"/>
      <c r="F129" s="1863"/>
      <c r="G129" s="1864"/>
    </row>
    <row r="130" spans="1:7" ht="18" x14ac:dyDescent="0.2">
      <c r="A130" s="181"/>
      <c r="B130" s="183"/>
      <c r="C130" s="183"/>
      <c r="D130" s="183"/>
      <c r="E130" s="1820"/>
      <c r="F130" s="1863"/>
      <c r="G130" s="1864"/>
    </row>
    <row r="131" spans="1:7" ht="18" x14ac:dyDescent="0.2">
      <c r="A131" s="181"/>
      <c r="B131" s="183"/>
      <c r="C131" s="183"/>
      <c r="D131" s="183"/>
      <c r="E131" s="1820"/>
      <c r="F131" s="1863"/>
      <c r="G131" s="1864"/>
    </row>
    <row r="132" spans="1:7" ht="18" x14ac:dyDescent="0.2">
      <c r="A132" s="181"/>
      <c r="B132" s="183"/>
      <c r="C132" s="183"/>
      <c r="D132" s="183"/>
      <c r="E132" s="1820"/>
      <c r="F132" s="1863"/>
      <c r="G132" s="1864"/>
    </row>
    <row r="133" spans="1:7" ht="18" x14ac:dyDescent="0.2">
      <c r="A133" s="181"/>
      <c r="B133" s="183"/>
      <c r="C133" s="183"/>
      <c r="D133" s="183"/>
      <c r="E133" s="1820"/>
      <c r="F133" s="1863"/>
      <c r="G133" s="1864"/>
    </row>
    <row r="134" spans="1:7" ht="18" x14ac:dyDescent="0.2">
      <c r="A134" s="181"/>
      <c r="B134" s="183"/>
      <c r="C134" s="183"/>
      <c r="D134" s="183"/>
      <c r="E134" s="1820"/>
      <c r="F134" s="1863"/>
      <c r="G134" s="1864"/>
    </row>
    <row r="135" spans="1:7" ht="18" x14ac:dyDescent="0.2">
      <c r="A135" s="181"/>
      <c r="B135" s="183"/>
      <c r="C135" s="183"/>
      <c r="D135" s="183"/>
      <c r="E135" s="1820"/>
      <c r="F135" s="1863"/>
      <c r="G135" s="1864"/>
    </row>
    <row r="136" spans="1:7" ht="18" x14ac:dyDescent="0.2">
      <c r="A136" s="181"/>
      <c r="B136" s="183"/>
      <c r="C136" s="183"/>
      <c r="D136" s="183"/>
      <c r="E136" s="1820"/>
      <c r="F136" s="1863"/>
      <c r="G136" s="1864"/>
    </row>
    <row r="137" spans="1:7" ht="18" x14ac:dyDescent="0.2">
      <c r="A137" s="181"/>
      <c r="B137" s="183"/>
      <c r="C137" s="183"/>
      <c r="D137" s="183"/>
      <c r="E137" s="1820"/>
      <c r="F137" s="1863"/>
      <c r="G137" s="1864"/>
    </row>
    <row r="138" spans="1:7" ht="18" x14ac:dyDescent="0.2">
      <c r="A138" s="181"/>
      <c r="B138" s="183"/>
      <c r="C138" s="183"/>
      <c r="D138" s="183"/>
      <c r="E138" s="1820"/>
      <c r="F138" s="1863"/>
      <c r="G138" s="1864"/>
    </row>
    <row r="139" spans="1:7" ht="18" x14ac:dyDescent="0.2">
      <c r="A139" s="181"/>
      <c r="B139" s="183"/>
      <c r="C139" s="183"/>
      <c r="D139" s="183"/>
      <c r="E139" s="1820"/>
      <c r="F139" s="1863"/>
      <c r="G139" s="1864"/>
    </row>
    <row r="140" spans="1:7" ht="18" x14ac:dyDescent="0.2">
      <c r="A140" s="181"/>
      <c r="B140" s="183"/>
      <c r="C140" s="183"/>
      <c r="D140" s="183"/>
      <c r="E140" s="1820"/>
      <c r="F140" s="1863"/>
      <c r="G140" s="1864"/>
    </row>
    <row r="141" spans="1:7" ht="18" x14ac:dyDescent="0.2">
      <c r="A141" s="181"/>
      <c r="B141" s="183"/>
      <c r="C141" s="183"/>
      <c r="D141" s="183"/>
      <c r="E141" s="1820"/>
      <c r="F141" s="1863"/>
      <c r="G141" s="1864"/>
    </row>
    <row r="142" spans="1:7" ht="18" x14ac:dyDescent="0.2">
      <c r="A142" s="181"/>
      <c r="B142" s="183"/>
      <c r="C142" s="183"/>
      <c r="D142" s="183"/>
      <c r="E142" s="1820"/>
      <c r="F142" s="1863"/>
      <c r="G142" s="1864"/>
    </row>
    <row r="143" spans="1:7" ht="18" x14ac:dyDescent="0.2">
      <c r="A143" s="181"/>
      <c r="B143" s="183"/>
      <c r="C143" s="183"/>
      <c r="D143" s="183"/>
      <c r="E143" s="1820"/>
      <c r="F143" s="1863"/>
      <c r="G143" s="1864"/>
    </row>
    <row r="144" spans="1:7" ht="18" x14ac:dyDescent="0.2">
      <c r="A144" s="181"/>
      <c r="B144" s="183"/>
      <c r="C144" s="183"/>
      <c r="D144" s="183"/>
      <c r="E144" s="1820"/>
      <c r="F144" s="1863"/>
      <c r="G144" s="1864"/>
    </row>
    <row r="145" spans="1:7" ht="18" x14ac:dyDescent="0.2">
      <c r="A145" s="181"/>
      <c r="B145" s="183"/>
      <c r="C145" s="183"/>
      <c r="D145" s="183"/>
      <c r="E145" s="1820"/>
      <c r="F145" s="1863"/>
      <c r="G145" s="1864"/>
    </row>
    <row r="146" spans="1:7" ht="18" x14ac:dyDescent="0.2">
      <c r="A146" s="181"/>
      <c r="B146" s="183"/>
      <c r="C146" s="183"/>
      <c r="D146" s="183"/>
      <c r="E146" s="1820"/>
      <c r="F146" s="1863"/>
      <c r="G146" s="1864"/>
    </row>
    <row r="147" spans="1:7" ht="18" x14ac:dyDescent="0.2">
      <c r="A147" s="181"/>
      <c r="B147" s="183"/>
      <c r="C147" s="183"/>
      <c r="D147" s="183"/>
      <c r="E147" s="1820"/>
      <c r="F147" s="1863"/>
      <c r="G147" s="1864"/>
    </row>
    <row r="148" spans="1:7" ht="18" x14ac:dyDescent="0.2">
      <c r="A148" s="181"/>
      <c r="B148" s="183"/>
      <c r="C148" s="183"/>
      <c r="D148" s="183"/>
      <c r="E148" s="1820"/>
      <c r="F148" s="1863"/>
      <c r="G148" s="1864"/>
    </row>
    <row r="149" spans="1:7" ht="18" x14ac:dyDescent="0.2">
      <c r="A149" s="181"/>
      <c r="B149" s="183"/>
      <c r="C149" s="183"/>
      <c r="D149" s="183"/>
      <c r="E149" s="1820"/>
      <c r="F149" s="1863"/>
      <c r="G149" s="1864"/>
    </row>
    <row r="150" spans="1:7" ht="18" x14ac:dyDescent="0.2">
      <c r="A150" s="181"/>
      <c r="B150" s="183"/>
      <c r="C150" s="183"/>
      <c r="D150" s="183"/>
      <c r="E150" s="1820"/>
      <c r="F150" s="1863"/>
      <c r="G150" s="1864"/>
    </row>
    <row r="151" spans="1:7" ht="18" x14ac:dyDescent="0.2">
      <c r="A151" s="181"/>
      <c r="B151" s="183"/>
      <c r="C151" s="183"/>
      <c r="D151" s="183"/>
      <c r="E151" s="1820"/>
      <c r="F151" s="1863"/>
      <c r="G151" s="1864"/>
    </row>
    <row r="152" spans="1:7" ht="18" x14ac:dyDescent="0.2">
      <c r="A152" s="181"/>
      <c r="B152" s="183"/>
      <c r="C152" s="183"/>
      <c r="D152" s="183"/>
      <c r="E152" s="1820"/>
      <c r="F152" s="1863"/>
      <c r="G152" s="1864"/>
    </row>
    <row r="153" spans="1:7" ht="18" x14ac:dyDescent="0.2">
      <c r="A153" s="181"/>
      <c r="B153" s="183"/>
      <c r="C153" s="183"/>
      <c r="D153" s="183"/>
      <c r="E153" s="1820"/>
      <c r="F153" s="1863"/>
      <c r="G153" s="1864"/>
    </row>
    <row r="154" spans="1:7" ht="18" x14ac:dyDescent="0.2">
      <c r="A154" s="181"/>
      <c r="B154" s="183"/>
      <c r="C154" s="183"/>
      <c r="D154" s="183"/>
      <c r="E154" s="1820"/>
      <c r="F154" s="1863"/>
      <c r="G154" s="1864"/>
    </row>
    <row r="155" spans="1:7" ht="18" x14ac:dyDescent="0.2">
      <c r="A155" s="181"/>
      <c r="B155" s="183"/>
      <c r="C155" s="183"/>
      <c r="D155" s="183"/>
      <c r="E155" s="1820"/>
      <c r="F155" s="1863"/>
      <c r="G155" s="1864"/>
    </row>
    <row r="156" spans="1:7" ht="18" x14ac:dyDescent="0.2">
      <c r="A156" s="181"/>
      <c r="B156" s="183"/>
      <c r="C156" s="183"/>
      <c r="D156" s="183"/>
      <c r="E156" s="1820"/>
      <c r="F156" s="1863"/>
      <c r="G156" s="1864"/>
    </row>
  </sheetData>
  <mergeCells count="16">
    <mergeCell ref="A82:G82"/>
    <mergeCell ref="C103:F103"/>
    <mergeCell ref="A59:G59"/>
    <mergeCell ref="C78:F78"/>
    <mergeCell ref="C55:F55"/>
    <mergeCell ref="A1:G1"/>
    <mergeCell ref="A24:G24"/>
    <mergeCell ref="A44:G44"/>
    <mergeCell ref="C13:F13"/>
    <mergeCell ref="A16:G16"/>
    <mergeCell ref="A17:G18"/>
    <mergeCell ref="A19:G20"/>
    <mergeCell ref="C35:F35"/>
    <mergeCell ref="A38:G38"/>
    <mergeCell ref="A39:G39"/>
    <mergeCell ref="A40:G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zoomScale="80" zoomScaleNormal="80" workbookViewId="0">
      <selection activeCell="D8" sqref="D8"/>
    </sheetView>
  </sheetViews>
  <sheetFormatPr defaultRowHeight="14.25" x14ac:dyDescent="0.2"/>
  <cols>
    <col min="1" max="1" width="23.25" customWidth="1"/>
    <col min="2" max="2" width="22.5" customWidth="1"/>
    <col min="3" max="6" width="15.625" customWidth="1"/>
  </cols>
  <sheetData>
    <row r="1" spans="1:6" ht="50.1" customHeight="1" thickBot="1" x14ac:dyDescent="0.25">
      <c r="A1" s="4392" t="s">
        <v>1505</v>
      </c>
      <c r="B1" s="4393"/>
      <c r="C1" s="4393"/>
      <c r="D1" s="4393"/>
      <c r="E1" s="4393"/>
      <c r="F1" s="4394"/>
    </row>
    <row r="2" spans="1:6" ht="50.1" customHeight="1" x14ac:dyDescent="0.2">
      <c r="A2" s="446" t="s">
        <v>1503</v>
      </c>
      <c r="B2" s="447" t="s">
        <v>4115</v>
      </c>
      <c r="C2" s="447" t="s">
        <v>1026</v>
      </c>
      <c r="D2" s="447" t="s">
        <v>1500</v>
      </c>
      <c r="E2" s="447" t="s">
        <v>1501</v>
      </c>
      <c r="F2" s="448" t="s">
        <v>1502</v>
      </c>
    </row>
    <row r="3" spans="1:6" ht="30" customHeight="1" x14ac:dyDescent="0.2">
      <c r="A3" s="444" t="s">
        <v>4563</v>
      </c>
      <c r="B3" s="149">
        <v>20000000</v>
      </c>
      <c r="C3" s="1993"/>
      <c r="D3" s="149"/>
      <c r="E3" s="1992"/>
      <c r="F3" s="151"/>
    </row>
    <row r="4" spans="1:6" ht="30" customHeight="1" x14ac:dyDescent="0.2">
      <c r="A4" s="444" t="s">
        <v>4564</v>
      </c>
      <c r="B4" s="400">
        <v>20000000</v>
      </c>
      <c r="C4" s="898">
        <v>7.0000000000000007E-2</v>
      </c>
      <c r="D4" s="400">
        <f>B4*C4</f>
        <v>1400000.0000000002</v>
      </c>
      <c r="E4" s="3333">
        <f>B4+D4</f>
        <v>21400000</v>
      </c>
      <c r="F4" s="451"/>
    </row>
    <row r="5" spans="1:6" ht="30" customHeight="1" x14ac:dyDescent="0.2">
      <c r="A5" s="444" t="s">
        <v>4565</v>
      </c>
      <c r="B5" s="400">
        <f>E4</f>
        <v>21400000</v>
      </c>
      <c r="C5" s="898">
        <v>7.0000000000000007E-2</v>
      </c>
      <c r="D5" s="400">
        <f t="shared" ref="D5:D15" si="0">B5*C5</f>
        <v>1498000.0000000002</v>
      </c>
      <c r="E5" s="3333">
        <f t="shared" ref="E5:E15" si="1">B5+D5</f>
        <v>22898000</v>
      </c>
      <c r="F5" s="451"/>
    </row>
    <row r="6" spans="1:6" ht="30" customHeight="1" x14ac:dyDescent="0.2">
      <c r="A6" s="444" t="s">
        <v>4566</v>
      </c>
      <c r="B6" s="400">
        <f>E5</f>
        <v>22898000</v>
      </c>
      <c r="C6" s="898">
        <v>7.0000000000000007E-2</v>
      </c>
      <c r="D6" s="400">
        <f t="shared" si="0"/>
        <v>1602860.0000000002</v>
      </c>
      <c r="E6" s="4282">
        <f t="shared" si="1"/>
        <v>24500860</v>
      </c>
      <c r="F6" s="451"/>
    </row>
    <row r="7" spans="1:6" ht="30" customHeight="1" x14ac:dyDescent="0.2">
      <c r="A7" s="444" t="s">
        <v>4567</v>
      </c>
      <c r="B7" s="149">
        <f>E6</f>
        <v>24500860</v>
      </c>
      <c r="C7" s="1993">
        <v>7.0000000000000007E-2</v>
      </c>
      <c r="D7" s="149">
        <f t="shared" si="0"/>
        <v>1715060.2000000002</v>
      </c>
      <c r="E7" s="1992">
        <f t="shared" si="1"/>
        <v>26215920.199999999</v>
      </c>
      <c r="F7" s="451"/>
    </row>
    <row r="8" spans="1:6" ht="30" customHeight="1" x14ac:dyDescent="0.2">
      <c r="A8" s="444" t="s">
        <v>4568</v>
      </c>
      <c r="B8" s="149">
        <f>E7</f>
        <v>26215920.199999999</v>
      </c>
      <c r="C8" s="1993">
        <v>7.0000000000000007E-2</v>
      </c>
      <c r="D8" s="149">
        <f t="shared" si="0"/>
        <v>1835114.4140000001</v>
      </c>
      <c r="E8" s="1992">
        <f t="shared" si="1"/>
        <v>28051034.614</v>
      </c>
      <c r="F8" s="451"/>
    </row>
    <row r="9" spans="1:6" ht="30" customHeight="1" x14ac:dyDescent="0.2">
      <c r="A9" s="444" t="s">
        <v>4569</v>
      </c>
      <c r="B9" s="149">
        <f t="shared" ref="B9:B15" si="2">E8</f>
        <v>28051034.614</v>
      </c>
      <c r="C9" s="1993">
        <v>7.0000000000000007E-2</v>
      </c>
      <c r="D9" s="149">
        <f t="shared" si="0"/>
        <v>1963572.4229800003</v>
      </c>
      <c r="E9" s="1992">
        <f t="shared" si="1"/>
        <v>30014607.036979999</v>
      </c>
      <c r="F9" s="451"/>
    </row>
    <row r="10" spans="1:6" ht="30" customHeight="1" x14ac:dyDescent="0.2">
      <c r="A10" s="444" t="s">
        <v>4570</v>
      </c>
      <c r="B10" s="149">
        <f t="shared" si="2"/>
        <v>30014607.036979999</v>
      </c>
      <c r="C10" s="1993">
        <v>7.0000000000000007E-2</v>
      </c>
      <c r="D10" s="149">
        <f t="shared" si="0"/>
        <v>2101022.4925886001</v>
      </c>
      <c r="E10" s="1992">
        <f t="shared" si="1"/>
        <v>32115629.529568598</v>
      </c>
      <c r="F10" s="451"/>
    </row>
    <row r="11" spans="1:6" ht="30" customHeight="1" x14ac:dyDescent="0.2">
      <c r="A11" s="444" t="s">
        <v>4571</v>
      </c>
      <c r="B11" s="149">
        <f t="shared" si="2"/>
        <v>32115629.529568598</v>
      </c>
      <c r="C11" s="1993">
        <v>7.0000000000000007E-2</v>
      </c>
      <c r="D11" s="149">
        <f t="shared" si="0"/>
        <v>2248094.067069802</v>
      </c>
      <c r="E11" s="1992">
        <f t="shared" si="1"/>
        <v>34363723.596638396</v>
      </c>
      <c r="F11" s="451"/>
    </row>
    <row r="12" spans="1:6" ht="30" customHeight="1" x14ac:dyDescent="0.2">
      <c r="A12" s="444" t="s">
        <v>4572</v>
      </c>
      <c r="B12" s="149">
        <f t="shared" si="2"/>
        <v>34363723.596638396</v>
      </c>
      <c r="C12" s="1993">
        <v>7.0000000000000007E-2</v>
      </c>
      <c r="D12" s="149">
        <f t="shared" si="0"/>
        <v>2405460.6517646881</v>
      </c>
      <c r="E12" s="1992">
        <f t="shared" si="1"/>
        <v>36769184.248403087</v>
      </c>
      <c r="F12" s="451"/>
    </row>
    <row r="13" spans="1:6" ht="30" customHeight="1" x14ac:dyDescent="0.2">
      <c r="A13" s="444" t="s">
        <v>4573</v>
      </c>
      <c r="B13" s="149">
        <f t="shared" si="2"/>
        <v>36769184.248403087</v>
      </c>
      <c r="C13" s="1993">
        <v>7.0000000000000007E-2</v>
      </c>
      <c r="D13" s="149">
        <f t="shared" si="0"/>
        <v>2573842.8973882166</v>
      </c>
      <c r="E13" s="1992">
        <f t="shared" si="1"/>
        <v>39343027.145791307</v>
      </c>
      <c r="F13" s="451"/>
    </row>
    <row r="14" spans="1:6" ht="30" customHeight="1" x14ac:dyDescent="0.2">
      <c r="A14" s="444" t="s">
        <v>4574</v>
      </c>
      <c r="B14" s="149">
        <f t="shared" si="2"/>
        <v>39343027.145791307</v>
      </c>
      <c r="C14" s="1993">
        <v>7.0000000000000007E-2</v>
      </c>
      <c r="D14" s="149">
        <f t="shared" si="0"/>
        <v>2754011.9002053919</v>
      </c>
      <c r="E14" s="1992">
        <f t="shared" si="1"/>
        <v>42097039.045996696</v>
      </c>
      <c r="F14" s="451"/>
    </row>
    <row r="15" spans="1:6" ht="30" customHeight="1" x14ac:dyDescent="0.2">
      <c r="A15" s="444" t="s">
        <v>4575</v>
      </c>
      <c r="B15" s="149">
        <f t="shared" si="2"/>
        <v>42097039.045996696</v>
      </c>
      <c r="C15" s="1993">
        <v>7.0000000000000007E-2</v>
      </c>
      <c r="D15" s="149">
        <f t="shared" si="0"/>
        <v>2946792.7332197689</v>
      </c>
      <c r="E15" s="1992">
        <f t="shared" si="1"/>
        <v>45043831.779216468</v>
      </c>
      <c r="F15" s="451"/>
    </row>
    <row r="16" spans="1:6" ht="30" customHeight="1" x14ac:dyDescent="0.2">
      <c r="A16" s="1995"/>
      <c r="B16" s="212"/>
      <c r="C16" s="1993"/>
      <c r="D16" s="1992"/>
      <c r="E16" s="1992"/>
      <c r="F16" s="451"/>
    </row>
    <row r="17" spans="1:6" ht="30" customHeight="1" x14ac:dyDescent="0.2">
      <c r="A17" s="1995"/>
      <c r="B17" s="212"/>
      <c r="C17" s="1993"/>
      <c r="D17" s="1992"/>
      <c r="E17" s="1992"/>
      <c r="F17" s="451"/>
    </row>
    <row r="18" spans="1:6" ht="30" customHeight="1" x14ac:dyDescent="0.2">
      <c r="A18" s="1995"/>
      <c r="B18" s="212"/>
      <c r="C18" s="1993"/>
      <c r="D18" s="1992"/>
      <c r="E18" s="1992"/>
      <c r="F18" s="451"/>
    </row>
    <row r="19" spans="1:6" ht="30" customHeight="1" thickBot="1" x14ac:dyDescent="0.25">
      <c r="A19" s="450"/>
      <c r="B19" s="1990"/>
      <c r="C19" s="197"/>
      <c r="D19" s="215"/>
      <c r="E19" s="215"/>
      <c r="F19" s="199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rightToLeft="1" zoomScale="60" zoomScaleNormal="60" workbookViewId="0">
      <selection activeCell="B12" sqref="B12"/>
    </sheetView>
  </sheetViews>
  <sheetFormatPr defaultRowHeight="14.25" x14ac:dyDescent="0.2"/>
  <cols>
    <col min="1" max="1" width="15.625" style="5" customWidth="1"/>
    <col min="2" max="2" width="33.625" customWidth="1"/>
    <col min="3" max="7" width="15.75" customWidth="1"/>
    <col min="8" max="8" width="30.625" customWidth="1"/>
  </cols>
  <sheetData>
    <row r="1" spans="1:8" ht="50.1" customHeight="1" thickBot="1" x14ac:dyDescent="0.25">
      <c r="B1" s="4296" t="s">
        <v>5384</v>
      </c>
      <c r="C1" s="4297"/>
      <c r="D1" s="4297"/>
      <c r="E1" s="4297"/>
      <c r="F1" s="4297"/>
      <c r="G1" s="4297"/>
      <c r="H1" s="4298"/>
    </row>
    <row r="2" spans="1:8" ht="50.1" customHeight="1" x14ac:dyDescent="0.2">
      <c r="A2" s="10" t="s">
        <v>0</v>
      </c>
      <c r="B2" s="147" t="s">
        <v>879</v>
      </c>
      <c r="C2" s="8" t="s">
        <v>4</v>
      </c>
      <c r="D2" s="213" t="s">
        <v>727</v>
      </c>
      <c r="E2" s="213" t="s">
        <v>5380</v>
      </c>
      <c r="F2" s="213" t="s">
        <v>5381</v>
      </c>
      <c r="G2" s="213" t="s">
        <v>5382</v>
      </c>
      <c r="H2" s="148" t="s">
        <v>5383</v>
      </c>
    </row>
    <row r="3" spans="1:8" ht="30" customHeight="1" x14ac:dyDescent="0.2">
      <c r="A3" s="146"/>
      <c r="B3" s="2474"/>
      <c r="C3" s="4305"/>
      <c r="D3" s="4456"/>
      <c r="E3" s="4456"/>
      <c r="F3" s="4456"/>
      <c r="G3" s="4456"/>
      <c r="H3" s="4306"/>
    </row>
    <row r="4" spans="1:8" ht="30" customHeight="1" x14ac:dyDescent="0.2">
      <c r="A4" s="146"/>
      <c r="B4" s="149">
        <v>7000000</v>
      </c>
      <c r="C4" s="3644" t="s">
        <v>4893</v>
      </c>
      <c r="D4" s="18" t="s">
        <v>869</v>
      </c>
      <c r="E4" s="3641">
        <v>0.06</v>
      </c>
      <c r="F4" s="149">
        <f>B4*E4</f>
        <v>420000</v>
      </c>
      <c r="G4" s="3648">
        <v>24</v>
      </c>
      <c r="H4" s="151">
        <f>(G4*F4)/30</f>
        <v>336000</v>
      </c>
    </row>
    <row r="5" spans="1:8" ht="30" customHeight="1" x14ac:dyDescent="0.2">
      <c r="A5" s="146"/>
      <c r="B5" s="149">
        <v>3000000</v>
      </c>
      <c r="C5" s="3644" t="s">
        <v>5292</v>
      </c>
      <c r="D5" s="18" t="s">
        <v>869</v>
      </c>
      <c r="E5" s="3641">
        <v>0.06</v>
      </c>
      <c r="F5" s="149">
        <f>B5*E5</f>
        <v>180000</v>
      </c>
      <c r="G5" s="3648">
        <v>2</v>
      </c>
      <c r="H5" s="151">
        <f>(G5*F5)/30</f>
        <v>12000</v>
      </c>
    </row>
    <row r="6" spans="1:8" ht="30" customHeight="1" x14ac:dyDescent="0.2">
      <c r="A6" s="146"/>
      <c r="B6" s="149">
        <f>SUM(B4:B5)</f>
        <v>10000000</v>
      </c>
      <c r="C6" s="4301" t="s">
        <v>5377</v>
      </c>
      <c r="D6" s="4328"/>
      <c r="E6" s="4328"/>
      <c r="F6" s="4328"/>
      <c r="G6" s="4328"/>
      <c r="H6" s="4302"/>
    </row>
    <row r="7" spans="1:8" ht="30" customHeight="1" x14ac:dyDescent="0.2">
      <c r="A7" s="146"/>
      <c r="B7" s="149">
        <f>B3+B6</f>
        <v>10000000</v>
      </c>
      <c r="C7" s="4301" t="s">
        <v>5386</v>
      </c>
      <c r="D7" s="4328"/>
      <c r="E7" s="4328"/>
      <c r="F7" s="4328"/>
      <c r="G7" s="4328"/>
      <c r="H7" s="4302"/>
    </row>
    <row r="8" spans="1:8" ht="30" customHeight="1" x14ac:dyDescent="0.2">
      <c r="A8" s="146"/>
      <c r="B8" s="149">
        <f>H4+H5</f>
        <v>348000</v>
      </c>
      <c r="C8" s="4301" t="s">
        <v>5387</v>
      </c>
      <c r="D8" s="4328"/>
      <c r="E8" s="4328"/>
      <c r="F8" s="4328"/>
      <c r="G8" s="4328"/>
      <c r="H8" s="4302"/>
    </row>
    <row r="9" spans="1:8" ht="30" customHeight="1" x14ac:dyDescent="0.2">
      <c r="A9" s="146"/>
      <c r="B9" s="2474">
        <f>B7+B8</f>
        <v>10348000</v>
      </c>
      <c r="C9" s="4305" t="s">
        <v>5391</v>
      </c>
      <c r="D9" s="4456"/>
      <c r="E9" s="4456"/>
      <c r="F9" s="4456"/>
      <c r="G9" s="4456"/>
      <c r="H9" s="4306"/>
    </row>
    <row r="10" spans="1:8" ht="30" customHeight="1" x14ac:dyDescent="0.2">
      <c r="A10" s="146"/>
      <c r="B10" s="149">
        <v>10348000</v>
      </c>
      <c r="C10" s="4301" t="s">
        <v>5385</v>
      </c>
      <c r="D10" s="4328"/>
      <c r="E10" s="3651">
        <v>0.06</v>
      </c>
      <c r="F10" s="3647">
        <f>B10*E10</f>
        <v>620880</v>
      </c>
      <c r="G10" s="3651">
        <v>30</v>
      </c>
      <c r="H10" s="151">
        <f>F10</f>
        <v>620880</v>
      </c>
    </row>
    <row r="11" spans="1:8" ht="30" customHeight="1" x14ac:dyDescent="0.2">
      <c r="A11" s="146"/>
      <c r="B11" s="149">
        <v>7000000</v>
      </c>
      <c r="C11" s="3644" t="s">
        <v>5350</v>
      </c>
      <c r="D11" s="18" t="s">
        <v>869</v>
      </c>
      <c r="E11" s="3641">
        <v>0.06</v>
      </c>
      <c r="F11" s="3647">
        <f>B11*E11</f>
        <v>420000</v>
      </c>
      <c r="G11" s="3647">
        <v>22</v>
      </c>
      <c r="H11" s="151">
        <f>(G11*F11)/30</f>
        <v>308000</v>
      </c>
    </row>
    <row r="12" spans="1:8" ht="30" customHeight="1" x14ac:dyDescent="0.2">
      <c r="A12" s="146"/>
      <c r="B12" s="149">
        <v>3000000</v>
      </c>
      <c r="C12" s="3644" t="s">
        <v>5370</v>
      </c>
      <c r="D12" s="18" t="s">
        <v>869</v>
      </c>
      <c r="E12" s="3641">
        <v>0.06</v>
      </c>
      <c r="F12" s="3647">
        <f>B12*E12</f>
        <v>180000</v>
      </c>
      <c r="G12" s="3647">
        <v>19</v>
      </c>
      <c r="H12" s="151">
        <f>(G12*F12)/30</f>
        <v>114000</v>
      </c>
    </row>
    <row r="13" spans="1:8" ht="30" customHeight="1" x14ac:dyDescent="0.2">
      <c r="A13" s="146"/>
      <c r="B13" s="149"/>
      <c r="C13" s="3648"/>
      <c r="D13" s="3655"/>
      <c r="E13" s="3657"/>
      <c r="F13" s="3639"/>
      <c r="G13" s="3639"/>
      <c r="H13" s="451"/>
    </row>
    <row r="14" spans="1:8" ht="30" customHeight="1" x14ac:dyDescent="0.2">
      <c r="A14" s="146"/>
      <c r="B14" s="575">
        <f>SUM(B11:B12)</f>
        <v>10000000</v>
      </c>
      <c r="C14" s="4301" t="s">
        <v>5379</v>
      </c>
      <c r="D14" s="4328"/>
      <c r="E14" s="4328"/>
      <c r="F14" s="4328"/>
      <c r="G14" s="4328"/>
      <c r="H14" s="4302"/>
    </row>
    <row r="15" spans="1:8" ht="30" customHeight="1" x14ac:dyDescent="0.2">
      <c r="A15" s="146"/>
      <c r="B15" s="575">
        <f>B9+B14</f>
        <v>20348000</v>
      </c>
      <c r="C15" s="4301" t="s">
        <v>5388</v>
      </c>
      <c r="D15" s="4328"/>
      <c r="E15" s="4328"/>
      <c r="F15" s="4328"/>
      <c r="G15" s="4328"/>
      <c r="H15" s="4302"/>
    </row>
    <row r="16" spans="1:8" ht="30" customHeight="1" x14ac:dyDescent="0.2">
      <c r="A16" s="146"/>
      <c r="B16" s="575">
        <f>H10+H11+H12</f>
        <v>1042880</v>
      </c>
      <c r="C16" s="4301" t="s">
        <v>5389</v>
      </c>
      <c r="D16" s="4328"/>
      <c r="E16" s="4328"/>
      <c r="F16" s="4328"/>
      <c r="G16" s="4328"/>
      <c r="H16" s="4302"/>
    </row>
    <row r="17" spans="1:8" ht="30" customHeight="1" x14ac:dyDescent="0.2">
      <c r="A17" s="146"/>
      <c r="B17" s="2474">
        <f>B15+B16</f>
        <v>21390880</v>
      </c>
      <c r="C17" s="4305" t="s">
        <v>5390</v>
      </c>
      <c r="D17" s="4456"/>
      <c r="E17" s="4456"/>
      <c r="F17" s="4456"/>
      <c r="G17" s="4456"/>
      <c r="H17" s="4306"/>
    </row>
    <row r="18" spans="1:8" ht="30" customHeight="1" x14ac:dyDescent="0.2">
      <c r="A18" s="146"/>
      <c r="B18" s="575"/>
      <c r="C18" s="3634"/>
      <c r="D18" s="3656"/>
      <c r="E18" s="3656"/>
      <c r="F18" s="3656"/>
      <c r="G18" s="3656"/>
      <c r="H18" s="151"/>
    </row>
    <row r="19" spans="1:8" ht="30" customHeight="1" x14ac:dyDescent="0.2">
      <c r="A19" s="146"/>
      <c r="B19" s="575"/>
      <c r="C19" s="3634"/>
      <c r="D19" s="3656"/>
      <c r="E19" s="3656"/>
      <c r="F19" s="3656"/>
      <c r="G19" s="3656"/>
      <c r="H19" s="151"/>
    </row>
    <row r="20" spans="1:8" ht="30" customHeight="1" x14ac:dyDescent="0.2">
      <c r="A20" s="146"/>
      <c r="B20" s="575"/>
      <c r="C20" s="3634"/>
      <c r="D20" s="3656"/>
      <c r="E20" s="3656"/>
      <c r="F20" s="3656"/>
      <c r="G20" s="3656"/>
      <c r="H20" s="151"/>
    </row>
    <row r="21" spans="1:8" ht="30" customHeight="1" x14ac:dyDescent="0.2">
      <c r="A21" s="146"/>
      <c r="B21" s="149"/>
      <c r="C21" s="3627"/>
      <c r="D21" s="3656"/>
      <c r="E21" s="3656"/>
      <c r="F21" s="3656"/>
      <c r="G21" s="3656"/>
      <c r="H21" s="151"/>
    </row>
    <row r="22" spans="1:8" ht="30" customHeight="1" x14ac:dyDescent="0.2">
      <c r="A22" s="146"/>
      <c r="B22" s="149"/>
      <c r="C22" s="3627"/>
      <c r="D22" s="3656"/>
      <c r="E22" s="3656"/>
      <c r="F22" s="3656"/>
      <c r="G22" s="3656"/>
      <c r="H22" s="151"/>
    </row>
    <row r="23" spans="1:8" ht="30" customHeight="1" x14ac:dyDescent="0.2">
      <c r="A23" s="146"/>
      <c r="B23" s="149"/>
      <c r="C23" s="3627"/>
      <c r="D23" s="3656"/>
      <c r="E23" s="3656"/>
      <c r="F23" s="3656"/>
      <c r="G23" s="3656"/>
      <c r="H23" s="151"/>
    </row>
    <row r="24" spans="1:8" ht="30" customHeight="1" x14ac:dyDescent="0.2">
      <c r="A24" s="146"/>
      <c r="B24" s="149"/>
      <c r="C24" s="3627"/>
      <c r="D24" s="3656"/>
      <c r="E24" s="3656"/>
      <c r="F24" s="3656"/>
      <c r="G24" s="3656"/>
      <c r="H24" s="151"/>
    </row>
    <row r="25" spans="1:8" ht="30" customHeight="1" x14ac:dyDescent="0.2">
      <c r="A25" s="146"/>
      <c r="B25" s="149"/>
      <c r="C25" s="3627"/>
      <c r="D25" s="3656"/>
      <c r="E25" s="3656"/>
      <c r="F25" s="3656"/>
      <c r="G25" s="3656"/>
      <c r="H25" s="151"/>
    </row>
    <row r="26" spans="1:8" ht="30" customHeight="1" x14ac:dyDescent="0.2">
      <c r="A26" s="146"/>
      <c r="B26" s="149"/>
      <c r="C26" s="3627"/>
      <c r="D26" s="3656"/>
      <c r="E26" s="3656"/>
      <c r="F26" s="3656"/>
      <c r="G26" s="3656"/>
      <c r="H26" s="151"/>
    </row>
    <row r="27" spans="1:8" ht="30" customHeight="1" x14ac:dyDescent="0.2">
      <c r="A27" s="146"/>
      <c r="B27" s="149"/>
      <c r="C27" s="3627"/>
      <c r="D27" s="3656"/>
      <c r="E27" s="3656"/>
      <c r="F27" s="3656"/>
      <c r="G27" s="3656"/>
      <c r="H27" s="151"/>
    </row>
    <row r="28" spans="1:8" ht="30" customHeight="1" x14ac:dyDescent="0.2">
      <c r="A28" s="146"/>
      <c r="B28" s="149"/>
      <c r="C28" s="3627"/>
      <c r="D28" s="3656"/>
      <c r="E28" s="3656"/>
      <c r="F28" s="3656"/>
      <c r="G28" s="3656"/>
      <c r="H28" s="151"/>
    </row>
    <row r="29" spans="1:8" ht="30" customHeight="1" x14ac:dyDescent="0.2">
      <c r="A29" s="146"/>
      <c r="B29" s="149"/>
      <c r="C29" s="3627"/>
      <c r="D29" s="3656"/>
      <c r="E29" s="3656"/>
      <c r="F29" s="3656"/>
      <c r="G29" s="3656"/>
      <c r="H29" s="151"/>
    </row>
    <row r="30" spans="1:8" ht="30" customHeight="1" thickBot="1" x14ac:dyDescent="0.25">
      <c r="A30" s="3628" t="s">
        <v>876</v>
      </c>
      <c r="B30" s="153"/>
      <c r="C30" s="154"/>
      <c r="D30" s="3687"/>
      <c r="E30" s="3687"/>
      <c r="F30" s="3687"/>
      <c r="G30" s="3687"/>
      <c r="H30" s="155"/>
    </row>
  </sheetData>
  <mergeCells count="11">
    <mergeCell ref="C10:D10"/>
    <mergeCell ref="B1:H1"/>
    <mergeCell ref="C15:H15"/>
    <mergeCell ref="C16:H16"/>
    <mergeCell ref="C17:H17"/>
    <mergeCell ref="C3:H3"/>
    <mergeCell ref="C6:H6"/>
    <mergeCell ref="C7:H7"/>
    <mergeCell ref="C8:H8"/>
    <mergeCell ref="C9:H9"/>
    <mergeCell ref="C14:H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rightToLeft="1" topLeftCell="A254" zoomScale="70" zoomScaleNormal="70" workbookViewId="0">
      <selection activeCell="F257" sqref="F257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853</v>
      </c>
      <c r="F1" s="1" t="s">
        <v>271</v>
      </c>
      <c r="G1" s="1" t="s">
        <v>5</v>
      </c>
      <c r="H1" s="1" t="s">
        <v>1011</v>
      </c>
      <c r="I1" s="10" t="s">
        <v>891</v>
      </c>
      <c r="J1" s="2" t="s">
        <v>268</v>
      </c>
    </row>
    <row r="2" spans="1:10" ht="30" customHeight="1" x14ac:dyDescent="0.2">
      <c r="A2" s="4459">
        <v>1</v>
      </c>
      <c r="B2" s="4457" t="s">
        <v>115</v>
      </c>
      <c r="C2" s="510" t="s">
        <v>850</v>
      </c>
      <c r="D2" s="510" t="s">
        <v>851</v>
      </c>
      <c r="E2" s="510" t="s">
        <v>852</v>
      </c>
      <c r="F2" s="513">
        <v>8000000</v>
      </c>
      <c r="G2" s="436"/>
      <c r="H2" s="513">
        <v>12800000</v>
      </c>
      <c r="I2" s="514" t="s">
        <v>901</v>
      </c>
      <c r="J2" s="523" t="s">
        <v>1781</v>
      </c>
    </row>
    <row r="3" spans="1:10" ht="30" customHeight="1" x14ac:dyDescent="0.2">
      <c r="A3" s="4464"/>
      <c r="B3" s="4488"/>
      <c r="C3" s="512" t="s">
        <v>1782</v>
      </c>
      <c r="D3" s="512" t="s">
        <v>1783</v>
      </c>
      <c r="E3" s="512" t="s">
        <v>852</v>
      </c>
      <c r="F3" s="511">
        <v>15500000</v>
      </c>
      <c r="G3" s="516"/>
      <c r="H3" s="511">
        <v>25000000</v>
      </c>
      <c r="I3" s="515" t="s">
        <v>1784</v>
      </c>
      <c r="J3" s="523"/>
    </row>
    <row r="4" spans="1:10" ht="30" customHeight="1" x14ac:dyDescent="0.2">
      <c r="A4" s="4460"/>
      <c r="B4" s="4458"/>
      <c r="C4" s="512" t="s">
        <v>895</v>
      </c>
      <c r="D4" s="512" t="s">
        <v>894</v>
      </c>
      <c r="E4" s="512" t="s">
        <v>854</v>
      </c>
      <c r="F4" s="511">
        <v>1000000</v>
      </c>
      <c r="G4" s="516"/>
      <c r="H4" s="511">
        <v>24000000</v>
      </c>
      <c r="I4" s="515" t="s">
        <v>1785</v>
      </c>
      <c r="J4" s="523"/>
    </row>
    <row r="5" spans="1:10" ht="30" customHeight="1" x14ac:dyDescent="0.2">
      <c r="A5" s="4459">
        <v>2</v>
      </c>
      <c r="B5" s="4457" t="s">
        <v>156</v>
      </c>
      <c r="C5" s="134" t="s">
        <v>893</v>
      </c>
      <c r="D5" s="134" t="s">
        <v>892</v>
      </c>
      <c r="E5" s="134" t="s">
        <v>854</v>
      </c>
      <c r="F5" s="128">
        <v>10000000</v>
      </c>
      <c r="G5" s="17"/>
      <c r="H5" s="128">
        <v>250000000</v>
      </c>
      <c r="I5" s="133" t="s">
        <v>902</v>
      </c>
      <c r="J5" s="22"/>
    </row>
    <row r="6" spans="1:10" ht="30" customHeight="1" x14ac:dyDescent="0.2">
      <c r="A6" s="4460"/>
      <c r="B6" s="4458"/>
      <c r="C6" s="510" t="s">
        <v>895</v>
      </c>
      <c r="D6" s="510" t="s">
        <v>894</v>
      </c>
      <c r="E6" s="510" t="s">
        <v>854</v>
      </c>
      <c r="F6" s="513">
        <v>1000000</v>
      </c>
      <c r="G6" s="436"/>
      <c r="H6" s="513">
        <v>24000000</v>
      </c>
      <c r="I6" s="524" t="s">
        <v>903</v>
      </c>
      <c r="J6" s="523" t="s">
        <v>1786</v>
      </c>
    </row>
    <row r="7" spans="1:10" ht="30" customHeight="1" x14ac:dyDescent="0.2">
      <c r="A7" s="4459">
        <v>3</v>
      </c>
      <c r="B7" s="4457" t="s">
        <v>896</v>
      </c>
      <c r="C7" s="144" t="s">
        <v>897</v>
      </c>
      <c r="D7" s="144" t="s">
        <v>898</v>
      </c>
      <c r="E7" s="144" t="s">
        <v>899</v>
      </c>
      <c r="F7" s="128">
        <v>177000000</v>
      </c>
      <c r="G7" s="17"/>
      <c r="H7" s="128">
        <v>900000000</v>
      </c>
      <c r="I7" s="143" t="s">
        <v>900</v>
      </c>
      <c r="J7" s="22"/>
    </row>
    <row r="8" spans="1:10" ht="30" customHeight="1" x14ac:dyDescent="0.2">
      <c r="A8" s="4464"/>
      <c r="B8" s="4488"/>
      <c r="C8" s="2001"/>
      <c r="D8" s="2001"/>
      <c r="E8" s="2001" t="s">
        <v>852</v>
      </c>
      <c r="F8" s="2003">
        <v>70000000</v>
      </c>
      <c r="G8" s="2010"/>
      <c r="H8" s="2003">
        <v>130000000</v>
      </c>
      <c r="I8" s="2004" t="s">
        <v>4223</v>
      </c>
      <c r="J8" s="2026" t="s">
        <v>4224</v>
      </c>
    </row>
    <row r="9" spans="1:10" ht="30" customHeight="1" x14ac:dyDescent="0.2">
      <c r="A9" s="4464"/>
      <c r="B9" s="4488"/>
      <c r="C9" s="4472"/>
      <c r="D9" s="4472"/>
      <c r="E9" s="4472" t="s">
        <v>852</v>
      </c>
      <c r="F9" s="4413">
        <v>200000000</v>
      </c>
      <c r="G9" s="4476"/>
      <c r="H9" s="4413">
        <v>350000000</v>
      </c>
      <c r="I9" s="3976" t="s">
        <v>5730</v>
      </c>
      <c r="J9" s="3986" t="s">
        <v>5732</v>
      </c>
    </row>
    <row r="10" spans="1:10" ht="30" customHeight="1" x14ac:dyDescent="0.2">
      <c r="A10" s="4460"/>
      <c r="B10" s="4458"/>
      <c r="C10" s="4473"/>
      <c r="D10" s="4473"/>
      <c r="E10" s="4473"/>
      <c r="F10" s="4415"/>
      <c r="G10" s="4477"/>
      <c r="H10" s="4415"/>
      <c r="I10" s="3976" t="s">
        <v>5734</v>
      </c>
      <c r="J10" s="3995" t="s">
        <v>5731</v>
      </c>
    </row>
    <row r="11" spans="1:10" ht="30" customHeight="1" x14ac:dyDescent="0.2">
      <c r="A11" s="4">
        <v>4</v>
      </c>
      <c r="B11" s="19" t="s">
        <v>1009</v>
      </c>
      <c r="C11" s="12"/>
      <c r="D11" s="177" t="s">
        <v>1012</v>
      </c>
      <c r="E11" s="7"/>
      <c r="F11" s="128"/>
      <c r="G11" s="17"/>
      <c r="H11" s="128">
        <v>63000000</v>
      </c>
      <c r="I11" s="174" t="s">
        <v>1010</v>
      </c>
      <c r="J11" s="29"/>
    </row>
    <row r="12" spans="1:10" ht="30" customHeight="1" x14ac:dyDescent="0.2">
      <c r="A12" s="4459">
        <v>5</v>
      </c>
      <c r="B12" s="4457" t="s">
        <v>109</v>
      </c>
      <c r="C12" s="12"/>
      <c r="D12" s="177" t="s">
        <v>1013</v>
      </c>
      <c r="E12" s="7"/>
      <c r="F12" s="128">
        <v>200000000</v>
      </c>
      <c r="G12" s="17"/>
      <c r="H12" s="128">
        <v>272000000</v>
      </c>
      <c r="I12" s="174" t="s">
        <v>1014</v>
      </c>
      <c r="J12" s="29"/>
    </row>
    <row r="13" spans="1:10" ht="30" customHeight="1" x14ac:dyDescent="0.2">
      <c r="A13" s="4464"/>
      <c r="B13" s="4488"/>
      <c r="C13" s="12"/>
      <c r="D13" s="177" t="s">
        <v>1015</v>
      </c>
      <c r="E13" s="7"/>
      <c r="F13" s="128">
        <v>117200000</v>
      </c>
      <c r="G13" s="17"/>
      <c r="H13" s="128">
        <v>160000000</v>
      </c>
      <c r="I13" s="174" t="s">
        <v>1016</v>
      </c>
      <c r="J13" s="29"/>
    </row>
    <row r="14" spans="1:10" ht="30" customHeight="1" x14ac:dyDescent="0.2">
      <c r="A14" s="4460"/>
      <c r="B14" s="4458"/>
      <c r="C14" s="12"/>
      <c r="D14" s="177" t="s">
        <v>1017</v>
      </c>
      <c r="E14" s="7"/>
      <c r="F14" s="128">
        <v>310000000</v>
      </c>
      <c r="G14" s="17"/>
      <c r="H14" s="128">
        <v>573000000</v>
      </c>
      <c r="I14" s="174" t="s">
        <v>1018</v>
      </c>
      <c r="J14" s="29"/>
    </row>
    <row r="15" spans="1:10" ht="30" customHeight="1" x14ac:dyDescent="0.2">
      <c r="A15" s="4459">
        <v>6</v>
      </c>
      <c r="B15" s="4457" t="s">
        <v>1019</v>
      </c>
      <c r="C15" s="401" t="s">
        <v>1022</v>
      </c>
      <c r="D15" s="401" t="s">
        <v>1020</v>
      </c>
      <c r="E15" s="401" t="s">
        <v>899</v>
      </c>
      <c r="F15" s="896">
        <v>111000000</v>
      </c>
      <c r="G15" s="897"/>
      <c r="H15" s="896">
        <v>555000000</v>
      </c>
      <c r="I15" s="898" t="s">
        <v>1021</v>
      </c>
      <c r="J15" s="29" t="s">
        <v>2433</v>
      </c>
    </row>
    <row r="16" spans="1:10" ht="30" customHeight="1" x14ac:dyDescent="0.2">
      <c r="A16" s="4460"/>
      <c r="B16" s="4458"/>
      <c r="C16" s="874" t="s">
        <v>2414</v>
      </c>
      <c r="D16" s="874" t="s">
        <v>2435</v>
      </c>
      <c r="E16" s="874" t="s">
        <v>1184</v>
      </c>
      <c r="F16" s="873">
        <v>250000000</v>
      </c>
      <c r="G16" s="881"/>
      <c r="H16" s="873">
        <v>1500000000</v>
      </c>
      <c r="I16" s="21" t="s">
        <v>2434</v>
      </c>
      <c r="J16" s="29"/>
    </row>
    <row r="17" spans="1:10" ht="30" customHeight="1" x14ac:dyDescent="0.2">
      <c r="A17" s="4459">
        <v>7</v>
      </c>
      <c r="B17" s="4457" t="s">
        <v>170</v>
      </c>
      <c r="C17" s="246" t="s">
        <v>1186</v>
      </c>
      <c r="D17" s="246" t="s">
        <v>1185</v>
      </c>
      <c r="E17" s="246" t="s">
        <v>854</v>
      </c>
      <c r="F17" s="243">
        <v>30000000</v>
      </c>
      <c r="G17" s="17"/>
      <c r="H17" s="243">
        <v>730000000</v>
      </c>
      <c r="I17" s="21" t="s">
        <v>1187</v>
      </c>
      <c r="J17" s="29"/>
    </row>
    <row r="18" spans="1:10" ht="30" customHeight="1" x14ac:dyDescent="0.2">
      <c r="A18" s="4460"/>
      <c r="B18" s="4458"/>
      <c r="C18" s="246" t="s">
        <v>1190</v>
      </c>
      <c r="D18" s="246" t="s">
        <v>1189</v>
      </c>
      <c r="E18" s="246" t="s">
        <v>1184</v>
      </c>
      <c r="F18" s="243">
        <v>28000000</v>
      </c>
      <c r="G18" s="17"/>
      <c r="H18" s="243">
        <v>140000000</v>
      </c>
      <c r="I18" s="21" t="s">
        <v>1188</v>
      </c>
      <c r="J18" s="29"/>
    </row>
    <row r="19" spans="1:10" ht="30" customHeight="1" x14ac:dyDescent="0.2">
      <c r="A19" s="4459">
        <v>8</v>
      </c>
      <c r="B19" s="4457" t="s">
        <v>3783</v>
      </c>
      <c r="C19" s="2697" t="s">
        <v>1195</v>
      </c>
      <c r="D19" s="2697" t="s">
        <v>1193</v>
      </c>
      <c r="E19" s="2697" t="s">
        <v>852</v>
      </c>
      <c r="F19" s="439">
        <v>100000000</v>
      </c>
      <c r="G19" s="2698"/>
      <c r="H19" s="439">
        <v>162000000</v>
      </c>
      <c r="I19" s="2699" t="s">
        <v>1194</v>
      </c>
      <c r="J19" s="2700" t="s">
        <v>3977</v>
      </c>
    </row>
    <row r="20" spans="1:10" ht="30" customHeight="1" x14ac:dyDescent="0.2">
      <c r="A20" s="4464"/>
      <c r="B20" s="4488"/>
      <c r="C20" s="3401" t="s">
        <v>5052</v>
      </c>
      <c r="D20" s="3401" t="s">
        <v>5053</v>
      </c>
      <c r="E20" s="3401" t="s">
        <v>852</v>
      </c>
      <c r="F20" s="3403">
        <v>15000000</v>
      </c>
      <c r="G20" s="436"/>
      <c r="H20" s="3403">
        <v>24500000</v>
      </c>
      <c r="I20" s="4494" t="s">
        <v>1197</v>
      </c>
      <c r="J20" s="4492" t="s">
        <v>5057</v>
      </c>
    </row>
    <row r="21" spans="1:10" ht="30" customHeight="1" x14ac:dyDescent="0.2">
      <c r="A21" s="4464"/>
      <c r="B21" s="4488"/>
      <c r="C21" s="3401" t="s">
        <v>5053</v>
      </c>
      <c r="D21" s="3401" t="s">
        <v>5056</v>
      </c>
      <c r="E21" s="3401" t="s">
        <v>2017</v>
      </c>
      <c r="F21" s="3403">
        <v>24500000</v>
      </c>
      <c r="G21" s="436"/>
      <c r="H21" s="3403">
        <v>38500000</v>
      </c>
      <c r="I21" s="4495"/>
      <c r="J21" s="4493"/>
    </row>
    <row r="22" spans="1:10" ht="30" customHeight="1" x14ac:dyDescent="0.2">
      <c r="A22" s="4464"/>
      <c r="B22" s="4488"/>
      <c r="C22" s="3401" t="s">
        <v>5056</v>
      </c>
      <c r="D22" s="3401" t="s">
        <v>5273</v>
      </c>
      <c r="E22" s="3401" t="s">
        <v>2017</v>
      </c>
      <c r="F22" s="3403">
        <v>38500000</v>
      </c>
      <c r="G22" s="436"/>
      <c r="H22" s="3403">
        <v>62000000</v>
      </c>
      <c r="I22" s="438" t="s">
        <v>5274</v>
      </c>
      <c r="J22" s="3402"/>
    </row>
    <row r="23" spans="1:10" ht="30" customHeight="1" x14ac:dyDescent="0.2">
      <c r="A23" s="4464"/>
      <c r="B23" s="4488"/>
      <c r="C23" s="401" t="s">
        <v>1199</v>
      </c>
      <c r="D23" s="401" t="s">
        <v>1198</v>
      </c>
      <c r="E23" s="401" t="s">
        <v>854</v>
      </c>
      <c r="F23" s="2678">
        <v>15000000</v>
      </c>
      <c r="G23" s="897"/>
      <c r="H23" s="2678">
        <v>240000000</v>
      </c>
      <c r="I23" s="2680" t="s">
        <v>1200</v>
      </c>
      <c r="J23" s="29"/>
    </row>
    <row r="24" spans="1:10" ht="30" customHeight="1" x14ac:dyDescent="0.2">
      <c r="A24" s="4464"/>
      <c r="B24" s="4488"/>
      <c r="C24" s="401"/>
      <c r="D24" s="2440" t="s">
        <v>4489</v>
      </c>
      <c r="E24" s="401" t="s">
        <v>2017</v>
      </c>
      <c r="F24" s="2678">
        <v>30000000</v>
      </c>
      <c r="G24" s="2679"/>
      <c r="H24" s="2678">
        <v>52000000</v>
      </c>
      <c r="I24" s="2441" t="s">
        <v>4488</v>
      </c>
      <c r="J24" s="1827"/>
    </row>
    <row r="25" spans="1:10" ht="30" customHeight="1" x14ac:dyDescent="0.2">
      <c r="A25" s="4460"/>
      <c r="B25" s="4458"/>
      <c r="C25" s="3882" t="s">
        <v>5643</v>
      </c>
      <c r="D25" s="234"/>
      <c r="E25" s="3882" t="s">
        <v>2017</v>
      </c>
      <c r="F25" s="3881">
        <v>10000000</v>
      </c>
      <c r="G25" s="3883"/>
      <c r="H25" s="3881"/>
      <c r="I25" s="454"/>
      <c r="J25" s="3884" t="s">
        <v>5642</v>
      </c>
    </row>
    <row r="26" spans="1:10" ht="30" customHeight="1" x14ac:dyDescent="0.2">
      <c r="A26" s="2666"/>
      <c r="B26" s="2701" t="s">
        <v>2130</v>
      </c>
      <c r="C26" s="401"/>
      <c r="D26" s="2440" t="s">
        <v>4484</v>
      </c>
      <c r="E26" s="401" t="s">
        <v>852</v>
      </c>
      <c r="F26" s="2678">
        <v>10000000</v>
      </c>
      <c r="G26" s="2679"/>
      <c r="H26" s="2678">
        <v>17000000</v>
      </c>
      <c r="I26" s="2441" t="s">
        <v>4483</v>
      </c>
      <c r="J26" s="2394" t="s">
        <v>4485</v>
      </c>
    </row>
    <row r="27" spans="1:10" ht="30" customHeight="1" x14ac:dyDescent="0.2">
      <c r="A27" s="2383"/>
      <c r="B27" s="3918" t="s">
        <v>4486</v>
      </c>
      <c r="C27" s="401" t="s">
        <v>3676</v>
      </c>
      <c r="D27" s="2440" t="s">
        <v>2012</v>
      </c>
      <c r="E27" s="401" t="s">
        <v>3781</v>
      </c>
      <c r="F27" s="2678">
        <v>20000000</v>
      </c>
      <c r="G27" s="2679"/>
      <c r="H27" s="2678">
        <v>52000000</v>
      </c>
      <c r="I27" s="2441" t="s">
        <v>4487</v>
      </c>
      <c r="J27" s="2386"/>
    </row>
    <row r="28" spans="1:10" ht="30" customHeight="1" x14ac:dyDescent="0.2">
      <c r="A28" s="4">
        <v>9</v>
      </c>
      <c r="B28" s="266" t="s">
        <v>1238</v>
      </c>
      <c r="C28" s="269" t="s">
        <v>1195</v>
      </c>
      <c r="D28" s="269" t="s">
        <v>1193</v>
      </c>
      <c r="E28" s="269" t="s">
        <v>852</v>
      </c>
      <c r="F28" s="268">
        <v>11000000</v>
      </c>
      <c r="G28" s="17"/>
      <c r="H28" s="268">
        <v>17600000</v>
      </c>
      <c r="I28" s="21" t="s">
        <v>1239</v>
      </c>
      <c r="J28" s="29"/>
    </row>
    <row r="29" spans="1:10" ht="30" customHeight="1" x14ac:dyDescent="0.2">
      <c r="A29" s="4">
        <v>10</v>
      </c>
      <c r="B29" s="267" t="s">
        <v>1240</v>
      </c>
      <c r="C29" s="269" t="s">
        <v>1242</v>
      </c>
      <c r="D29" s="269" t="s">
        <v>1241</v>
      </c>
      <c r="E29" s="269" t="s">
        <v>854</v>
      </c>
      <c r="F29" s="268">
        <v>10000000</v>
      </c>
      <c r="G29" s="17"/>
      <c r="H29" s="268">
        <v>240000000</v>
      </c>
      <c r="I29" s="21" t="s">
        <v>1243</v>
      </c>
      <c r="J29" s="29"/>
    </row>
    <row r="30" spans="1:10" ht="30" customHeight="1" x14ac:dyDescent="0.2">
      <c r="A30" s="4459">
        <v>11</v>
      </c>
      <c r="B30" s="4457" t="s">
        <v>1213</v>
      </c>
      <c r="C30" s="9"/>
      <c r="D30" s="3374" t="s">
        <v>1215</v>
      </c>
      <c r="E30" s="3368" t="s">
        <v>1212</v>
      </c>
      <c r="F30" s="3368">
        <v>130000000</v>
      </c>
      <c r="G30" s="3377"/>
      <c r="H30" s="3368">
        <v>154000000</v>
      </c>
      <c r="I30" s="3385" t="s">
        <v>1214</v>
      </c>
      <c r="J30" s="29"/>
    </row>
    <row r="31" spans="1:10" ht="30" customHeight="1" x14ac:dyDescent="0.2">
      <c r="A31" s="4460"/>
      <c r="B31" s="4458"/>
      <c r="C31" s="3390"/>
      <c r="D31" s="3368" t="s">
        <v>5247</v>
      </c>
      <c r="E31" s="3368" t="s">
        <v>1525</v>
      </c>
      <c r="F31" s="3368">
        <v>100000000</v>
      </c>
      <c r="G31" s="3377"/>
      <c r="H31" s="3368">
        <v>136000000</v>
      </c>
      <c r="I31" s="454" t="s">
        <v>5248</v>
      </c>
      <c r="J31" s="29" t="s">
        <v>5249</v>
      </c>
    </row>
    <row r="32" spans="1:10" ht="30" customHeight="1" x14ac:dyDescent="0.2">
      <c r="A32" s="4459">
        <v>12</v>
      </c>
      <c r="B32" s="4457" t="s">
        <v>1471</v>
      </c>
      <c r="C32" s="372"/>
      <c r="D32" s="372"/>
      <c r="E32" s="372" t="s">
        <v>899</v>
      </c>
      <c r="F32" s="370">
        <v>20000000</v>
      </c>
      <c r="G32" s="17"/>
      <c r="H32" s="370">
        <v>100000000</v>
      </c>
      <c r="I32" s="411" t="s">
        <v>1472</v>
      </c>
      <c r="J32" s="29"/>
    </row>
    <row r="33" spans="1:10" ht="30" customHeight="1" x14ac:dyDescent="0.2">
      <c r="A33" s="4464"/>
      <c r="B33" s="4488"/>
      <c r="C33" s="372"/>
      <c r="D33" s="372"/>
      <c r="E33" s="372" t="s">
        <v>852</v>
      </c>
      <c r="F33" s="370">
        <v>30000000</v>
      </c>
      <c r="G33" s="17"/>
      <c r="H33" s="370">
        <v>50000000</v>
      </c>
      <c r="I33" s="21"/>
      <c r="J33" s="29"/>
    </row>
    <row r="34" spans="1:10" ht="30" customHeight="1" x14ac:dyDescent="0.2">
      <c r="A34" s="4464"/>
      <c r="B34" s="4488"/>
      <c r="C34" s="2001"/>
      <c r="D34" s="2001"/>
      <c r="E34" s="2001" t="s">
        <v>6101</v>
      </c>
      <c r="F34" s="2003">
        <v>15000000</v>
      </c>
      <c r="G34" s="2010"/>
      <c r="H34" s="2003"/>
      <c r="I34" s="21" t="s">
        <v>6102</v>
      </c>
      <c r="J34" s="29" t="s">
        <v>5924</v>
      </c>
    </row>
    <row r="35" spans="1:10" ht="30" customHeight="1" x14ac:dyDescent="0.2">
      <c r="A35" s="4460"/>
      <c r="B35" s="4458"/>
      <c r="C35" s="2001"/>
      <c r="D35" s="2001"/>
      <c r="E35" s="2001" t="s">
        <v>6101</v>
      </c>
      <c r="F35" s="2003">
        <v>3000000</v>
      </c>
      <c r="G35" s="2010"/>
      <c r="H35" s="2003"/>
      <c r="I35" s="21" t="s">
        <v>6103</v>
      </c>
      <c r="J35" s="29" t="s">
        <v>5925</v>
      </c>
    </row>
    <row r="36" spans="1:10" ht="30" customHeight="1" x14ac:dyDescent="0.2">
      <c r="A36" s="4">
        <v>13</v>
      </c>
      <c r="B36" s="393" t="s">
        <v>1473</v>
      </c>
      <c r="C36" s="372" t="s">
        <v>1474</v>
      </c>
      <c r="D36" s="372"/>
      <c r="E36" s="372" t="s">
        <v>852</v>
      </c>
      <c r="F36" s="370">
        <v>350000000</v>
      </c>
      <c r="G36" s="17"/>
      <c r="H36" s="370">
        <v>650000000</v>
      </c>
      <c r="I36" s="21"/>
      <c r="J36" s="29"/>
    </row>
    <row r="37" spans="1:10" ht="30" customHeight="1" x14ac:dyDescent="0.2">
      <c r="A37" s="4">
        <v>14</v>
      </c>
      <c r="B37" s="1453" t="s">
        <v>1476</v>
      </c>
      <c r="C37" s="1454" t="s">
        <v>1480</v>
      </c>
      <c r="D37" s="1454"/>
      <c r="E37" s="1454" t="s">
        <v>852</v>
      </c>
      <c r="F37" s="1425">
        <v>100000000</v>
      </c>
      <c r="G37" s="17">
        <v>5.5E-2</v>
      </c>
      <c r="H37" s="417">
        <v>167000000</v>
      </c>
      <c r="I37" s="21"/>
      <c r="J37" s="29"/>
    </row>
    <row r="38" spans="1:10" ht="30" customHeight="1" x14ac:dyDescent="0.2">
      <c r="A38" s="645">
        <v>15</v>
      </c>
      <c r="B38" s="1453" t="s">
        <v>1486</v>
      </c>
      <c r="C38" s="1454" t="s">
        <v>1481</v>
      </c>
      <c r="D38" s="1454"/>
      <c r="E38" s="1454" t="s">
        <v>852</v>
      </c>
      <c r="F38" s="1425">
        <v>20000000</v>
      </c>
      <c r="G38" s="17">
        <v>0.05</v>
      </c>
      <c r="H38" s="417"/>
      <c r="I38" s="21"/>
      <c r="J38" s="29"/>
    </row>
    <row r="39" spans="1:10" ht="30" customHeight="1" x14ac:dyDescent="0.2">
      <c r="A39" s="645">
        <v>16</v>
      </c>
      <c r="B39" s="1453" t="s">
        <v>1477</v>
      </c>
      <c r="C39" s="1454" t="s">
        <v>1482</v>
      </c>
      <c r="D39" s="1454"/>
      <c r="E39" s="1454" t="s">
        <v>852</v>
      </c>
      <c r="F39" s="1425">
        <v>50000000</v>
      </c>
      <c r="G39" s="17">
        <v>0.05</v>
      </c>
      <c r="H39" s="417"/>
      <c r="I39" s="21"/>
      <c r="J39" s="29"/>
    </row>
    <row r="40" spans="1:10" ht="30" customHeight="1" x14ac:dyDescent="0.2">
      <c r="A40" s="645">
        <v>17</v>
      </c>
      <c r="B40" s="1453" t="s">
        <v>1477</v>
      </c>
      <c r="C40" s="1454" t="s">
        <v>1483</v>
      </c>
      <c r="D40" s="1454"/>
      <c r="E40" s="1454" t="s">
        <v>852</v>
      </c>
      <c r="F40" s="1425">
        <v>60000000</v>
      </c>
      <c r="G40" s="17">
        <v>0.05</v>
      </c>
      <c r="H40" s="417"/>
      <c r="I40" s="21"/>
      <c r="J40" s="29"/>
    </row>
    <row r="41" spans="1:10" ht="30" customHeight="1" x14ac:dyDescent="0.2">
      <c r="A41" s="645">
        <v>18</v>
      </c>
      <c r="B41" s="1453" t="s">
        <v>1478</v>
      </c>
      <c r="C41" s="1454" t="s">
        <v>1484</v>
      </c>
      <c r="D41" s="1454"/>
      <c r="E41" s="1454" t="s">
        <v>852</v>
      </c>
      <c r="F41" s="1425">
        <v>100000000</v>
      </c>
      <c r="G41" s="17">
        <v>7.0000000000000007E-2</v>
      </c>
      <c r="H41" s="417"/>
      <c r="I41" s="21"/>
      <c r="J41" s="29"/>
    </row>
    <row r="42" spans="1:10" ht="30" customHeight="1" x14ac:dyDescent="0.2">
      <c r="A42" s="645">
        <v>19</v>
      </c>
      <c r="B42" s="1453" t="s">
        <v>1479</v>
      </c>
      <c r="C42" s="1454" t="s">
        <v>813</v>
      </c>
      <c r="D42" s="1454"/>
      <c r="E42" s="1454" t="s">
        <v>852</v>
      </c>
      <c r="F42" s="1425">
        <v>100000000</v>
      </c>
      <c r="G42" s="17">
        <v>7.0000000000000007E-2</v>
      </c>
      <c r="H42" s="417"/>
      <c r="I42" s="21"/>
      <c r="J42" s="29"/>
    </row>
    <row r="43" spans="1:10" ht="30" customHeight="1" x14ac:dyDescent="0.2">
      <c r="A43" s="1435"/>
      <c r="B43" s="1453" t="s">
        <v>1305</v>
      </c>
      <c r="C43" s="1454" t="s">
        <v>3313</v>
      </c>
      <c r="D43" s="1454" t="s">
        <v>3004</v>
      </c>
      <c r="E43" s="1454" t="s">
        <v>852</v>
      </c>
      <c r="F43" s="1425">
        <v>50000000</v>
      </c>
      <c r="G43" s="1433"/>
      <c r="H43" s="1407">
        <v>80000000</v>
      </c>
      <c r="I43" s="21" t="s">
        <v>3314</v>
      </c>
      <c r="J43" s="29"/>
    </row>
    <row r="44" spans="1:10" ht="30" customHeight="1" x14ac:dyDescent="0.2">
      <c r="A44" s="4">
        <v>20</v>
      </c>
      <c r="B44" s="415" t="s">
        <v>219</v>
      </c>
      <c r="C44" s="424" t="s">
        <v>1492</v>
      </c>
      <c r="D44" s="424" t="s">
        <v>1491</v>
      </c>
      <c r="E44" s="424" t="s">
        <v>852</v>
      </c>
      <c r="F44" s="417">
        <v>57000000</v>
      </c>
      <c r="G44" s="17"/>
      <c r="H44" s="417">
        <v>128000000</v>
      </c>
      <c r="I44" s="21" t="s">
        <v>1493</v>
      </c>
      <c r="J44" s="29"/>
    </row>
    <row r="45" spans="1:10" ht="30" customHeight="1" x14ac:dyDescent="0.2">
      <c r="A45" s="2000">
        <v>21</v>
      </c>
      <c r="B45" s="2012" t="s">
        <v>1526</v>
      </c>
      <c r="C45" s="234" t="s">
        <v>1405</v>
      </c>
      <c r="D45" s="234" t="s">
        <v>1527</v>
      </c>
      <c r="E45" s="234" t="s">
        <v>1525</v>
      </c>
      <c r="F45" s="1999">
        <v>100000000</v>
      </c>
      <c r="G45" s="2010"/>
      <c r="H45" s="1999">
        <v>130000000</v>
      </c>
      <c r="I45" s="48" t="s">
        <v>4194</v>
      </c>
      <c r="J45" s="29"/>
    </row>
    <row r="46" spans="1:10" ht="30" customHeight="1" x14ac:dyDescent="0.2">
      <c r="A46" s="4">
        <v>22</v>
      </c>
      <c r="B46" s="415" t="s">
        <v>1528</v>
      </c>
      <c r="C46" s="424" t="s">
        <v>1405</v>
      </c>
      <c r="D46" s="424" t="s">
        <v>1529</v>
      </c>
      <c r="E46" s="424" t="s">
        <v>1530</v>
      </c>
      <c r="F46" s="417">
        <v>60000000</v>
      </c>
      <c r="G46" s="419"/>
      <c r="H46" s="417">
        <v>100000000</v>
      </c>
      <c r="I46" s="454" t="s">
        <v>1531</v>
      </c>
      <c r="J46" s="29"/>
    </row>
    <row r="47" spans="1:10" ht="30" customHeight="1" x14ac:dyDescent="0.2">
      <c r="A47" s="4459">
        <v>23</v>
      </c>
      <c r="B47" s="4518" t="s">
        <v>1631</v>
      </c>
      <c r="C47" s="4502" t="s">
        <v>1645</v>
      </c>
      <c r="D47" s="4502" t="s">
        <v>1594</v>
      </c>
      <c r="E47" s="4502" t="s">
        <v>1525</v>
      </c>
      <c r="F47" s="4504">
        <v>85000000</v>
      </c>
      <c r="G47" s="4500"/>
      <c r="H47" s="4504" t="s">
        <v>1642</v>
      </c>
      <c r="I47" s="483" t="s">
        <v>1643</v>
      </c>
      <c r="J47" s="4496" t="s">
        <v>1632</v>
      </c>
    </row>
    <row r="48" spans="1:10" ht="30" customHeight="1" x14ac:dyDescent="0.2">
      <c r="A48" s="4460"/>
      <c r="B48" s="4519"/>
      <c r="C48" s="4503"/>
      <c r="D48" s="4503"/>
      <c r="E48" s="4503"/>
      <c r="F48" s="4505"/>
      <c r="G48" s="4501"/>
      <c r="H48" s="4505"/>
      <c r="I48" s="483" t="s">
        <v>1644</v>
      </c>
      <c r="J48" s="4497"/>
    </row>
    <row r="49" spans="1:10" ht="30" customHeight="1" x14ac:dyDescent="0.2">
      <c r="A49" s="4459">
        <v>24</v>
      </c>
      <c r="B49" s="4461" t="s">
        <v>182</v>
      </c>
      <c r="C49" s="4489" t="s">
        <v>1594</v>
      </c>
      <c r="D49" s="4489" t="s">
        <v>1649</v>
      </c>
      <c r="E49" s="4489" t="s">
        <v>1525</v>
      </c>
      <c r="F49" s="4506">
        <v>85000000</v>
      </c>
      <c r="G49" s="4512"/>
      <c r="H49" s="4506" t="s">
        <v>1646</v>
      </c>
      <c r="I49" s="1709" t="s">
        <v>5451</v>
      </c>
      <c r="J49" s="3731" t="s">
        <v>5452</v>
      </c>
    </row>
    <row r="50" spans="1:10" ht="30" customHeight="1" x14ac:dyDescent="0.2">
      <c r="A50" s="4464"/>
      <c r="B50" s="4462"/>
      <c r="C50" s="4490"/>
      <c r="D50" s="4490"/>
      <c r="E50" s="4490"/>
      <c r="F50" s="4507"/>
      <c r="G50" s="4513"/>
      <c r="H50" s="4507"/>
      <c r="I50" s="1709" t="s">
        <v>1648</v>
      </c>
      <c r="J50" s="3751" t="s">
        <v>5455</v>
      </c>
    </row>
    <row r="51" spans="1:10" ht="30" customHeight="1" x14ac:dyDescent="0.2">
      <c r="A51" s="4460"/>
      <c r="B51" s="4463"/>
      <c r="C51" s="4491"/>
      <c r="D51" s="4491"/>
      <c r="E51" s="4491"/>
      <c r="F51" s="4508"/>
      <c r="G51" s="4514"/>
      <c r="H51" s="4508"/>
      <c r="I51" s="1709" t="s">
        <v>1647</v>
      </c>
      <c r="J51" s="3752"/>
    </row>
    <row r="52" spans="1:10" ht="30" customHeight="1" x14ac:dyDescent="0.2">
      <c r="A52" s="463">
        <v>25</v>
      </c>
      <c r="B52" s="462" t="s">
        <v>1657</v>
      </c>
      <c r="C52" s="466"/>
      <c r="D52" s="466"/>
      <c r="E52" s="466"/>
      <c r="F52" s="465"/>
      <c r="G52" s="464"/>
      <c r="H52" s="465"/>
      <c r="I52" s="454"/>
      <c r="J52" s="468"/>
    </row>
    <row r="53" spans="1:10" ht="30" customHeight="1" x14ac:dyDescent="0.2">
      <c r="A53" s="463">
        <v>26</v>
      </c>
      <c r="B53" s="462" t="s">
        <v>1678</v>
      </c>
      <c r="C53" s="466" t="s">
        <v>1680</v>
      </c>
      <c r="D53" s="466"/>
      <c r="E53" s="466"/>
      <c r="F53" s="465">
        <v>20000000</v>
      </c>
      <c r="G53" s="464"/>
      <c r="H53" s="465"/>
      <c r="I53" s="454" t="s">
        <v>1681</v>
      </c>
      <c r="J53" s="468"/>
    </row>
    <row r="54" spans="1:10" ht="30" customHeight="1" x14ac:dyDescent="0.2">
      <c r="A54" s="644">
        <v>27</v>
      </c>
      <c r="B54" s="462" t="s">
        <v>1679</v>
      </c>
      <c r="C54" s="466"/>
      <c r="D54" s="466"/>
      <c r="E54" s="466"/>
      <c r="F54" s="465">
        <v>16000000</v>
      </c>
      <c r="G54" s="464"/>
      <c r="H54" s="465"/>
      <c r="I54" s="454" t="s">
        <v>1681</v>
      </c>
      <c r="J54" s="468"/>
    </row>
    <row r="55" spans="1:10" ht="30" customHeight="1" x14ac:dyDescent="0.2">
      <c r="A55" s="644">
        <v>28</v>
      </c>
      <c r="B55" s="462" t="s">
        <v>1841</v>
      </c>
      <c r="C55" s="466" t="s">
        <v>1864</v>
      </c>
      <c r="D55" s="466" t="s">
        <v>1863</v>
      </c>
      <c r="E55" s="466" t="s">
        <v>854</v>
      </c>
      <c r="F55" s="465">
        <v>200000000</v>
      </c>
      <c r="G55" s="464"/>
      <c r="H55" s="465">
        <v>4800000000</v>
      </c>
      <c r="I55" s="454" t="s">
        <v>1862</v>
      </c>
      <c r="J55" s="468"/>
    </row>
    <row r="56" spans="1:10" ht="30" customHeight="1" x14ac:dyDescent="0.2">
      <c r="A56" s="4459">
        <v>27</v>
      </c>
      <c r="B56" s="4457" t="s">
        <v>1843</v>
      </c>
      <c r="C56" s="466" t="s">
        <v>1844</v>
      </c>
      <c r="D56" s="466" t="s">
        <v>1846</v>
      </c>
      <c r="E56" s="466" t="s">
        <v>1184</v>
      </c>
      <c r="F56" s="465">
        <v>5000000</v>
      </c>
      <c r="G56" s="464"/>
      <c r="H56" s="465">
        <v>25000000</v>
      </c>
      <c r="I56" s="454" t="s">
        <v>1845</v>
      </c>
      <c r="J56" s="468"/>
    </row>
    <row r="57" spans="1:10" ht="30" customHeight="1" x14ac:dyDescent="0.2">
      <c r="A57" s="4464"/>
      <c r="B57" s="4488"/>
      <c r="C57" s="466" t="s">
        <v>1847</v>
      </c>
      <c r="D57" s="466"/>
      <c r="E57" s="466" t="s">
        <v>852</v>
      </c>
      <c r="F57" s="465"/>
      <c r="G57" s="464"/>
      <c r="H57" s="465"/>
      <c r="I57" s="454"/>
      <c r="J57" s="468"/>
    </row>
    <row r="58" spans="1:10" ht="30" customHeight="1" x14ac:dyDescent="0.2">
      <c r="A58" s="4464"/>
      <c r="B58" s="4488"/>
      <c r="C58" s="466" t="s">
        <v>1848</v>
      </c>
      <c r="D58" s="466" t="s">
        <v>1849</v>
      </c>
      <c r="E58" s="466" t="s">
        <v>1184</v>
      </c>
      <c r="F58" s="465">
        <v>5000000</v>
      </c>
      <c r="G58" s="464"/>
      <c r="H58" s="465"/>
      <c r="I58" s="454"/>
      <c r="J58" s="468"/>
    </row>
    <row r="59" spans="1:10" ht="30" customHeight="1" x14ac:dyDescent="0.2">
      <c r="A59" s="4464"/>
      <c r="B59" s="4488"/>
      <c r="C59" s="530"/>
      <c r="D59" s="530" t="s">
        <v>1850</v>
      </c>
      <c r="E59" s="530" t="s">
        <v>1184</v>
      </c>
      <c r="F59" s="529">
        <v>5000000</v>
      </c>
      <c r="G59" s="527"/>
      <c r="H59" s="529"/>
      <c r="I59" s="454"/>
      <c r="J59" s="531"/>
    </row>
    <row r="60" spans="1:10" ht="30" customHeight="1" x14ac:dyDescent="0.2">
      <c r="A60" s="4464"/>
      <c r="B60" s="4488"/>
      <c r="C60" s="530" t="s">
        <v>323</v>
      </c>
      <c r="D60" s="530"/>
      <c r="E60" s="530" t="s">
        <v>852</v>
      </c>
      <c r="F60" s="529">
        <v>2000000</v>
      </c>
      <c r="G60" s="527"/>
      <c r="H60" s="529"/>
      <c r="I60" s="454" t="s">
        <v>1851</v>
      </c>
      <c r="J60" s="531"/>
    </row>
    <row r="61" spans="1:10" ht="30" customHeight="1" x14ac:dyDescent="0.2">
      <c r="A61" s="4460"/>
      <c r="B61" s="4458"/>
      <c r="C61" s="530"/>
      <c r="D61" s="530"/>
      <c r="E61" s="530" t="s">
        <v>852</v>
      </c>
      <c r="F61" s="529">
        <v>3000000</v>
      </c>
      <c r="G61" s="527"/>
      <c r="H61" s="529"/>
      <c r="I61" s="454" t="s">
        <v>1851</v>
      </c>
      <c r="J61" s="531"/>
    </row>
    <row r="62" spans="1:10" ht="30" customHeight="1" x14ac:dyDescent="0.2">
      <c r="A62" s="4459">
        <v>28</v>
      </c>
      <c r="B62" s="4457" t="s">
        <v>250</v>
      </c>
      <c r="C62" s="530" t="s">
        <v>1782</v>
      </c>
      <c r="D62" s="530" t="s">
        <v>1879</v>
      </c>
      <c r="E62" s="530" t="s">
        <v>1525</v>
      </c>
      <c r="F62" s="529">
        <v>18000000</v>
      </c>
      <c r="G62" s="527"/>
      <c r="H62" s="529">
        <v>24000000</v>
      </c>
      <c r="I62" s="454" t="s">
        <v>1880</v>
      </c>
      <c r="J62" s="531"/>
    </row>
    <row r="63" spans="1:10" ht="30" customHeight="1" x14ac:dyDescent="0.2">
      <c r="A63" s="4464"/>
      <c r="B63" s="4488"/>
      <c r="C63" s="4472" t="s">
        <v>1944</v>
      </c>
      <c r="D63" s="4472"/>
      <c r="E63" s="798" t="s">
        <v>852</v>
      </c>
      <c r="F63" s="4413">
        <v>20000000</v>
      </c>
      <c r="G63" s="796"/>
      <c r="H63" s="797">
        <v>34000000</v>
      </c>
      <c r="I63" s="4498" t="s">
        <v>2339</v>
      </c>
      <c r="J63" s="4492" t="s">
        <v>2338</v>
      </c>
    </row>
    <row r="64" spans="1:10" ht="30" customHeight="1" x14ac:dyDescent="0.2">
      <c r="A64" s="4460"/>
      <c r="B64" s="4458"/>
      <c r="C64" s="4473"/>
      <c r="D64" s="4473"/>
      <c r="E64" s="798" t="s">
        <v>1525</v>
      </c>
      <c r="F64" s="4415"/>
      <c r="G64" s="796"/>
      <c r="H64" s="797">
        <v>27000000</v>
      </c>
      <c r="I64" s="4499"/>
      <c r="J64" s="4493"/>
    </row>
    <row r="65" spans="1:10" ht="30" customHeight="1" x14ac:dyDescent="0.2">
      <c r="A65" s="547">
        <v>29</v>
      </c>
      <c r="B65" s="546" t="s">
        <v>259</v>
      </c>
      <c r="C65" s="548"/>
      <c r="D65" s="548"/>
      <c r="E65" s="548"/>
      <c r="F65" s="549"/>
      <c r="G65" s="550"/>
      <c r="H65" s="549"/>
      <c r="I65" s="454"/>
      <c r="J65" s="551"/>
    </row>
    <row r="66" spans="1:10" ht="30" customHeight="1" x14ac:dyDescent="0.2">
      <c r="A66" s="4459">
        <v>30</v>
      </c>
      <c r="B66" s="4457" t="s">
        <v>186</v>
      </c>
      <c r="C66" s="4472" t="s">
        <v>1881</v>
      </c>
      <c r="D66" s="234" t="s">
        <v>1916</v>
      </c>
      <c r="E66" s="4472" t="s">
        <v>1914</v>
      </c>
      <c r="F66" s="599">
        <v>200000000</v>
      </c>
      <c r="G66" s="600">
        <v>6.5000000000000002E-2</v>
      </c>
      <c r="H66" s="599">
        <v>328500000</v>
      </c>
      <c r="I66" s="454" t="s">
        <v>1940</v>
      </c>
      <c r="J66" s="601" t="s">
        <v>1915</v>
      </c>
    </row>
    <row r="67" spans="1:10" ht="30" customHeight="1" x14ac:dyDescent="0.2">
      <c r="A67" s="4460"/>
      <c r="B67" s="4458"/>
      <c r="C67" s="4473"/>
      <c r="D67" s="234" t="s">
        <v>1939</v>
      </c>
      <c r="E67" s="4473"/>
      <c r="F67" s="599">
        <v>100000000</v>
      </c>
      <c r="G67" s="600">
        <v>6.5000000000000002E-2</v>
      </c>
      <c r="H67" s="599">
        <v>100000000</v>
      </c>
      <c r="I67" s="454" t="s">
        <v>1938</v>
      </c>
      <c r="J67" s="601" t="s">
        <v>1180</v>
      </c>
    </row>
    <row r="68" spans="1:10" ht="30" customHeight="1" x14ac:dyDescent="0.2">
      <c r="A68" s="606">
        <v>31</v>
      </c>
      <c r="B68" s="605" t="s">
        <v>1913</v>
      </c>
      <c r="C68" s="611"/>
      <c r="D68" s="1708" t="s">
        <v>1942</v>
      </c>
      <c r="E68" s="611"/>
      <c r="F68" s="610">
        <v>700000000</v>
      </c>
      <c r="G68" s="608"/>
      <c r="H68" s="610">
        <v>2000000000</v>
      </c>
      <c r="I68" s="454" t="s">
        <v>1941</v>
      </c>
      <c r="J68" s="614"/>
    </row>
    <row r="69" spans="1:10" ht="30" customHeight="1" x14ac:dyDescent="0.2">
      <c r="A69" s="644">
        <v>32</v>
      </c>
      <c r="B69" s="19" t="s">
        <v>259</v>
      </c>
      <c r="C69" s="611"/>
      <c r="D69" s="234"/>
      <c r="E69" s="611" t="s">
        <v>1966</v>
      </c>
      <c r="F69" s="610">
        <v>30000000</v>
      </c>
      <c r="G69" s="608"/>
      <c r="H69" s="610">
        <v>50000000</v>
      </c>
      <c r="I69" s="454" t="s">
        <v>1968</v>
      </c>
      <c r="J69" s="615" t="s">
        <v>1967</v>
      </c>
    </row>
    <row r="70" spans="1:10" ht="30" customHeight="1" x14ac:dyDescent="0.2">
      <c r="A70" s="644">
        <v>33</v>
      </c>
      <c r="B70" s="19" t="s">
        <v>1970</v>
      </c>
      <c r="C70" s="611" t="s">
        <v>1973</v>
      </c>
      <c r="D70" s="234" t="s">
        <v>1972</v>
      </c>
      <c r="E70" s="611" t="s">
        <v>1966</v>
      </c>
      <c r="F70" s="610">
        <v>160000000</v>
      </c>
      <c r="G70" s="608"/>
      <c r="H70" s="610">
        <v>266000000</v>
      </c>
      <c r="I70" s="454" t="s">
        <v>1971</v>
      </c>
      <c r="J70" s="614"/>
    </row>
    <row r="71" spans="1:10" ht="30" customHeight="1" x14ac:dyDescent="0.2">
      <c r="A71" s="644">
        <v>34</v>
      </c>
      <c r="B71" s="19" t="s">
        <v>1974</v>
      </c>
      <c r="C71" s="611" t="s">
        <v>1976</v>
      </c>
      <c r="D71" s="234" t="s">
        <v>1975</v>
      </c>
      <c r="E71" s="611" t="s">
        <v>1966</v>
      </c>
      <c r="F71" s="610">
        <v>50000000</v>
      </c>
      <c r="G71" s="608"/>
      <c r="H71" s="610">
        <v>92000000</v>
      </c>
      <c r="I71" s="454" t="s">
        <v>1977</v>
      </c>
      <c r="J71" s="614"/>
    </row>
    <row r="72" spans="1:10" ht="30" customHeight="1" x14ac:dyDescent="0.2">
      <c r="A72" s="4459">
        <v>35</v>
      </c>
      <c r="B72" s="4457" t="s">
        <v>1843</v>
      </c>
      <c r="C72" s="626"/>
      <c r="D72" s="234" t="s">
        <v>1846</v>
      </c>
      <c r="E72" s="626" t="s">
        <v>1184</v>
      </c>
      <c r="F72" s="629">
        <v>5000000</v>
      </c>
      <c r="G72" s="630"/>
      <c r="H72" s="629">
        <v>25000000</v>
      </c>
      <c r="I72" s="454" t="s">
        <v>1987</v>
      </c>
      <c r="J72" s="633"/>
    </row>
    <row r="73" spans="1:10" ht="30" customHeight="1" x14ac:dyDescent="0.2">
      <c r="A73" s="4464"/>
      <c r="B73" s="4488"/>
      <c r="C73" s="626"/>
      <c r="D73" s="234" t="s">
        <v>1849</v>
      </c>
      <c r="E73" s="626" t="s">
        <v>1184</v>
      </c>
      <c r="F73" s="629">
        <v>5000000</v>
      </c>
      <c r="G73" s="630"/>
      <c r="H73" s="629">
        <v>25000000</v>
      </c>
      <c r="I73" s="454" t="s">
        <v>1988</v>
      </c>
      <c r="J73" s="633"/>
    </row>
    <row r="74" spans="1:10" ht="30" customHeight="1" x14ac:dyDescent="0.2">
      <c r="A74" s="4464"/>
      <c r="B74" s="4488"/>
      <c r="C74" s="626"/>
      <c r="D74" s="234" t="s">
        <v>1990</v>
      </c>
      <c r="E74" s="626" t="s">
        <v>1184</v>
      </c>
      <c r="F74" s="629">
        <v>5000000</v>
      </c>
      <c r="G74" s="630"/>
      <c r="H74" s="629">
        <v>25000000</v>
      </c>
      <c r="I74" s="454" t="s">
        <v>1989</v>
      </c>
      <c r="J74" s="633"/>
    </row>
    <row r="75" spans="1:10" ht="30" customHeight="1" x14ac:dyDescent="0.2">
      <c r="A75" s="4460"/>
      <c r="B75" s="4458"/>
      <c r="C75" s="626"/>
      <c r="D75" s="234" t="s">
        <v>1999</v>
      </c>
      <c r="E75" s="626" t="s">
        <v>854</v>
      </c>
      <c r="F75" s="629">
        <v>20000000</v>
      </c>
      <c r="G75" s="630"/>
      <c r="H75" s="629">
        <v>50000000</v>
      </c>
      <c r="I75" s="454" t="s">
        <v>2000</v>
      </c>
      <c r="J75" s="633"/>
    </row>
    <row r="76" spans="1:10" ht="30" customHeight="1" x14ac:dyDescent="0.2">
      <c r="A76" s="645">
        <v>36</v>
      </c>
      <c r="B76" s="19" t="s">
        <v>1996</v>
      </c>
      <c r="C76" s="626"/>
      <c r="D76" s="234" t="s">
        <v>1998</v>
      </c>
      <c r="E76" s="626" t="s">
        <v>854</v>
      </c>
      <c r="F76" s="629">
        <v>2000000</v>
      </c>
      <c r="G76" s="630"/>
      <c r="H76" s="629">
        <v>50000000</v>
      </c>
      <c r="I76" s="454" t="s">
        <v>1997</v>
      </c>
      <c r="J76" s="633"/>
    </row>
    <row r="77" spans="1:10" ht="30" customHeight="1" x14ac:dyDescent="0.2">
      <c r="A77" s="4459">
        <v>37</v>
      </c>
      <c r="B77" s="4457" t="s">
        <v>2011</v>
      </c>
      <c r="C77" s="626"/>
      <c r="D77" s="234" t="s">
        <v>2012</v>
      </c>
      <c r="E77" s="626" t="s">
        <v>854</v>
      </c>
      <c r="F77" s="629">
        <v>15000000</v>
      </c>
      <c r="G77" s="630"/>
      <c r="H77" s="629">
        <v>360000000</v>
      </c>
      <c r="I77" s="454" t="s">
        <v>2013</v>
      </c>
      <c r="J77" s="633"/>
    </row>
    <row r="78" spans="1:10" ht="30" customHeight="1" x14ac:dyDescent="0.2">
      <c r="A78" s="4460"/>
      <c r="B78" s="4458"/>
      <c r="C78" s="626"/>
      <c r="D78" s="234" t="s">
        <v>2015</v>
      </c>
      <c r="E78" s="626" t="s">
        <v>852</v>
      </c>
      <c r="F78" s="629">
        <v>16000000</v>
      </c>
      <c r="G78" s="630"/>
      <c r="H78" s="629">
        <v>27000000</v>
      </c>
      <c r="I78" s="454" t="s">
        <v>2014</v>
      </c>
      <c r="J78" s="633"/>
    </row>
    <row r="79" spans="1:10" ht="30" customHeight="1" x14ac:dyDescent="0.2">
      <c r="A79" s="645"/>
      <c r="B79" s="19" t="s">
        <v>2016</v>
      </c>
      <c r="C79" s="626"/>
      <c r="D79" s="234" t="s">
        <v>2019</v>
      </c>
      <c r="E79" s="626" t="s">
        <v>2017</v>
      </c>
      <c r="F79" s="629">
        <v>25000000</v>
      </c>
      <c r="G79" s="630"/>
      <c r="H79" s="629">
        <v>43000000</v>
      </c>
      <c r="I79" s="454" t="s">
        <v>2018</v>
      </c>
      <c r="J79" s="633"/>
    </row>
    <row r="80" spans="1:10" ht="30" customHeight="1" x14ac:dyDescent="0.2">
      <c r="A80" s="4459"/>
      <c r="B80" s="4457" t="s">
        <v>2093</v>
      </c>
      <c r="C80" s="920" t="s">
        <v>1196</v>
      </c>
      <c r="D80" s="920"/>
      <c r="E80" s="913"/>
      <c r="F80" s="914">
        <v>3000000</v>
      </c>
      <c r="G80" s="912"/>
      <c r="H80" s="914">
        <v>7000000</v>
      </c>
      <c r="I80" s="483"/>
      <c r="J80" s="915" t="s">
        <v>2478</v>
      </c>
    </row>
    <row r="81" spans="1:10" ht="30" customHeight="1" x14ac:dyDescent="0.2">
      <c r="A81" s="4460"/>
      <c r="B81" s="4458"/>
      <c r="C81" s="683"/>
      <c r="D81" s="234" t="s">
        <v>2094</v>
      </c>
      <c r="E81" s="683" t="s">
        <v>1184</v>
      </c>
      <c r="F81" s="682">
        <v>10000000</v>
      </c>
      <c r="G81" s="681"/>
      <c r="H81" s="682">
        <v>50000000</v>
      </c>
      <c r="I81" s="454" t="s">
        <v>2096</v>
      </c>
      <c r="J81" s="684" t="s">
        <v>2095</v>
      </c>
    </row>
    <row r="82" spans="1:10" ht="30" customHeight="1" x14ac:dyDescent="0.2">
      <c r="A82" s="685"/>
      <c r="B82" s="19" t="s">
        <v>2097</v>
      </c>
      <c r="C82" s="683" t="s">
        <v>2100</v>
      </c>
      <c r="D82" s="234" t="s">
        <v>2099</v>
      </c>
      <c r="E82" s="683" t="s">
        <v>854</v>
      </c>
      <c r="F82" s="682">
        <v>25000000</v>
      </c>
      <c r="G82" s="681"/>
      <c r="H82" s="682">
        <v>600000000</v>
      </c>
      <c r="I82" s="454" t="s">
        <v>2098</v>
      </c>
      <c r="J82" s="696" t="s">
        <v>2104</v>
      </c>
    </row>
    <row r="83" spans="1:10" ht="30" customHeight="1" x14ac:dyDescent="0.2">
      <c r="A83" s="685"/>
      <c r="B83" s="19" t="s">
        <v>2101</v>
      </c>
      <c r="C83" s="683" t="s">
        <v>2099</v>
      </c>
      <c r="D83" s="234" t="s">
        <v>2103</v>
      </c>
      <c r="E83" s="683" t="s">
        <v>854</v>
      </c>
      <c r="F83" s="682">
        <v>7000000</v>
      </c>
      <c r="G83" s="681"/>
      <c r="H83" s="682">
        <v>170000000</v>
      </c>
      <c r="I83" s="454" t="s">
        <v>2102</v>
      </c>
      <c r="J83" s="684" t="s">
        <v>2104</v>
      </c>
    </row>
    <row r="84" spans="1:10" ht="30" customHeight="1" x14ac:dyDescent="0.2">
      <c r="A84" s="4459"/>
      <c r="B84" s="4457" t="s">
        <v>2105</v>
      </c>
      <c r="C84" s="1690"/>
      <c r="D84" s="234"/>
      <c r="E84" s="683" t="s">
        <v>852</v>
      </c>
      <c r="F84" s="682">
        <v>5000000</v>
      </c>
      <c r="G84" s="681"/>
      <c r="H84" s="682">
        <v>8000000</v>
      </c>
      <c r="I84" s="454" t="s">
        <v>2107</v>
      </c>
      <c r="J84" s="684" t="s">
        <v>2106</v>
      </c>
    </row>
    <row r="85" spans="1:10" ht="30" customHeight="1" x14ac:dyDescent="0.2">
      <c r="A85" s="4460"/>
      <c r="B85" s="4458"/>
      <c r="C85" s="1690"/>
      <c r="D85" s="234" t="s">
        <v>3616</v>
      </c>
      <c r="E85" s="1690" t="s">
        <v>852</v>
      </c>
      <c r="F85" s="1689">
        <v>4000000</v>
      </c>
      <c r="G85" s="1688"/>
      <c r="H85" s="1689">
        <v>7000000</v>
      </c>
      <c r="I85" s="454" t="s">
        <v>3617</v>
      </c>
      <c r="J85" s="1693"/>
    </row>
    <row r="86" spans="1:10" ht="30" customHeight="1" x14ac:dyDescent="0.2">
      <c r="A86" s="1687"/>
      <c r="B86" s="1686" t="s">
        <v>3630</v>
      </c>
      <c r="C86" s="1690"/>
      <c r="D86" s="234" t="s">
        <v>3631</v>
      </c>
      <c r="E86" s="1690" t="s">
        <v>3633</v>
      </c>
      <c r="F86" s="1689">
        <v>20000000</v>
      </c>
      <c r="G86" s="1688"/>
      <c r="H86" s="1689">
        <v>100000000</v>
      </c>
      <c r="I86" s="454" t="s">
        <v>3632</v>
      </c>
      <c r="J86" s="1693"/>
    </row>
    <row r="87" spans="1:10" ht="30" customHeight="1" x14ac:dyDescent="0.2">
      <c r="A87" s="4459"/>
      <c r="B87" s="4457" t="s">
        <v>2108</v>
      </c>
      <c r="C87" s="683"/>
      <c r="D87" s="234" t="s">
        <v>2109</v>
      </c>
      <c r="E87" s="683" t="s">
        <v>852</v>
      </c>
      <c r="F87" s="682">
        <v>20000000</v>
      </c>
      <c r="G87" s="681"/>
      <c r="H87" s="682">
        <v>32000000</v>
      </c>
      <c r="I87" s="454" t="s">
        <v>2110</v>
      </c>
      <c r="J87" s="684" t="s">
        <v>2111</v>
      </c>
    </row>
    <row r="88" spans="1:10" ht="30" customHeight="1" x14ac:dyDescent="0.2">
      <c r="A88" s="4464"/>
      <c r="B88" s="4488"/>
      <c r="C88" s="1690"/>
      <c r="D88" s="234" t="s">
        <v>3621</v>
      </c>
      <c r="E88" s="1690" t="s">
        <v>852</v>
      </c>
      <c r="F88" s="1689">
        <v>100000000</v>
      </c>
      <c r="G88" s="1688"/>
      <c r="H88" s="1689">
        <v>165000000</v>
      </c>
      <c r="I88" s="454" t="s">
        <v>3620</v>
      </c>
      <c r="J88" s="1693"/>
    </row>
    <row r="89" spans="1:10" ht="30" customHeight="1" x14ac:dyDescent="0.2">
      <c r="A89" s="4460"/>
      <c r="B89" s="4458"/>
      <c r="C89" s="1690"/>
      <c r="D89" s="234" t="s">
        <v>3610</v>
      </c>
      <c r="E89" s="1690" t="s">
        <v>852</v>
      </c>
      <c r="F89" s="1689">
        <v>8000000</v>
      </c>
      <c r="G89" s="1688"/>
      <c r="H89" s="1689">
        <v>13000000</v>
      </c>
      <c r="I89" s="454" t="s">
        <v>3611</v>
      </c>
      <c r="J89" s="1693"/>
    </row>
    <row r="90" spans="1:10" ht="30" customHeight="1" x14ac:dyDescent="0.2">
      <c r="A90" s="1685"/>
      <c r="B90" s="1684" t="s">
        <v>2878</v>
      </c>
      <c r="C90" s="1690"/>
      <c r="D90" s="234" t="s">
        <v>3629</v>
      </c>
      <c r="E90" s="1690" t="s">
        <v>854</v>
      </c>
      <c r="F90" s="1689">
        <v>10000000</v>
      </c>
      <c r="G90" s="1688"/>
      <c r="H90" s="1689">
        <v>240000000</v>
      </c>
      <c r="I90" s="454" t="s">
        <v>3628</v>
      </c>
      <c r="J90" s="1693"/>
    </row>
    <row r="91" spans="1:10" ht="30" customHeight="1" x14ac:dyDescent="0.2">
      <c r="A91" s="1685"/>
      <c r="B91" s="1684" t="s">
        <v>3622</v>
      </c>
      <c r="C91" s="1690"/>
      <c r="D91" s="234" t="s">
        <v>3624</v>
      </c>
      <c r="E91" s="1690" t="s">
        <v>1184</v>
      </c>
      <c r="F91" s="1689">
        <v>30000000</v>
      </c>
      <c r="G91" s="1688"/>
      <c r="H91" s="1689">
        <v>150000000</v>
      </c>
      <c r="I91" s="454" t="s">
        <v>3623</v>
      </c>
      <c r="J91" s="1693"/>
    </row>
    <row r="92" spans="1:10" ht="30" customHeight="1" x14ac:dyDescent="0.2">
      <c r="A92" s="685"/>
      <c r="B92" s="19" t="s">
        <v>2112</v>
      </c>
      <c r="C92" s="683" t="s">
        <v>660</v>
      </c>
      <c r="D92" s="234" t="s">
        <v>2113</v>
      </c>
      <c r="E92" s="683" t="s">
        <v>1184</v>
      </c>
      <c r="F92" s="682">
        <v>12000000</v>
      </c>
      <c r="G92" s="681"/>
      <c r="H92" s="682">
        <v>60000000</v>
      </c>
      <c r="I92" s="454" t="s">
        <v>2114</v>
      </c>
      <c r="J92" s="684" t="s">
        <v>2115</v>
      </c>
    </row>
    <row r="93" spans="1:10" ht="30" customHeight="1" x14ac:dyDescent="0.2">
      <c r="A93" s="704"/>
      <c r="B93" s="4457" t="s">
        <v>2116</v>
      </c>
      <c r="C93" s="686" t="s">
        <v>1002</v>
      </c>
      <c r="D93" s="234" t="s">
        <v>2119</v>
      </c>
      <c r="E93" s="686" t="s">
        <v>854</v>
      </c>
      <c r="F93" s="690">
        <v>10000000</v>
      </c>
      <c r="G93" s="691"/>
      <c r="H93" s="690">
        <v>240000000</v>
      </c>
      <c r="I93" s="454" t="s">
        <v>2118</v>
      </c>
      <c r="J93" s="696" t="s">
        <v>2117</v>
      </c>
    </row>
    <row r="94" spans="1:10" ht="30" customHeight="1" x14ac:dyDescent="0.2">
      <c r="A94" s="704"/>
      <c r="B94" s="4488"/>
      <c r="C94" s="686" t="s">
        <v>1002</v>
      </c>
      <c r="D94" s="234" t="s">
        <v>2123</v>
      </c>
      <c r="E94" s="686" t="s">
        <v>2124</v>
      </c>
      <c r="F94" s="690">
        <v>30000000</v>
      </c>
      <c r="G94" s="691"/>
      <c r="H94" s="690">
        <v>50000000</v>
      </c>
      <c r="I94" s="454" t="s">
        <v>2122</v>
      </c>
      <c r="J94" s="696" t="s">
        <v>2111</v>
      </c>
    </row>
    <row r="95" spans="1:10" ht="30" customHeight="1" x14ac:dyDescent="0.2">
      <c r="A95" s="704"/>
      <c r="B95" s="4458"/>
      <c r="C95" s="686" t="s">
        <v>1002</v>
      </c>
      <c r="D95" s="234" t="s">
        <v>2125</v>
      </c>
      <c r="E95" s="686" t="s">
        <v>2126</v>
      </c>
      <c r="F95" s="690">
        <v>5000000</v>
      </c>
      <c r="G95" s="691"/>
      <c r="H95" s="690">
        <v>6000000</v>
      </c>
      <c r="I95" s="454" t="s">
        <v>2127</v>
      </c>
      <c r="J95" s="696" t="s">
        <v>2111</v>
      </c>
    </row>
    <row r="96" spans="1:10" ht="30" customHeight="1" x14ac:dyDescent="0.2">
      <c r="A96" s="704"/>
      <c r="B96" s="19" t="s">
        <v>2130</v>
      </c>
      <c r="C96" s="686" t="s">
        <v>1474</v>
      </c>
      <c r="D96" s="234" t="s">
        <v>2131</v>
      </c>
      <c r="E96" s="686" t="s">
        <v>854</v>
      </c>
      <c r="F96" s="690">
        <v>10000000</v>
      </c>
      <c r="G96" s="691"/>
      <c r="H96" s="690">
        <v>240000000</v>
      </c>
      <c r="I96" s="454" t="s">
        <v>2132</v>
      </c>
      <c r="J96" s="696" t="s">
        <v>2111</v>
      </c>
    </row>
    <row r="97" spans="1:10" ht="30" customHeight="1" x14ac:dyDescent="0.2">
      <c r="A97" s="685"/>
      <c r="B97" s="4457" t="s">
        <v>2133</v>
      </c>
      <c r="C97" s="683" t="s">
        <v>1944</v>
      </c>
      <c r="D97" s="234" t="s">
        <v>2135</v>
      </c>
      <c r="E97" s="683" t="s">
        <v>852</v>
      </c>
      <c r="F97" s="682">
        <v>50000000</v>
      </c>
      <c r="G97" s="681"/>
      <c r="H97" s="682">
        <v>80000000</v>
      </c>
      <c r="I97" s="454" t="s">
        <v>2134</v>
      </c>
      <c r="J97" s="696" t="s">
        <v>2111</v>
      </c>
    </row>
    <row r="98" spans="1:10" ht="30" customHeight="1" x14ac:dyDescent="0.2">
      <c r="A98" s="704"/>
      <c r="B98" s="4458"/>
      <c r="C98" s="686"/>
      <c r="D98" s="234"/>
      <c r="E98" s="686" t="s">
        <v>854</v>
      </c>
      <c r="F98" s="690">
        <v>10000000</v>
      </c>
      <c r="G98" s="691"/>
      <c r="H98" s="690">
        <v>240000000</v>
      </c>
      <c r="I98" s="454"/>
      <c r="J98" s="696"/>
    </row>
    <row r="99" spans="1:10" ht="30" customHeight="1" x14ac:dyDescent="0.2">
      <c r="A99" s="704"/>
      <c r="B99" s="687" t="s">
        <v>2136</v>
      </c>
      <c r="C99" s="686"/>
      <c r="D99" s="234" t="s">
        <v>2137</v>
      </c>
      <c r="E99" s="686" t="s">
        <v>1184</v>
      </c>
      <c r="F99" s="690">
        <v>8750000</v>
      </c>
      <c r="G99" s="691"/>
      <c r="H99" s="690">
        <v>44000000</v>
      </c>
      <c r="I99" s="454" t="s">
        <v>2138</v>
      </c>
      <c r="J99" s="696"/>
    </row>
    <row r="100" spans="1:10" ht="30" customHeight="1" x14ac:dyDescent="0.2">
      <c r="A100" s="704"/>
      <c r="B100" s="687" t="s">
        <v>2139</v>
      </c>
      <c r="C100" s="686"/>
      <c r="D100" s="234" t="s">
        <v>2137</v>
      </c>
      <c r="E100" s="686" t="s">
        <v>1184</v>
      </c>
      <c r="F100" s="690">
        <v>6250000</v>
      </c>
      <c r="G100" s="691"/>
      <c r="H100" s="690">
        <v>31500000</v>
      </c>
      <c r="I100" s="454" t="s">
        <v>2140</v>
      </c>
      <c r="J100" s="696"/>
    </row>
    <row r="101" spans="1:10" ht="30" customHeight="1" x14ac:dyDescent="0.2">
      <c r="A101" s="704"/>
      <c r="B101" s="687" t="s">
        <v>2142</v>
      </c>
      <c r="C101" s="686"/>
      <c r="D101" s="234" t="s">
        <v>2137</v>
      </c>
      <c r="E101" s="686" t="s">
        <v>1184</v>
      </c>
      <c r="F101" s="690">
        <v>15000000</v>
      </c>
      <c r="G101" s="691"/>
      <c r="H101" s="690">
        <v>75000000</v>
      </c>
      <c r="I101" s="454" t="s">
        <v>2141</v>
      </c>
      <c r="J101" s="696"/>
    </row>
    <row r="102" spans="1:10" ht="30" customHeight="1" x14ac:dyDescent="0.2">
      <c r="A102" s="704"/>
      <c r="B102" s="687" t="s">
        <v>142</v>
      </c>
      <c r="C102" s="686"/>
      <c r="D102" s="234" t="s">
        <v>2211</v>
      </c>
      <c r="E102" s="686" t="s">
        <v>852</v>
      </c>
      <c r="F102" s="690">
        <v>180000000</v>
      </c>
      <c r="G102" s="691"/>
      <c r="H102" s="690">
        <v>300000000</v>
      </c>
      <c r="I102" s="454" t="s">
        <v>2212</v>
      </c>
      <c r="J102" s="696" t="s">
        <v>2872</v>
      </c>
    </row>
    <row r="103" spans="1:10" ht="30" customHeight="1" x14ac:dyDescent="0.2">
      <c r="A103" s="704"/>
      <c r="B103" s="4457" t="s">
        <v>487</v>
      </c>
      <c r="C103" s="686"/>
      <c r="D103" s="234"/>
      <c r="E103" s="686"/>
      <c r="F103" s="690">
        <v>130000000</v>
      </c>
      <c r="G103" s="691"/>
      <c r="H103" s="690">
        <v>208000000</v>
      </c>
      <c r="I103" s="454"/>
      <c r="J103" s="696"/>
    </row>
    <row r="104" spans="1:10" ht="30" customHeight="1" x14ac:dyDescent="0.2">
      <c r="A104" s="704"/>
      <c r="B104" s="4458"/>
      <c r="C104" s="686"/>
      <c r="D104" s="234"/>
      <c r="E104" s="686"/>
      <c r="F104" s="690">
        <v>130000000</v>
      </c>
      <c r="G104" s="691"/>
      <c r="H104" s="690">
        <v>208000000</v>
      </c>
      <c r="I104" s="454"/>
      <c r="J104" s="696"/>
    </row>
    <row r="105" spans="1:10" ht="30" customHeight="1" x14ac:dyDescent="0.2">
      <c r="A105" s="704"/>
      <c r="B105" s="687" t="s">
        <v>2305</v>
      </c>
      <c r="C105" s="686"/>
      <c r="D105" s="234" t="s">
        <v>2307</v>
      </c>
      <c r="E105" s="686" t="s">
        <v>2308</v>
      </c>
      <c r="F105" s="690">
        <v>50000000</v>
      </c>
      <c r="G105" s="691"/>
      <c r="H105" s="690">
        <v>100000000</v>
      </c>
      <c r="I105" s="454" t="s">
        <v>2306</v>
      </c>
      <c r="J105" s="696" t="s">
        <v>2309</v>
      </c>
    </row>
    <row r="106" spans="1:10" ht="30" customHeight="1" x14ac:dyDescent="0.2">
      <c r="A106" s="784"/>
      <c r="B106" s="769" t="s">
        <v>2311</v>
      </c>
      <c r="C106" s="770"/>
      <c r="D106" s="234" t="s">
        <v>2313</v>
      </c>
      <c r="E106" s="770" t="s">
        <v>852</v>
      </c>
      <c r="F106" s="773">
        <v>20000000</v>
      </c>
      <c r="G106" s="772"/>
      <c r="H106" s="773">
        <v>35000000</v>
      </c>
      <c r="I106" s="454" t="s">
        <v>2312</v>
      </c>
      <c r="J106" s="778"/>
    </row>
    <row r="107" spans="1:10" ht="30" customHeight="1" x14ac:dyDescent="0.2">
      <c r="A107" s="784"/>
      <c r="B107" s="769" t="s">
        <v>2314</v>
      </c>
      <c r="C107" s="770"/>
      <c r="D107" s="234" t="s">
        <v>2315</v>
      </c>
      <c r="E107" s="770" t="s">
        <v>2317</v>
      </c>
      <c r="F107" s="773">
        <v>190000000</v>
      </c>
      <c r="G107" s="772"/>
      <c r="H107" s="773">
        <v>1000000000</v>
      </c>
      <c r="I107" s="454" t="s">
        <v>2316</v>
      </c>
      <c r="J107" s="778"/>
    </row>
    <row r="108" spans="1:10" ht="30" customHeight="1" x14ac:dyDescent="0.2">
      <c r="A108" s="784"/>
      <c r="B108" s="769" t="s">
        <v>2342</v>
      </c>
      <c r="C108" s="770"/>
      <c r="D108" s="234" t="s">
        <v>2341</v>
      </c>
      <c r="E108" s="770" t="s">
        <v>1525</v>
      </c>
      <c r="F108" s="773">
        <v>22000000</v>
      </c>
      <c r="G108" s="772"/>
      <c r="H108" s="773">
        <v>30000000</v>
      </c>
      <c r="I108" s="454" t="s">
        <v>2340</v>
      </c>
      <c r="J108" s="778"/>
    </row>
    <row r="109" spans="1:10" ht="30" customHeight="1" x14ac:dyDescent="0.2">
      <c r="A109" s="4459"/>
      <c r="B109" s="4457" t="s">
        <v>71</v>
      </c>
      <c r="C109" s="808"/>
      <c r="D109" s="234" t="s">
        <v>2362</v>
      </c>
      <c r="E109" s="808" t="s">
        <v>852</v>
      </c>
      <c r="F109" s="811">
        <v>130000000</v>
      </c>
      <c r="G109" s="809"/>
      <c r="H109" s="811">
        <v>224000000</v>
      </c>
      <c r="I109" s="454" t="s">
        <v>2361</v>
      </c>
      <c r="J109" s="815"/>
    </row>
    <row r="110" spans="1:10" ht="30" customHeight="1" x14ac:dyDescent="0.2">
      <c r="A110" s="4460"/>
      <c r="B110" s="4458"/>
      <c r="C110" s="821"/>
      <c r="D110" s="234" t="s">
        <v>1069</v>
      </c>
      <c r="E110" s="821"/>
      <c r="F110" s="820"/>
      <c r="G110" s="825"/>
      <c r="H110" s="820">
        <v>125000000</v>
      </c>
      <c r="I110" s="454"/>
      <c r="J110" s="822" t="s">
        <v>2399</v>
      </c>
    </row>
    <row r="111" spans="1:10" ht="30" customHeight="1" x14ac:dyDescent="0.2">
      <c r="A111" s="830"/>
      <c r="B111" s="823" t="s">
        <v>2396</v>
      </c>
      <c r="C111" s="821"/>
      <c r="D111" s="234" t="s">
        <v>356</v>
      </c>
      <c r="E111" s="821" t="s">
        <v>2397</v>
      </c>
      <c r="F111" s="820">
        <v>70000000</v>
      </c>
      <c r="G111" s="825"/>
      <c r="H111" s="1580">
        <v>90000000</v>
      </c>
      <c r="I111" s="454" t="s">
        <v>3461</v>
      </c>
      <c r="J111" s="822" t="s">
        <v>2398</v>
      </c>
    </row>
    <row r="112" spans="1:10" ht="30" customHeight="1" x14ac:dyDescent="0.2">
      <c r="A112" s="895"/>
      <c r="B112" s="887" t="s">
        <v>702</v>
      </c>
      <c r="C112" s="890"/>
      <c r="D112" s="234" t="s">
        <v>2462</v>
      </c>
      <c r="E112" s="890" t="s">
        <v>2017</v>
      </c>
      <c r="F112" s="889">
        <v>60000000</v>
      </c>
      <c r="G112" s="888"/>
      <c r="H112" s="889">
        <v>105000000</v>
      </c>
      <c r="I112" s="454" t="s">
        <v>2463</v>
      </c>
      <c r="J112" s="891" t="s">
        <v>2464</v>
      </c>
    </row>
    <row r="113" spans="1:10" ht="30" customHeight="1" x14ac:dyDescent="0.2">
      <c r="A113" s="4459"/>
      <c r="B113" s="4457" t="s">
        <v>2388</v>
      </c>
      <c r="C113" s="401"/>
      <c r="D113" s="2440" t="s">
        <v>2472</v>
      </c>
      <c r="E113" s="401" t="s">
        <v>4742</v>
      </c>
      <c r="F113" s="2746" t="s">
        <v>4741</v>
      </c>
      <c r="G113" s="2747"/>
      <c r="H113" s="2746">
        <v>100000000</v>
      </c>
      <c r="I113" s="2441" t="s">
        <v>2476</v>
      </c>
      <c r="J113" s="2762" t="s">
        <v>4743</v>
      </c>
    </row>
    <row r="114" spans="1:10" ht="30" customHeight="1" x14ac:dyDescent="0.2">
      <c r="A114" s="4464"/>
      <c r="B114" s="4488"/>
      <c r="C114" s="4472"/>
      <c r="D114" s="4472" t="s">
        <v>2474</v>
      </c>
      <c r="E114" s="4472" t="s">
        <v>852</v>
      </c>
      <c r="F114" s="4413">
        <v>260000000</v>
      </c>
      <c r="G114" s="4476"/>
      <c r="H114" s="4413">
        <v>350000000</v>
      </c>
      <c r="I114" s="4498" t="s">
        <v>2475</v>
      </c>
      <c r="J114" s="180" t="s">
        <v>4744</v>
      </c>
    </row>
    <row r="115" spans="1:10" ht="30" customHeight="1" x14ac:dyDescent="0.2">
      <c r="A115" s="4464"/>
      <c r="B115" s="4488"/>
      <c r="C115" s="4473"/>
      <c r="D115" s="4473"/>
      <c r="E115" s="4473"/>
      <c r="F115" s="4415"/>
      <c r="G115" s="4477"/>
      <c r="H115" s="4415"/>
      <c r="I115" s="4499"/>
      <c r="J115" s="180" t="s">
        <v>4745</v>
      </c>
    </row>
    <row r="116" spans="1:10" ht="30" customHeight="1" x14ac:dyDescent="0.2">
      <c r="A116" s="4460"/>
      <c r="B116" s="4458"/>
      <c r="C116" s="401"/>
      <c r="D116" s="2440" t="s">
        <v>2473</v>
      </c>
      <c r="E116" s="401" t="s">
        <v>1525</v>
      </c>
      <c r="F116" s="2746">
        <v>330000000</v>
      </c>
      <c r="G116" s="2747"/>
      <c r="H116" s="2746">
        <v>430000000</v>
      </c>
      <c r="I116" s="2441" t="s">
        <v>2477</v>
      </c>
      <c r="J116" s="2761" t="s">
        <v>4740</v>
      </c>
    </row>
    <row r="117" spans="1:10" ht="30" customHeight="1" x14ac:dyDescent="0.2">
      <c r="A117" s="909"/>
      <c r="B117" s="901" t="s">
        <v>1155</v>
      </c>
      <c r="C117" s="903"/>
      <c r="D117" s="234" t="s">
        <v>2530</v>
      </c>
      <c r="E117" s="903" t="s">
        <v>854</v>
      </c>
      <c r="F117" s="902">
        <v>8000000</v>
      </c>
      <c r="G117" s="905"/>
      <c r="H117" s="902">
        <v>192000000</v>
      </c>
      <c r="I117" s="454" t="s">
        <v>2529</v>
      </c>
      <c r="J117" s="904"/>
    </row>
    <row r="118" spans="1:10" ht="30" customHeight="1" x14ac:dyDescent="0.2">
      <c r="A118" s="909"/>
      <c r="B118" s="901" t="s">
        <v>140</v>
      </c>
      <c r="C118" s="903"/>
      <c r="D118" s="234" t="s">
        <v>1990</v>
      </c>
      <c r="E118" s="903" t="s">
        <v>854</v>
      </c>
      <c r="F118" s="902"/>
      <c r="G118" s="905"/>
      <c r="H118" s="902">
        <v>600000000</v>
      </c>
      <c r="I118" s="454" t="s">
        <v>2531</v>
      </c>
      <c r="J118" s="904"/>
    </row>
    <row r="119" spans="1:10" ht="30" customHeight="1" x14ac:dyDescent="0.2">
      <c r="A119" s="909"/>
      <c r="B119" s="901" t="s">
        <v>2595</v>
      </c>
      <c r="C119" s="903"/>
      <c r="D119" s="234" t="s">
        <v>2599</v>
      </c>
      <c r="E119" s="903" t="s">
        <v>2596</v>
      </c>
      <c r="F119" s="902">
        <v>730000000</v>
      </c>
      <c r="G119" s="905"/>
      <c r="H119" s="902">
        <v>850000000</v>
      </c>
      <c r="I119" s="454" t="s">
        <v>2598</v>
      </c>
      <c r="J119" s="904" t="s">
        <v>2597</v>
      </c>
    </row>
    <row r="120" spans="1:10" ht="30" customHeight="1" x14ac:dyDescent="0.2">
      <c r="A120" s="1139"/>
      <c r="B120" s="1130" t="s">
        <v>2551</v>
      </c>
      <c r="C120" s="1133"/>
      <c r="D120" s="234"/>
      <c r="E120" s="1133" t="s">
        <v>2017</v>
      </c>
      <c r="F120" s="1132">
        <v>15000000</v>
      </c>
      <c r="G120" s="1131"/>
      <c r="H120" s="1132"/>
      <c r="I120" s="454"/>
      <c r="J120" s="1134"/>
    </row>
    <row r="121" spans="1:10" ht="30" customHeight="1" x14ac:dyDescent="0.2">
      <c r="A121" s="1189"/>
      <c r="B121" s="1177" t="s">
        <v>2829</v>
      </c>
      <c r="C121" s="1180"/>
      <c r="D121" s="234" t="s">
        <v>2830</v>
      </c>
      <c r="E121" s="1180" t="s">
        <v>2831</v>
      </c>
      <c r="F121" s="1179">
        <v>200000000</v>
      </c>
      <c r="G121" s="1182"/>
      <c r="H121" s="1179">
        <v>284000000</v>
      </c>
      <c r="I121" s="454" t="s">
        <v>2832</v>
      </c>
      <c r="J121" s="1181" t="s">
        <v>2833</v>
      </c>
    </row>
    <row r="122" spans="1:10" ht="30" customHeight="1" x14ac:dyDescent="0.2">
      <c r="A122" s="1189"/>
      <c r="B122" s="1177" t="s">
        <v>2906</v>
      </c>
      <c r="C122" s="1180"/>
      <c r="D122" s="234" t="s">
        <v>2907</v>
      </c>
      <c r="E122" s="1180" t="s">
        <v>899</v>
      </c>
      <c r="F122" s="1179">
        <v>10000000</v>
      </c>
      <c r="G122" s="1182"/>
      <c r="H122" s="1179">
        <v>50000000</v>
      </c>
      <c r="I122" s="454" t="s">
        <v>2908</v>
      </c>
      <c r="J122" s="1181"/>
    </row>
    <row r="123" spans="1:10" ht="30" customHeight="1" x14ac:dyDescent="0.2">
      <c r="A123" s="1189"/>
      <c r="B123" s="1177" t="s">
        <v>2952</v>
      </c>
      <c r="C123" s="1180" t="s">
        <v>2577</v>
      </c>
      <c r="D123" s="234"/>
      <c r="E123" s="1180" t="s">
        <v>1525</v>
      </c>
      <c r="F123" s="1179">
        <v>150000000</v>
      </c>
      <c r="G123" s="1182"/>
      <c r="H123" s="1179"/>
      <c r="I123" s="454"/>
      <c r="J123" s="1181" t="s">
        <v>2953</v>
      </c>
    </row>
    <row r="124" spans="1:10" ht="30" customHeight="1" x14ac:dyDescent="0.2">
      <c r="A124" s="1249"/>
      <c r="B124" s="1239" t="s">
        <v>3001</v>
      </c>
      <c r="C124" s="1242" t="s">
        <v>3002</v>
      </c>
      <c r="D124" s="234" t="s">
        <v>3003</v>
      </c>
      <c r="E124" s="1242" t="s">
        <v>1212</v>
      </c>
      <c r="F124" s="1241">
        <v>20000000</v>
      </c>
      <c r="G124" s="1240"/>
      <c r="H124" s="1241">
        <v>23600000</v>
      </c>
      <c r="I124" s="454" t="s">
        <v>3028</v>
      </c>
      <c r="J124" s="1243"/>
    </row>
    <row r="125" spans="1:10" ht="30" customHeight="1" x14ac:dyDescent="0.2">
      <c r="A125" s="1266"/>
      <c r="B125" s="1251" t="s">
        <v>3024</v>
      </c>
      <c r="C125" s="1254" t="s">
        <v>2897</v>
      </c>
      <c r="D125" s="234" t="s">
        <v>3025</v>
      </c>
      <c r="E125" s="1254" t="s">
        <v>1556</v>
      </c>
      <c r="F125" s="1253">
        <v>100000000</v>
      </c>
      <c r="G125" s="1256"/>
      <c r="H125" s="1253">
        <v>114000000</v>
      </c>
      <c r="I125" s="454" t="s">
        <v>3026</v>
      </c>
      <c r="J125" s="1255" t="s">
        <v>3027</v>
      </c>
    </row>
    <row r="126" spans="1:10" ht="30" customHeight="1" x14ac:dyDescent="0.2">
      <c r="A126" s="1292"/>
      <c r="B126" s="1274" t="s">
        <v>3073</v>
      </c>
      <c r="C126" s="1277" t="s">
        <v>2875</v>
      </c>
      <c r="D126" s="234" t="s">
        <v>3075</v>
      </c>
      <c r="E126" s="1277"/>
      <c r="F126" s="1276">
        <v>37000000</v>
      </c>
      <c r="G126" s="1279"/>
      <c r="H126" s="1276">
        <v>50000000</v>
      </c>
      <c r="I126" s="454" t="s">
        <v>3074</v>
      </c>
      <c r="J126" s="1278" t="s">
        <v>3076</v>
      </c>
    </row>
    <row r="127" spans="1:10" ht="30" customHeight="1" x14ac:dyDescent="0.2">
      <c r="A127" s="1292"/>
      <c r="B127" s="1274" t="s">
        <v>3079</v>
      </c>
      <c r="C127" s="1277" t="s">
        <v>2875</v>
      </c>
      <c r="D127" s="234" t="s">
        <v>3078</v>
      </c>
      <c r="E127" s="1277" t="s">
        <v>1556</v>
      </c>
      <c r="F127" s="1276">
        <v>90400000</v>
      </c>
      <c r="G127" s="1279"/>
      <c r="H127" s="1276">
        <v>101000000</v>
      </c>
      <c r="I127" s="454" t="s">
        <v>3077</v>
      </c>
      <c r="J127" s="1278"/>
    </row>
    <row r="128" spans="1:10" ht="30" customHeight="1" x14ac:dyDescent="0.2">
      <c r="A128" s="1292"/>
      <c r="B128" s="1274" t="s">
        <v>3080</v>
      </c>
      <c r="C128" s="1277" t="s">
        <v>3004</v>
      </c>
      <c r="D128" s="234" t="s">
        <v>3081</v>
      </c>
      <c r="E128" s="1277"/>
      <c r="F128" s="1276">
        <v>20000000</v>
      </c>
      <c r="G128" s="1279"/>
      <c r="H128" s="1276">
        <v>32000000</v>
      </c>
      <c r="I128" s="454" t="s">
        <v>3082</v>
      </c>
      <c r="J128" s="1278"/>
    </row>
    <row r="129" spans="1:10" ht="30" customHeight="1" x14ac:dyDescent="0.2">
      <c r="A129" s="1307"/>
      <c r="B129" s="1300" t="s">
        <v>3107</v>
      </c>
      <c r="C129" s="1302" t="s">
        <v>3101</v>
      </c>
      <c r="D129" s="234" t="s">
        <v>3109</v>
      </c>
      <c r="E129" s="1302" t="s">
        <v>3108</v>
      </c>
      <c r="F129" s="1301">
        <v>20000000</v>
      </c>
      <c r="G129" s="1304"/>
      <c r="H129" s="1301">
        <v>500000000</v>
      </c>
      <c r="I129" s="454" t="s">
        <v>3110</v>
      </c>
      <c r="J129" s="1303" t="s">
        <v>3111</v>
      </c>
    </row>
    <row r="130" spans="1:10" ht="30" customHeight="1" x14ac:dyDescent="0.2">
      <c r="A130" s="1307"/>
      <c r="B130" s="1300" t="s">
        <v>3113</v>
      </c>
      <c r="C130" s="1302" t="s">
        <v>3101</v>
      </c>
      <c r="D130" s="234" t="s">
        <v>3114</v>
      </c>
      <c r="E130" s="1302" t="s">
        <v>852</v>
      </c>
      <c r="F130" s="1301">
        <v>16000000</v>
      </c>
      <c r="G130" s="1304"/>
      <c r="H130" s="1301">
        <v>26000000</v>
      </c>
      <c r="I130" s="454" t="s">
        <v>3115</v>
      </c>
      <c r="J130" s="1303"/>
    </row>
    <row r="131" spans="1:10" ht="30" customHeight="1" x14ac:dyDescent="0.2">
      <c r="A131" s="1307"/>
      <c r="B131" s="1300" t="s">
        <v>3117</v>
      </c>
      <c r="C131" s="1302" t="s">
        <v>3101</v>
      </c>
      <c r="D131" s="234" t="s">
        <v>3116</v>
      </c>
      <c r="E131" s="1302" t="s">
        <v>2831</v>
      </c>
      <c r="F131" s="1301">
        <v>44000000</v>
      </c>
      <c r="G131" s="1304"/>
      <c r="H131" s="1301">
        <v>63000000</v>
      </c>
      <c r="I131" s="454" t="s">
        <v>3118</v>
      </c>
      <c r="J131" s="1303"/>
    </row>
    <row r="132" spans="1:10" ht="30" customHeight="1" x14ac:dyDescent="0.2">
      <c r="A132" s="1307"/>
      <c r="B132" s="1300" t="s">
        <v>3186</v>
      </c>
      <c r="C132" s="1302"/>
      <c r="D132" s="234" t="s">
        <v>3081</v>
      </c>
      <c r="E132" s="1302"/>
      <c r="F132" s="1301"/>
      <c r="G132" s="1304"/>
      <c r="H132" s="1301">
        <v>150000000</v>
      </c>
      <c r="I132" s="454" t="s">
        <v>3187</v>
      </c>
      <c r="J132" s="851" t="s">
        <v>3188</v>
      </c>
    </row>
    <row r="133" spans="1:10" ht="30" customHeight="1" x14ac:dyDescent="0.2">
      <c r="A133" s="1307"/>
      <c r="B133" s="1300" t="s">
        <v>32</v>
      </c>
      <c r="C133" s="1302"/>
      <c r="D133" s="234" t="s">
        <v>3259</v>
      </c>
      <c r="E133" s="1302" t="s">
        <v>899</v>
      </c>
      <c r="F133" s="1301">
        <v>18700000</v>
      </c>
      <c r="G133" s="1304"/>
      <c r="H133" s="1301">
        <v>100000000</v>
      </c>
      <c r="I133" s="454" t="s">
        <v>3260</v>
      </c>
      <c r="J133" s="1303"/>
    </row>
    <row r="134" spans="1:10" ht="30" customHeight="1" x14ac:dyDescent="0.2">
      <c r="A134" s="1377"/>
      <c r="B134" s="1364" t="s">
        <v>2633</v>
      </c>
      <c r="C134" s="1367" t="s">
        <v>3214</v>
      </c>
      <c r="D134" s="234" t="s">
        <v>3284</v>
      </c>
      <c r="E134" s="1367" t="s">
        <v>1525</v>
      </c>
      <c r="F134" s="1366">
        <v>11000000</v>
      </c>
      <c r="G134" s="1365"/>
      <c r="H134" s="1366">
        <v>15000000</v>
      </c>
      <c r="I134" s="454" t="s">
        <v>3285</v>
      </c>
      <c r="J134" s="1368"/>
    </row>
    <row r="135" spans="1:10" ht="30" customHeight="1" x14ac:dyDescent="0.2">
      <c r="A135" s="1377"/>
      <c r="B135" s="1364" t="s">
        <v>3358</v>
      </c>
      <c r="C135" s="1367" t="s">
        <v>3362</v>
      </c>
      <c r="D135" s="234" t="s">
        <v>3360</v>
      </c>
      <c r="E135" s="1367" t="s">
        <v>3359</v>
      </c>
      <c r="F135" s="1366">
        <v>15000000</v>
      </c>
      <c r="G135" s="1365"/>
      <c r="H135" s="1366">
        <v>21000000</v>
      </c>
      <c r="I135" s="454" t="s">
        <v>3361</v>
      </c>
      <c r="J135" s="1368"/>
    </row>
    <row r="136" spans="1:10" ht="30" customHeight="1" x14ac:dyDescent="0.2">
      <c r="A136" s="4459"/>
      <c r="B136" s="4457" t="s">
        <v>3460</v>
      </c>
      <c r="C136" s="1367"/>
      <c r="D136" s="234" t="s">
        <v>3507</v>
      </c>
      <c r="E136" s="1367"/>
      <c r="F136" s="2938">
        <v>102000000</v>
      </c>
      <c r="G136" s="2939"/>
      <c r="H136" s="2938">
        <v>140000000</v>
      </c>
      <c r="I136" s="483" t="s">
        <v>3508</v>
      </c>
      <c r="J136" s="2952" t="s">
        <v>4077</v>
      </c>
    </row>
    <row r="137" spans="1:10" ht="30" customHeight="1" x14ac:dyDescent="0.2">
      <c r="A137" s="4460"/>
      <c r="B137" s="4458"/>
      <c r="C137" s="2933" t="s">
        <v>4333</v>
      </c>
      <c r="D137" s="234" t="s">
        <v>4332</v>
      </c>
      <c r="E137" s="2933" t="s">
        <v>852</v>
      </c>
      <c r="F137" s="2935">
        <v>260000000</v>
      </c>
      <c r="G137" s="2936"/>
      <c r="H137" s="2935">
        <v>510000000</v>
      </c>
      <c r="I137" s="454" t="s">
        <v>4331</v>
      </c>
      <c r="J137" s="2952" t="s">
        <v>4418</v>
      </c>
    </row>
    <row r="138" spans="1:10" ht="30" customHeight="1" x14ac:dyDescent="0.2">
      <c r="A138" s="4459"/>
      <c r="B138" s="4457" t="s">
        <v>3540</v>
      </c>
      <c r="C138" s="1367"/>
      <c r="D138" s="234" t="s">
        <v>3542</v>
      </c>
      <c r="E138" s="1367" t="s">
        <v>854</v>
      </c>
      <c r="F138" s="1366">
        <v>20000000</v>
      </c>
      <c r="G138" s="1365"/>
      <c r="H138" s="1366">
        <v>480000000</v>
      </c>
      <c r="I138" s="454" t="s">
        <v>3541</v>
      </c>
      <c r="J138" s="1368"/>
    </row>
    <row r="139" spans="1:10" ht="30" customHeight="1" x14ac:dyDescent="0.2">
      <c r="A139" s="4460"/>
      <c r="B139" s="4458"/>
      <c r="C139" s="1643"/>
      <c r="D139" s="234" t="s">
        <v>3543</v>
      </c>
      <c r="E139" s="1643" t="s">
        <v>899</v>
      </c>
      <c r="F139" s="1642">
        <v>20000000</v>
      </c>
      <c r="G139" s="1639"/>
      <c r="H139" s="1642">
        <v>100000000</v>
      </c>
      <c r="I139" s="454" t="s">
        <v>3544</v>
      </c>
      <c r="J139" s="1645"/>
    </row>
    <row r="140" spans="1:10" ht="30" customHeight="1" x14ac:dyDescent="0.2">
      <c r="A140" s="1672"/>
      <c r="B140" s="1671" t="s">
        <v>3592</v>
      </c>
      <c r="C140" s="1675"/>
      <c r="D140" s="234" t="s">
        <v>3593</v>
      </c>
      <c r="E140" s="1675" t="s">
        <v>852</v>
      </c>
      <c r="F140" s="1674">
        <v>40000000</v>
      </c>
      <c r="G140" s="1673"/>
      <c r="H140" s="1674">
        <v>66000000</v>
      </c>
      <c r="I140" s="454" t="s">
        <v>3594</v>
      </c>
      <c r="J140" s="1677"/>
    </row>
    <row r="141" spans="1:10" ht="30" customHeight="1" x14ac:dyDescent="0.2">
      <c r="A141" s="1672"/>
      <c r="B141" s="1671" t="s">
        <v>3600</v>
      </c>
      <c r="C141" s="1675"/>
      <c r="D141" s="234" t="s">
        <v>3601</v>
      </c>
      <c r="E141" s="1675" t="s">
        <v>852</v>
      </c>
      <c r="F141" s="1674">
        <v>50000000</v>
      </c>
      <c r="G141" s="1673"/>
      <c r="H141" s="1674">
        <v>86000000</v>
      </c>
      <c r="I141" s="454" t="s">
        <v>3602</v>
      </c>
      <c r="J141" s="1677"/>
    </row>
    <row r="142" spans="1:10" ht="30" customHeight="1" x14ac:dyDescent="0.2">
      <c r="A142" s="1672"/>
      <c r="B142" s="1671" t="s">
        <v>3613</v>
      </c>
      <c r="C142" s="1675"/>
      <c r="D142" s="234" t="s">
        <v>3614</v>
      </c>
      <c r="E142" s="1675" t="s">
        <v>1184</v>
      </c>
      <c r="F142" s="1674">
        <v>15000000</v>
      </c>
      <c r="G142" s="1673"/>
      <c r="H142" s="1674">
        <v>75000000</v>
      </c>
      <c r="I142" s="454" t="s">
        <v>3615</v>
      </c>
      <c r="J142" s="1677"/>
    </row>
    <row r="143" spans="1:10" ht="30" customHeight="1" x14ac:dyDescent="0.2">
      <c r="A143" s="1672"/>
      <c r="B143" s="1671" t="s">
        <v>3625</v>
      </c>
      <c r="C143" s="1675"/>
      <c r="D143" s="234" t="s">
        <v>3627</v>
      </c>
      <c r="E143" s="1675" t="s">
        <v>854</v>
      </c>
      <c r="F143" s="1674">
        <v>2000000</v>
      </c>
      <c r="G143" s="1673"/>
      <c r="H143" s="1674">
        <v>50000000</v>
      </c>
      <c r="I143" s="454" t="s">
        <v>3626</v>
      </c>
      <c r="J143" s="1677"/>
    </row>
    <row r="144" spans="1:10" ht="30" customHeight="1" x14ac:dyDescent="0.2">
      <c r="A144" s="1672"/>
      <c r="B144" s="1696" t="s">
        <v>1554</v>
      </c>
      <c r="C144" s="1707"/>
      <c r="D144" s="1708" t="s">
        <v>3634</v>
      </c>
      <c r="E144" s="1707"/>
      <c r="F144" s="1694">
        <v>40000000</v>
      </c>
      <c r="G144" s="1695"/>
      <c r="H144" s="1694">
        <v>50000000</v>
      </c>
      <c r="I144" s="1709" t="s">
        <v>3635</v>
      </c>
      <c r="J144" s="1677"/>
    </row>
    <row r="145" spans="1:10" ht="30" customHeight="1" x14ac:dyDescent="0.2">
      <c r="A145" s="1672"/>
      <c r="B145" s="1671" t="s">
        <v>3636</v>
      </c>
      <c r="C145" s="1675"/>
      <c r="D145" s="234" t="s">
        <v>3637</v>
      </c>
      <c r="E145" s="1675" t="s">
        <v>852</v>
      </c>
      <c r="F145" s="1674">
        <v>20000000</v>
      </c>
      <c r="G145" s="1673"/>
      <c r="H145" s="1674">
        <v>32000000</v>
      </c>
      <c r="I145" s="454" t="s">
        <v>3638</v>
      </c>
      <c r="J145" s="1677"/>
    </row>
    <row r="146" spans="1:10" ht="30" customHeight="1" x14ac:dyDescent="0.2">
      <c r="A146" s="1685"/>
      <c r="B146" s="1684" t="s">
        <v>3639</v>
      </c>
      <c r="C146" s="1690"/>
      <c r="D146" s="234" t="s">
        <v>3640</v>
      </c>
      <c r="E146" s="1690" t="s">
        <v>854</v>
      </c>
      <c r="F146" s="1689">
        <v>25000000</v>
      </c>
      <c r="G146" s="1688"/>
      <c r="H146" s="1689">
        <v>600000000</v>
      </c>
      <c r="I146" s="454" t="s">
        <v>3641</v>
      </c>
      <c r="J146" s="1693"/>
    </row>
    <row r="147" spans="1:10" ht="30" customHeight="1" x14ac:dyDescent="0.2">
      <c r="A147" s="1685"/>
      <c r="B147" s="1684" t="s">
        <v>3642</v>
      </c>
      <c r="C147" s="1690"/>
      <c r="D147" s="234" t="s">
        <v>3643</v>
      </c>
      <c r="E147" s="1690" t="s">
        <v>854</v>
      </c>
      <c r="F147" s="1689">
        <v>5000000</v>
      </c>
      <c r="G147" s="1688"/>
      <c r="H147" s="1689">
        <v>120000000</v>
      </c>
      <c r="I147" s="454" t="s">
        <v>3644</v>
      </c>
      <c r="J147" s="1693"/>
    </row>
    <row r="148" spans="1:10" ht="30" customHeight="1" x14ac:dyDescent="0.2">
      <c r="A148" s="1685"/>
      <c r="B148" s="1684" t="s">
        <v>3645</v>
      </c>
      <c r="C148" s="1690"/>
      <c r="D148" s="234" t="s">
        <v>3647</v>
      </c>
      <c r="E148" s="1690" t="s">
        <v>854</v>
      </c>
      <c r="F148" s="1689">
        <v>7000000</v>
      </c>
      <c r="G148" s="1688"/>
      <c r="H148" s="1689">
        <v>168000000</v>
      </c>
      <c r="I148" s="454" t="s">
        <v>3646</v>
      </c>
      <c r="J148" s="1693"/>
    </row>
    <row r="149" spans="1:10" ht="30" customHeight="1" x14ac:dyDescent="0.2">
      <c r="A149" s="1685"/>
      <c r="B149" s="1684" t="s">
        <v>3648</v>
      </c>
      <c r="C149" s="1690"/>
      <c r="D149" s="234" t="s">
        <v>3650</v>
      </c>
      <c r="E149" s="1690" t="s">
        <v>1184</v>
      </c>
      <c r="F149" s="1689">
        <v>20000000</v>
      </c>
      <c r="G149" s="1688"/>
      <c r="H149" s="1689">
        <v>100000000</v>
      </c>
      <c r="I149" s="454" t="s">
        <v>3649</v>
      </c>
      <c r="J149" s="1693"/>
    </row>
    <row r="150" spans="1:10" ht="30" customHeight="1" x14ac:dyDescent="0.2">
      <c r="A150" s="1672"/>
      <c r="B150" s="1671" t="s">
        <v>3651</v>
      </c>
      <c r="C150" s="1675"/>
      <c r="D150" s="234" t="s">
        <v>3652</v>
      </c>
      <c r="E150" s="1675" t="s">
        <v>1184</v>
      </c>
      <c r="F150" s="1674">
        <v>20000000</v>
      </c>
      <c r="G150" s="1673"/>
      <c r="H150" s="1674">
        <v>100000000</v>
      </c>
      <c r="I150" s="454" t="s">
        <v>3653</v>
      </c>
      <c r="J150" s="1677"/>
    </row>
    <row r="151" spans="1:10" ht="30" customHeight="1" x14ac:dyDescent="0.2">
      <c r="A151" s="1685"/>
      <c r="B151" s="1684" t="s">
        <v>3654</v>
      </c>
      <c r="C151" s="1690"/>
      <c r="D151" s="234" t="s">
        <v>3656</v>
      </c>
      <c r="E151" s="1690" t="s">
        <v>854</v>
      </c>
      <c r="F151" s="1689">
        <v>5000000</v>
      </c>
      <c r="G151" s="1688"/>
      <c r="H151" s="1689">
        <v>120000000</v>
      </c>
      <c r="I151" s="454" t="s">
        <v>3655</v>
      </c>
      <c r="J151" s="1693"/>
    </row>
    <row r="152" spans="1:10" ht="30" customHeight="1" x14ac:dyDescent="0.2">
      <c r="A152" s="1685"/>
      <c r="B152" s="1684" t="s">
        <v>3657</v>
      </c>
      <c r="C152" s="1690"/>
      <c r="D152" s="234" t="s">
        <v>3658</v>
      </c>
      <c r="E152" s="1690" t="s">
        <v>854</v>
      </c>
      <c r="F152" s="1689">
        <v>5000000</v>
      </c>
      <c r="G152" s="1688"/>
      <c r="H152" s="1689">
        <v>120000000</v>
      </c>
      <c r="I152" s="454" t="s">
        <v>3659</v>
      </c>
      <c r="J152" s="1693"/>
    </row>
    <row r="153" spans="1:10" ht="30" customHeight="1" x14ac:dyDescent="0.2">
      <c r="A153" s="1738"/>
      <c r="B153" s="1737" t="s">
        <v>3698</v>
      </c>
      <c r="C153" s="1741"/>
      <c r="D153" s="234"/>
      <c r="E153" s="1741" t="s">
        <v>3696</v>
      </c>
      <c r="F153" s="1740">
        <v>885000000</v>
      </c>
      <c r="G153" s="1739"/>
      <c r="H153" s="1740">
        <f>F153+160000000</f>
        <v>1045000000</v>
      </c>
      <c r="I153" s="454" t="s">
        <v>3697</v>
      </c>
      <c r="J153" s="1742"/>
    </row>
    <row r="154" spans="1:10" ht="30" customHeight="1" x14ac:dyDescent="0.2">
      <c r="A154" s="1029"/>
      <c r="B154" s="19" t="s">
        <v>119</v>
      </c>
      <c r="C154" s="1822"/>
      <c r="D154" s="234"/>
      <c r="E154" s="1822" t="s">
        <v>899</v>
      </c>
      <c r="F154" s="1826">
        <v>50000000</v>
      </c>
      <c r="G154" s="1825"/>
      <c r="H154" s="1826"/>
      <c r="I154" s="1709" t="s">
        <v>3861</v>
      </c>
      <c r="J154" s="1827"/>
    </row>
    <row r="155" spans="1:10" ht="30" customHeight="1" x14ac:dyDescent="0.2">
      <c r="A155" s="4459"/>
      <c r="B155" s="4457" t="s">
        <v>3862</v>
      </c>
      <c r="C155" s="1822"/>
      <c r="D155" s="234" t="s">
        <v>3081</v>
      </c>
      <c r="E155" s="1822" t="s">
        <v>852</v>
      </c>
      <c r="F155" s="1826">
        <v>300000000</v>
      </c>
      <c r="G155" s="1825"/>
      <c r="H155" s="1826">
        <v>450000000</v>
      </c>
      <c r="I155" s="454" t="s">
        <v>3863</v>
      </c>
      <c r="J155" s="1827"/>
    </row>
    <row r="156" spans="1:10" ht="30" customHeight="1" x14ac:dyDescent="0.2">
      <c r="A156" s="4460"/>
      <c r="B156" s="4458"/>
      <c r="C156" s="1838"/>
      <c r="D156" s="1708"/>
      <c r="E156" s="1707" t="s">
        <v>1525</v>
      </c>
      <c r="F156" s="1841"/>
      <c r="G156" s="1842"/>
      <c r="H156" s="1841">
        <v>165000000</v>
      </c>
      <c r="I156" s="1709" t="s">
        <v>3864</v>
      </c>
      <c r="J156" s="1839"/>
    </row>
    <row r="157" spans="1:10" ht="30" customHeight="1" x14ac:dyDescent="0.2">
      <c r="A157" s="1824"/>
      <c r="B157" s="1823" t="s">
        <v>35</v>
      </c>
      <c r="C157" s="1822"/>
      <c r="D157" s="234"/>
      <c r="E157" s="1822" t="s">
        <v>854</v>
      </c>
      <c r="F157" s="1826">
        <v>30000000</v>
      </c>
      <c r="G157" s="1825"/>
      <c r="H157" s="1826">
        <v>714000000</v>
      </c>
      <c r="I157" s="454" t="s">
        <v>3846</v>
      </c>
      <c r="J157" s="1827"/>
    </row>
    <row r="158" spans="1:10" ht="30" customHeight="1" x14ac:dyDescent="0.2">
      <c r="A158" s="1824"/>
      <c r="B158" s="1823" t="s">
        <v>3848</v>
      </c>
      <c r="C158" s="1822"/>
      <c r="D158" s="234" t="s">
        <v>1269</v>
      </c>
      <c r="E158" s="1822" t="s">
        <v>3851</v>
      </c>
      <c r="F158" s="1826">
        <v>1000000000</v>
      </c>
      <c r="G158" s="1825"/>
      <c r="H158" s="1826">
        <v>1560000000</v>
      </c>
      <c r="I158" s="454" t="s">
        <v>3852</v>
      </c>
      <c r="J158" s="1827"/>
    </row>
    <row r="159" spans="1:10" ht="30" customHeight="1" x14ac:dyDescent="0.2">
      <c r="A159" s="1834"/>
      <c r="B159" s="1833" t="s">
        <v>825</v>
      </c>
      <c r="C159" s="1838" t="s">
        <v>2875</v>
      </c>
      <c r="D159" s="234" t="s">
        <v>3865</v>
      </c>
      <c r="E159" s="1838" t="s">
        <v>1212</v>
      </c>
      <c r="F159" s="1837">
        <v>1020000000</v>
      </c>
      <c r="G159" s="1835"/>
      <c r="H159" s="1837">
        <v>1220000000</v>
      </c>
      <c r="I159" s="454" t="s">
        <v>3866</v>
      </c>
      <c r="J159" s="1839"/>
    </row>
    <row r="160" spans="1:10" ht="30" customHeight="1" x14ac:dyDescent="0.2">
      <c r="A160" s="1834"/>
      <c r="B160" s="1833" t="s">
        <v>3869</v>
      </c>
      <c r="C160" s="1838" t="s">
        <v>3893</v>
      </c>
      <c r="D160" s="234" t="s">
        <v>3898</v>
      </c>
      <c r="E160" s="1838" t="s">
        <v>1212</v>
      </c>
      <c r="F160" s="1837">
        <v>100000000</v>
      </c>
      <c r="G160" s="1835"/>
      <c r="H160" s="1837">
        <v>118000000</v>
      </c>
      <c r="I160" s="454" t="s">
        <v>3899</v>
      </c>
      <c r="J160" s="1839"/>
    </row>
    <row r="161" spans="1:13" ht="30" customHeight="1" x14ac:dyDescent="0.2">
      <c r="A161" s="1834"/>
      <c r="B161" s="1833" t="s">
        <v>3079</v>
      </c>
      <c r="C161" s="1838"/>
      <c r="D161" s="234" t="s">
        <v>4037</v>
      </c>
      <c r="E161" s="1838" t="s">
        <v>2124</v>
      </c>
      <c r="F161" s="1837">
        <v>100000000</v>
      </c>
      <c r="G161" s="1835"/>
      <c r="H161" s="1837">
        <v>200000000</v>
      </c>
      <c r="I161" s="454" t="s">
        <v>4036</v>
      </c>
      <c r="J161" s="4469" t="s">
        <v>4035</v>
      </c>
      <c r="K161" s="4470"/>
      <c r="L161" s="4470"/>
      <c r="M161" s="4471"/>
    </row>
    <row r="162" spans="1:13" ht="30" customHeight="1" x14ac:dyDescent="0.2">
      <c r="A162" s="1834"/>
      <c r="B162" s="1985" t="s">
        <v>3229</v>
      </c>
      <c r="C162" s="1838"/>
      <c r="D162" s="234"/>
      <c r="E162" s="1838" t="s">
        <v>899</v>
      </c>
      <c r="F162" s="1986">
        <v>11000000</v>
      </c>
      <c r="G162" s="1987"/>
      <c r="H162" s="1986">
        <v>55000000</v>
      </c>
      <c r="I162" s="454"/>
      <c r="J162" s="1839"/>
    </row>
    <row r="163" spans="1:13" ht="30" customHeight="1" x14ac:dyDescent="0.2">
      <c r="A163" s="4138"/>
      <c r="B163" s="4140" t="s">
        <v>5951</v>
      </c>
      <c r="C163" s="4141" t="s">
        <v>2341</v>
      </c>
      <c r="D163" s="4150" t="s">
        <v>5953</v>
      </c>
      <c r="E163" s="4141" t="s">
        <v>4195</v>
      </c>
      <c r="F163" s="4135">
        <v>5000000</v>
      </c>
      <c r="G163" s="4142"/>
      <c r="H163" s="4135">
        <v>25000000</v>
      </c>
      <c r="I163" s="454" t="s">
        <v>5952</v>
      </c>
      <c r="J163" s="4145" t="s">
        <v>5954</v>
      </c>
    </row>
    <row r="164" spans="1:13" ht="30" customHeight="1" x14ac:dyDescent="0.2">
      <c r="A164" s="1980"/>
      <c r="B164" s="1985" t="s">
        <v>4073</v>
      </c>
      <c r="C164" s="1983" t="s">
        <v>4062</v>
      </c>
      <c r="D164" s="234" t="s">
        <v>4074</v>
      </c>
      <c r="E164" s="1983" t="s">
        <v>854</v>
      </c>
      <c r="F164" s="1982"/>
      <c r="G164" s="1981"/>
      <c r="H164" s="1982">
        <v>1700000000</v>
      </c>
      <c r="I164" s="454"/>
      <c r="J164" s="1984"/>
    </row>
    <row r="165" spans="1:13" ht="30" customHeight="1" x14ac:dyDescent="0.2">
      <c r="A165" s="4459"/>
      <c r="B165" s="4474" t="s">
        <v>4102</v>
      </c>
      <c r="C165" s="1707"/>
      <c r="D165" s="1708" t="s">
        <v>4104</v>
      </c>
      <c r="E165" s="1707" t="s">
        <v>852</v>
      </c>
      <c r="F165" s="3669">
        <v>30000000</v>
      </c>
      <c r="G165" s="3671"/>
      <c r="H165" s="3669">
        <v>43000000</v>
      </c>
      <c r="I165" s="1709" t="s">
        <v>4103</v>
      </c>
      <c r="J165" s="851" t="s">
        <v>5433</v>
      </c>
    </row>
    <row r="166" spans="1:13" ht="30" customHeight="1" x14ac:dyDescent="0.2">
      <c r="A166" s="4464"/>
      <c r="B166" s="4487"/>
      <c r="C166" s="3665"/>
      <c r="D166" s="3665" t="s">
        <v>4104</v>
      </c>
      <c r="E166" s="3665" t="s">
        <v>852</v>
      </c>
      <c r="F166" s="3667">
        <v>30000000</v>
      </c>
      <c r="G166" s="3668"/>
      <c r="H166" s="3667">
        <v>51000000</v>
      </c>
      <c r="I166" s="483" t="s">
        <v>4103</v>
      </c>
      <c r="J166" s="3663"/>
    </row>
    <row r="167" spans="1:13" ht="30" customHeight="1" x14ac:dyDescent="0.2">
      <c r="A167" s="4464"/>
      <c r="B167" s="4487"/>
      <c r="C167" s="4489"/>
      <c r="D167" s="4489"/>
      <c r="E167" s="4489" t="s">
        <v>852</v>
      </c>
      <c r="F167" s="3669">
        <v>17000000</v>
      </c>
      <c r="G167" s="3671"/>
      <c r="H167" s="3669">
        <v>28000000</v>
      </c>
      <c r="I167" s="4482"/>
      <c r="J167" s="3731" t="s">
        <v>4616</v>
      </c>
    </row>
    <row r="168" spans="1:13" ht="30" customHeight="1" x14ac:dyDescent="0.2">
      <c r="A168" s="4464"/>
      <c r="B168" s="4487"/>
      <c r="C168" s="4490"/>
      <c r="D168" s="4490"/>
      <c r="E168" s="4490"/>
      <c r="F168" s="3669">
        <v>3000000</v>
      </c>
      <c r="G168" s="3671"/>
      <c r="H168" s="3669">
        <v>5000000</v>
      </c>
      <c r="I168" s="4483"/>
      <c r="J168" s="4485" t="s">
        <v>4617</v>
      </c>
    </row>
    <row r="169" spans="1:13" ht="30" customHeight="1" x14ac:dyDescent="0.2">
      <c r="A169" s="4464"/>
      <c r="B169" s="4487"/>
      <c r="C169" s="4491"/>
      <c r="D169" s="4491"/>
      <c r="E169" s="4491"/>
      <c r="F169" s="3669">
        <v>5000000</v>
      </c>
      <c r="G169" s="3671"/>
      <c r="H169" s="3669">
        <v>6500000</v>
      </c>
      <c r="I169" s="4484"/>
      <c r="J169" s="4486"/>
    </row>
    <row r="170" spans="1:13" ht="30" customHeight="1" x14ac:dyDescent="0.2">
      <c r="A170" s="4460"/>
      <c r="B170" s="4475"/>
      <c r="C170" s="3665"/>
      <c r="D170" s="3665" t="s">
        <v>5434</v>
      </c>
      <c r="E170" s="3665" t="s">
        <v>852</v>
      </c>
      <c r="F170" s="3667">
        <v>20000000</v>
      </c>
      <c r="G170" s="3668"/>
      <c r="H170" s="3667">
        <v>35000000</v>
      </c>
      <c r="I170" s="483" t="s">
        <v>5432</v>
      </c>
      <c r="J170" s="3933" t="s">
        <v>5674</v>
      </c>
    </row>
    <row r="171" spans="1:13" ht="30" customHeight="1" x14ac:dyDescent="0.2">
      <c r="A171" s="1980"/>
      <c r="B171" s="1985" t="s">
        <v>839</v>
      </c>
      <c r="C171" s="1983"/>
      <c r="D171" s="234" t="s">
        <v>4106</v>
      </c>
      <c r="E171" s="1983" t="s">
        <v>1525</v>
      </c>
      <c r="F171" s="1982">
        <v>200000000</v>
      </c>
      <c r="G171" s="1981"/>
      <c r="H171" s="1982">
        <v>272000000</v>
      </c>
      <c r="I171" s="24" t="s">
        <v>4105</v>
      </c>
      <c r="J171" s="1984"/>
    </row>
    <row r="172" spans="1:13" ht="30" customHeight="1" x14ac:dyDescent="0.2">
      <c r="A172" s="1980"/>
      <c r="B172" s="1996" t="s">
        <v>4172</v>
      </c>
      <c r="C172" s="1983"/>
      <c r="D172" s="234" t="s">
        <v>4170</v>
      </c>
      <c r="E172" s="1983"/>
      <c r="F172" s="1982">
        <v>203000000</v>
      </c>
      <c r="G172" s="1981"/>
      <c r="H172" s="1982">
        <v>280000000</v>
      </c>
      <c r="I172" s="24" t="s">
        <v>4171</v>
      </c>
      <c r="J172" s="1984"/>
    </row>
    <row r="173" spans="1:13" ht="30" customHeight="1" x14ac:dyDescent="0.2">
      <c r="A173" s="1980"/>
      <c r="B173" s="1985" t="s">
        <v>3938</v>
      </c>
      <c r="C173" s="1983" t="s">
        <v>4017</v>
      </c>
      <c r="D173" s="234" t="s">
        <v>4209</v>
      </c>
      <c r="E173" s="1983" t="s">
        <v>899</v>
      </c>
      <c r="F173" s="1982">
        <v>100000000</v>
      </c>
      <c r="G173" s="1981"/>
      <c r="H173" s="1982">
        <v>500000000</v>
      </c>
      <c r="I173" s="454"/>
      <c r="J173" s="1984"/>
    </row>
    <row r="174" spans="1:13" ht="30" customHeight="1" x14ac:dyDescent="0.2">
      <c r="A174" s="1980"/>
      <c r="B174" s="1985" t="s">
        <v>4212</v>
      </c>
      <c r="C174" s="1983"/>
      <c r="D174" s="234"/>
      <c r="E174" s="1983" t="s">
        <v>852</v>
      </c>
      <c r="F174" s="1982">
        <v>38000000</v>
      </c>
      <c r="G174" s="1981"/>
      <c r="H174" s="1982">
        <v>61000000</v>
      </c>
      <c r="I174" s="454" t="s">
        <v>4213</v>
      </c>
      <c r="J174" s="2006" t="s">
        <v>4214</v>
      </c>
    </row>
    <row r="175" spans="1:13" ht="30" customHeight="1" x14ac:dyDescent="0.2">
      <c r="A175" s="2016"/>
      <c r="B175" s="2021" t="s">
        <v>4228</v>
      </c>
      <c r="C175" s="2019" t="s">
        <v>4190</v>
      </c>
      <c r="D175" s="234" t="s">
        <v>4230</v>
      </c>
      <c r="E175" s="2019" t="s">
        <v>852</v>
      </c>
      <c r="F175" s="2018">
        <v>470000000</v>
      </c>
      <c r="G175" s="2017"/>
      <c r="H175" s="2018">
        <f>470000000+336000000</f>
        <v>806000000</v>
      </c>
      <c r="I175" s="454"/>
      <c r="J175" s="2020" t="s">
        <v>4231</v>
      </c>
    </row>
    <row r="176" spans="1:13" ht="30" customHeight="1" x14ac:dyDescent="0.2">
      <c r="A176" s="2016"/>
      <c r="B176" s="2021" t="s">
        <v>4299</v>
      </c>
      <c r="C176" s="2019" t="s">
        <v>4301</v>
      </c>
      <c r="D176" s="234" t="s">
        <v>4300</v>
      </c>
      <c r="E176" s="2019" t="s">
        <v>854</v>
      </c>
      <c r="F176" s="2018">
        <v>20000000</v>
      </c>
      <c r="G176" s="2017"/>
      <c r="H176" s="2018">
        <v>500000000</v>
      </c>
      <c r="I176" s="454" t="s">
        <v>4302</v>
      </c>
      <c r="J176" s="2020" t="s">
        <v>4304</v>
      </c>
    </row>
    <row r="177" spans="1:10" ht="30" customHeight="1" x14ac:dyDescent="0.2">
      <c r="A177" s="2016"/>
      <c r="B177" s="2021" t="s">
        <v>4305</v>
      </c>
      <c r="C177" s="2019"/>
      <c r="D177" s="234" t="s">
        <v>3109</v>
      </c>
      <c r="E177" s="2019" t="s">
        <v>854</v>
      </c>
      <c r="F177" s="2018">
        <v>10000000</v>
      </c>
      <c r="G177" s="2017"/>
      <c r="H177" s="2018">
        <v>240000000</v>
      </c>
      <c r="I177" s="454" t="s">
        <v>4306</v>
      </c>
      <c r="J177" s="2020"/>
    </row>
    <row r="178" spans="1:10" ht="30" customHeight="1" x14ac:dyDescent="0.2">
      <c r="A178" s="2016"/>
      <c r="B178" s="2528" t="s">
        <v>5446</v>
      </c>
      <c r="C178" s="2531" t="s">
        <v>5437</v>
      </c>
      <c r="D178" s="234" t="s">
        <v>5448</v>
      </c>
      <c r="E178" s="2531" t="s">
        <v>852</v>
      </c>
      <c r="F178" s="2530">
        <v>100000000</v>
      </c>
      <c r="G178" s="2529"/>
      <c r="H178" s="2530">
        <v>200000000</v>
      </c>
      <c r="I178" s="454" t="s">
        <v>5447</v>
      </c>
      <c r="J178" s="2020"/>
    </row>
    <row r="179" spans="1:10" ht="30" customHeight="1" x14ac:dyDescent="0.2">
      <c r="A179" s="2304"/>
      <c r="B179" s="2317" t="s">
        <v>4389</v>
      </c>
      <c r="C179" s="2306" t="s">
        <v>4387</v>
      </c>
      <c r="D179" s="234" t="s">
        <v>4393</v>
      </c>
      <c r="E179" s="2306" t="s">
        <v>3781</v>
      </c>
      <c r="F179" s="2308">
        <v>50000000</v>
      </c>
      <c r="G179" s="2309"/>
      <c r="H179" s="2308">
        <v>300000000</v>
      </c>
      <c r="I179" s="454" t="s">
        <v>4390</v>
      </c>
      <c r="J179" s="2322" t="s">
        <v>4391</v>
      </c>
    </row>
    <row r="180" spans="1:10" ht="30" customHeight="1" x14ac:dyDescent="0.2">
      <c r="A180" s="2304"/>
      <c r="B180" s="2317" t="s">
        <v>4394</v>
      </c>
      <c r="C180" s="2306" t="s">
        <v>4387</v>
      </c>
      <c r="D180" s="234" t="s">
        <v>4393</v>
      </c>
      <c r="E180" s="2306" t="s">
        <v>3781</v>
      </c>
      <c r="F180" s="2308">
        <v>10000000</v>
      </c>
      <c r="G180" s="2309"/>
      <c r="H180" s="2308">
        <v>130000000</v>
      </c>
      <c r="I180" s="454" t="s">
        <v>4392</v>
      </c>
      <c r="J180" s="2322"/>
    </row>
    <row r="181" spans="1:10" ht="30" customHeight="1" x14ac:dyDescent="0.2">
      <c r="A181" s="2304"/>
      <c r="B181" s="2317" t="s">
        <v>4433</v>
      </c>
      <c r="C181" s="2306"/>
      <c r="D181" s="234"/>
      <c r="E181" s="2306"/>
      <c r="F181" s="2308">
        <v>30000000</v>
      </c>
      <c r="G181" s="2309"/>
      <c r="H181" s="2308"/>
      <c r="I181" s="454"/>
      <c r="J181" s="2322"/>
    </row>
    <row r="182" spans="1:10" ht="30" customHeight="1" x14ac:dyDescent="0.2">
      <c r="A182" s="2304"/>
      <c r="B182" s="2317" t="s">
        <v>4480</v>
      </c>
      <c r="C182" s="2306"/>
      <c r="D182" s="234" t="s">
        <v>4481</v>
      </c>
      <c r="E182" s="2306" t="s">
        <v>852</v>
      </c>
      <c r="F182" s="2308">
        <v>60000000</v>
      </c>
      <c r="G182" s="2309"/>
      <c r="H182" s="2308">
        <v>100000000</v>
      </c>
      <c r="I182" s="454" t="s">
        <v>4482</v>
      </c>
      <c r="J182" s="2322"/>
    </row>
    <row r="183" spans="1:10" ht="30" customHeight="1" x14ac:dyDescent="0.2">
      <c r="A183" s="2383"/>
      <c r="B183" s="2391" t="s">
        <v>4491</v>
      </c>
      <c r="C183" s="2385" t="s">
        <v>3865</v>
      </c>
      <c r="D183" s="234" t="s">
        <v>4493</v>
      </c>
      <c r="E183" s="2385" t="s">
        <v>1212</v>
      </c>
      <c r="F183" s="2388">
        <v>100000000</v>
      </c>
      <c r="G183" s="2390"/>
      <c r="H183" s="2388">
        <v>120000000</v>
      </c>
      <c r="I183" s="454" t="s">
        <v>4492</v>
      </c>
      <c r="J183" s="2394"/>
    </row>
    <row r="184" spans="1:10" ht="30" customHeight="1" x14ac:dyDescent="0.2">
      <c r="A184" s="4459"/>
      <c r="B184" s="4457" t="s">
        <v>4500</v>
      </c>
      <c r="C184" s="401" t="s">
        <v>4501</v>
      </c>
      <c r="D184" s="2440" t="s">
        <v>2472</v>
      </c>
      <c r="E184" s="401" t="s">
        <v>852</v>
      </c>
      <c r="F184" s="896">
        <v>10000000</v>
      </c>
      <c r="G184" s="2439"/>
      <c r="H184" s="896">
        <v>17000000</v>
      </c>
      <c r="I184" s="2441"/>
      <c r="J184" s="2442" t="s">
        <v>4502</v>
      </c>
    </row>
    <row r="185" spans="1:10" ht="30" customHeight="1" x14ac:dyDescent="0.2">
      <c r="A185" s="4460"/>
      <c r="B185" s="4458"/>
      <c r="C185" s="2385" t="s">
        <v>2472</v>
      </c>
      <c r="D185" s="234" t="s">
        <v>4503</v>
      </c>
      <c r="E185" s="2385" t="s">
        <v>2308</v>
      </c>
      <c r="F185" s="2388">
        <v>17000000</v>
      </c>
      <c r="G185" s="2390"/>
      <c r="H185" s="2388">
        <v>30000000</v>
      </c>
      <c r="I185" s="454" t="s">
        <v>4504</v>
      </c>
      <c r="J185" s="2394"/>
    </row>
    <row r="186" spans="1:10" ht="30" customHeight="1" x14ac:dyDescent="0.2">
      <c r="A186" s="2383"/>
      <c r="B186" s="2391" t="s">
        <v>4510</v>
      </c>
      <c r="C186" s="4472" t="s">
        <v>4477</v>
      </c>
      <c r="D186" s="4472" t="s">
        <v>4511</v>
      </c>
      <c r="E186" s="4472" t="s">
        <v>1525</v>
      </c>
      <c r="F186" s="4413">
        <v>300000000</v>
      </c>
      <c r="G186" s="4476"/>
      <c r="H186" s="4413">
        <v>390000000</v>
      </c>
      <c r="I186" s="454" t="s">
        <v>4512</v>
      </c>
      <c r="J186" s="2394"/>
    </row>
    <row r="187" spans="1:10" ht="30" customHeight="1" x14ac:dyDescent="0.2">
      <c r="A187" s="2383"/>
      <c r="B187" s="2391"/>
      <c r="C187" s="4473"/>
      <c r="D187" s="4473"/>
      <c r="E187" s="4473"/>
      <c r="F187" s="4415"/>
      <c r="G187" s="4477"/>
      <c r="H187" s="4415"/>
      <c r="I187" s="21" t="s">
        <v>4513</v>
      </c>
      <c r="J187" s="2394"/>
    </row>
    <row r="188" spans="1:10" ht="30" customHeight="1" x14ac:dyDescent="0.2">
      <c r="A188" s="4459"/>
      <c r="B188" s="4474" t="s">
        <v>4424</v>
      </c>
      <c r="C188" s="2629"/>
      <c r="D188" s="401" t="s">
        <v>4397</v>
      </c>
      <c r="E188" s="401" t="s">
        <v>1525</v>
      </c>
      <c r="F188" s="2651">
        <v>64000000</v>
      </c>
      <c r="G188" s="2653"/>
      <c r="H188" s="2651">
        <v>84000000</v>
      </c>
      <c r="I188" s="2680" t="s">
        <v>3852</v>
      </c>
      <c r="J188" s="2442" t="s">
        <v>4656</v>
      </c>
    </row>
    <row r="189" spans="1:10" ht="30" customHeight="1" x14ac:dyDescent="0.2">
      <c r="A189" s="4460"/>
      <c r="B189" s="4475"/>
      <c r="C189" s="2454"/>
      <c r="D189" s="2454" t="s">
        <v>4536</v>
      </c>
      <c r="E189" s="2454" t="s">
        <v>852</v>
      </c>
      <c r="F189" s="2453">
        <v>34000000</v>
      </c>
      <c r="G189" s="2451"/>
      <c r="H189" s="2453">
        <v>55000000</v>
      </c>
      <c r="I189" s="21" t="s">
        <v>4535</v>
      </c>
      <c r="J189" s="2023" t="s">
        <v>4425</v>
      </c>
    </row>
    <row r="190" spans="1:10" ht="30" customHeight="1" x14ac:dyDescent="0.2">
      <c r="A190" s="2450"/>
      <c r="B190" s="2456" t="s">
        <v>4576</v>
      </c>
      <c r="C190" s="2454" t="s">
        <v>3440</v>
      </c>
      <c r="D190" s="2454" t="s">
        <v>4577</v>
      </c>
      <c r="E190" s="2454" t="s">
        <v>899</v>
      </c>
      <c r="F190" s="2453">
        <v>50000000</v>
      </c>
      <c r="G190" s="2451"/>
      <c r="H190" s="2453">
        <v>250000000</v>
      </c>
      <c r="I190" s="21" t="s">
        <v>4561</v>
      </c>
      <c r="J190" s="2455"/>
    </row>
    <row r="191" spans="1:10" ht="30" customHeight="1" x14ac:dyDescent="0.2">
      <c r="A191" s="4459"/>
      <c r="B191" s="4474" t="s">
        <v>1304</v>
      </c>
      <c r="C191" s="2454"/>
      <c r="D191" s="4081" t="s">
        <v>4861</v>
      </c>
      <c r="E191" s="4081" t="s">
        <v>852</v>
      </c>
      <c r="F191" s="4082">
        <v>900000000</v>
      </c>
      <c r="G191" s="4083"/>
      <c r="H191" s="4082">
        <v>1770000000</v>
      </c>
      <c r="I191" s="438" t="s">
        <v>4594</v>
      </c>
      <c r="J191" s="2023" t="s">
        <v>4860</v>
      </c>
    </row>
    <row r="192" spans="1:10" ht="30" customHeight="1" x14ac:dyDescent="0.2">
      <c r="A192" s="4464"/>
      <c r="B192" s="4487"/>
      <c r="C192" s="4509" t="s">
        <v>4837</v>
      </c>
      <c r="D192" s="4510"/>
      <c r="E192" s="4510"/>
      <c r="F192" s="4510"/>
      <c r="G192" s="4510"/>
      <c r="H192" s="4510"/>
      <c r="I192" s="4511"/>
      <c r="J192" s="2557"/>
    </row>
    <row r="193" spans="1:10" ht="30" customHeight="1" x14ac:dyDescent="0.2">
      <c r="A193" s="4464"/>
      <c r="B193" s="4487"/>
      <c r="C193" s="4509" t="s">
        <v>4836</v>
      </c>
      <c r="D193" s="4510"/>
      <c r="E193" s="4510"/>
      <c r="F193" s="4510"/>
      <c r="G193" s="4510"/>
      <c r="H193" s="4510"/>
      <c r="I193" s="4511"/>
      <c r="J193" s="2557"/>
    </row>
    <row r="194" spans="1:10" ht="30" customHeight="1" x14ac:dyDescent="0.2">
      <c r="A194" s="4464"/>
      <c r="B194" s="4487"/>
      <c r="C194" s="4509" t="s">
        <v>4838</v>
      </c>
      <c r="D194" s="4510"/>
      <c r="E194" s="4510"/>
      <c r="F194" s="4510"/>
      <c r="G194" s="4510"/>
      <c r="H194" s="4510"/>
      <c r="I194" s="4511"/>
      <c r="J194" s="2557"/>
    </row>
    <row r="195" spans="1:10" ht="30" customHeight="1" x14ac:dyDescent="0.2">
      <c r="A195" s="4460"/>
      <c r="B195" s="4475"/>
      <c r="C195" s="4509" t="s">
        <v>4839</v>
      </c>
      <c r="D195" s="4510"/>
      <c r="E195" s="4510"/>
      <c r="F195" s="4510"/>
      <c r="G195" s="4510"/>
      <c r="H195" s="4510"/>
      <c r="I195" s="4511"/>
      <c r="J195" s="2557"/>
    </row>
    <row r="196" spans="1:10" ht="30" customHeight="1" x14ac:dyDescent="0.2">
      <c r="A196" s="4459"/>
      <c r="B196" s="4517" t="s">
        <v>1304</v>
      </c>
      <c r="C196" s="4105"/>
      <c r="D196" s="4081" t="s">
        <v>5893</v>
      </c>
      <c r="E196" s="4081" t="s">
        <v>852</v>
      </c>
      <c r="F196" s="4082">
        <v>580000000</v>
      </c>
      <c r="G196" s="4083"/>
      <c r="H196" s="4082">
        <v>1300000000</v>
      </c>
      <c r="I196" s="438" t="s">
        <v>5894</v>
      </c>
      <c r="J196" s="2557" t="s">
        <v>5892</v>
      </c>
    </row>
    <row r="197" spans="1:10" ht="30" customHeight="1" x14ac:dyDescent="0.2">
      <c r="A197" s="4464"/>
      <c r="B197" s="4517"/>
      <c r="C197" s="4509" t="s">
        <v>5888</v>
      </c>
      <c r="D197" s="4510"/>
      <c r="E197" s="4510"/>
      <c r="F197" s="4510"/>
      <c r="G197" s="4510"/>
      <c r="H197" s="4510"/>
      <c r="I197" s="4511"/>
      <c r="J197" s="2557" t="s">
        <v>5280</v>
      </c>
    </row>
    <row r="198" spans="1:10" ht="30" customHeight="1" x14ac:dyDescent="0.2">
      <c r="A198" s="4464"/>
      <c r="B198" s="4517"/>
      <c r="C198" s="4509" t="s">
        <v>5889</v>
      </c>
      <c r="D198" s="4510"/>
      <c r="E198" s="4510"/>
      <c r="F198" s="4510"/>
      <c r="G198" s="4510"/>
      <c r="H198" s="4510"/>
      <c r="I198" s="4511"/>
      <c r="J198" s="2557"/>
    </row>
    <row r="199" spans="1:10" ht="30" customHeight="1" x14ac:dyDescent="0.2">
      <c r="A199" s="4464"/>
      <c r="B199" s="4517"/>
      <c r="C199" s="4509" t="s">
        <v>5890</v>
      </c>
      <c r="D199" s="4510"/>
      <c r="E199" s="4510"/>
      <c r="F199" s="4510"/>
      <c r="G199" s="4510"/>
      <c r="H199" s="4510"/>
      <c r="I199" s="4511"/>
      <c r="J199" s="2557"/>
    </row>
    <row r="200" spans="1:10" ht="30" customHeight="1" x14ac:dyDescent="0.2">
      <c r="A200" s="4460"/>
      <c r="B200" s="4517"/>
      <c r="C200" s="4509" t="s">
        <v>5891</v>
      </c>
      <c r="D200" s="4510"/>
      <c r="E200" s="4510"/>
      <c r="F200" s="4510"/>
      <c r="G200" s="4510"/>
      <c r="H200" s="4510"/>
      <c r="I200" s="4511"/>
      <c r="J200" s="2557"/>
    </row>
    <row r="201" spans="1:10" ht="30" customHeight="1" x14ac:dyDescent="0.2">
      <c r="A201" s="4459"/>
      <c r="B201" s="2532" t="s">
        <v>4612</v>
      </c>
      <c r="C201" s="4472"/>
      <c r="D201" s="4472" t="s">
        <v>4614</v>
      </c>
      <c r="E201" s="4472" t="s">
        <v>2596</v>
      </c>
      <c r="F201" s="4413">
        <v>83000000</v>
      </c>
      <c r="G201" s="4476"/>
      <c r="H201" s="4413">
        <v>100000000</v>
      </c>
      <c r="I201" s="4478"/>
      <c r="J201" s="4480" t="s">
        <v>4615</v>
      </c>
    </row>
    <row r="202" spans="1:10" ht="30" customHeight="1" x14ac:dyDescent="0.2">
      <c r="A202" s="4460"/>
      <c r="B202" s="2532" t="s">
        <v>4613</v>
      </c>
      <c r="C202" s="4473"/>
      <c r="D202" s="4473"/>
      <c r="E202" s="4473"/>
      <c r="F202" s="4415"/>
      <c r="G202" s="4477"/>
      <c r="H202" s="4415"/>
      <c r="I202" s="4479"/>
      <c r="J202" s="4481"/>
    </row>
    <row r="203" spans="1:10" ht="30" customHeight="1" x14ac:dyDescent="0.2">
      <c r="A203" s="4459"/>
      <c r="B203" s="4474" t="s">
        <v>119</v>
      </c>
      <c r="C203" s="4472"/>
      <c r="D203" s="4472"/>
      <c r="E203" s="4472" t="s">
        <v>852</v>
      </c>
      <c r="F203" s="4413">
        <v>370000000</v>
      </c>
      <c r="G203" s="4476"/>
      <c r="H203" s="4413">
        <v>681000000</v>
      </c>
      <c r="I203" s="4478"/>
      <c r="J203" s="2557" t="s">
        <v>4618</v>
      </c>
    </row>
    <row r="204" spans="1:10" ht="30" customHeight="1" x14ac:dyDescent="0.2">
      <c r="A204" s="4460"/>
      <c r="B204" s="4475"/>
      <c r="C204" s="4473"/>
      <c r="D204" s="4473"/>
      <c r="E204" s="4473"/>
      <c r="F204" s="4415"/>
      <c r="G204" s="4477"/>
      <c r="H204" s="4415"/>
      <c r="I204" s="4479"/>
      <c r="J204" s="2023" t="s">
        <v>4619</v>
      </c>
    </row>
    <row r="205" spans="1:10" ht="30" customHeight="1" x14ac:dyDescent="0.2">
      <c r="A205" s="2527"/>
      <c r="B205" s="2532" t="s">
        <v>4620</v>
      </c>
      <c r="C205" s="2531"/>
      <c r="D205" s="2531"/>
      <c r="E205" s="2531" t="s">
        <v>852</v>
      </c>
      <c r="F205" s="2530">
        <v>100000000</v>
      </c>
      <c r="G205" s="2529"/>
      <c r="H205" s="2530">
        <v>185000000</v>
      </c>
      <c r="I205" s="21"/>
      <c r="J205" s="2023"/>
    </row>
    <row r="206" spans="1:10" ht="30" customHeight="1" x14ac:dyDescent="0.2">
      <c r="A206" s="2569"/>
      <c r="B206" s="2570" t="s">
        <v>4623</v>
      </c>
      <c r="C206" s="2568" t="s">
        <v>4621</v>
      </c>
      <c r="D206" s="2568" t="s">
        <v>3631</v>
      </c>
      <c r="E206" s="2568" t="s">
        <v>899</v>
      </c>
      <c r="F206" s="2571">
        <v>5000000</v>
      </c>
      <c r="G206" s="2572"/>
      <c r="H206" s="2571">
        <v>15000000</v>
      </c>
      <c r="I206" s="21"/>
      <c r="J206" s="2023"/>
    </row>
    <row r="207" spans="1:10" ht="30" customHeight="1" x14ac:dyDescent="0.2">
      <c r="A207" s="2569"/>
      <c r="B207" s="2570" t="s">
        <v>4631</v>
      </c>
      <c r="C207" s="2568"/>
      <c r="D207" s="2568" t="s">
        <v>4632</v>
      </c>
      <c r="E207" s="2568" t="s">
        <v>899</v>
      </c>
      <c r="F207" s="2571">
        <v>5000000</v>
      </c>
      <c r="G207" s="2572"/>
      <c r="H207" s="2571">
        <v>15000000</v>
      </c>
      <c r="I207" s="21"/>
      <c r="J207" s="2023"/>
    </row>
    <row r="208" spans="1:10" ht="30" customHeight="1" x14ac:dyDescent="0.2">
      <c r="A208" s="4459"/>
      <c r="B208" s="4474" t="s">
        <v>1830</v>
      </c>
      <c r="C208" s="4515"/>
      <c r="D208" s="4472" t="s">
        <v>3081</v>
      </c>
      <c r="E208" s="4472"/>
      <c r="F208" s="4413">
        <v>20000000</v>
      </c>
      <c r="G208" s="4476"/>
      <c r="H208" s="4413">
        <v>38000000</v>
      </c>
      <c r="I208" s="4478" t="s">
        <v>4648</v>
      </c>
      <c r="J208" s="2605" t="s">
        <v>4645</v>
      </c>
    </row>
    <row r="209" spans="1:10" ht="30" customHeight="1" x14ac:dyDescent="0.2">
      <c r="A209" s="4464"/>
      <c r="B209" s="4487"/>
      <c r="C209" s="4515"/>
      <c r="D209" s="4473"/>
      <c r="E209" s="4473"/>
      <c r="F209" s="4415"/>
      <c r="G209" s="4477"/>
      <c r="H209" s="4415"/>
      <c r="I209" s="4479"/>
      <c r="J209" s="2023" t="s">
        <v>4644</v>
      </c>
    </row>
    <row r="210" spans="1:10" ht="30" customHeight="1" x14ac:dyDescent="0.2">
      <c r="A210" s="4460"/>
      <c r="B210" s="4475"/>
      <c r="C210" s="3921" t="s">
        <v>5343</v>
      </c>
      <c r="D210" s="3921"/>
      <c r="E210" s="3921" t="s">
        <v>3359</v>
      </c>
      <c r="F210" s="3920">
        <v>20000000</v>
      </c>
      <c r="G210" s="3922"/>
      <c r="H210" s="3920"/>
      <c r="I210" s="3934"/>
      <c r="J210" s="3932" t="s">
        <v>5673</v>
      </c>
    </row>
    <row r="211" spans="1:10" ht="30" customHeight="1" x14ac:dyDescent="0.2">
      <c r="A211" s="2631"/>
      <c r="B211" s="2630" t="s">
        <v>4680</v>
      </c>
      <c r="C211" s="2629"/>
      <c r="D211" s="2629"/>
      <c r="E211" s="2629"/>
      <c r="F211" s="2627">
        <v>1100000000</v>
      </c>
      <c r="G211" s="2628"/>
      <c r="H211" s="2627">
        <v>1600000000</v>
      </c>
      <c r="I211" s="21"/>
      <c r="J211" s="2024" t="s">
        <v>3166</v>
      </c>
    </row>
    <row r="212" spans="1:10" ht="30" customHeight="1" x14ac:dyDescent="0.2">
      <c r="A212" s="2631"/>
      <c r="B212" s="2630" t="s">
        <v>4761</v>
      </c>
      <c r="C212" s="2629"/>
      <c r="D212" s="2629" t="s">
        <v>4170</v>
      </c>
      <c r="E212" s="2629"/>
      <c r="F212" s="2627">
        <v>125000000</v>
      </c>
      <c r="G212" s="2628"/>
      <c r="H212" s="2627">
        <v>407000000</v>
      </c>
      <c r="I212" s="24" t="s">
        <v>4760</v>
      </c>
      <c r="J212" s="2023" t="s">
        <v>4759</v>
      </c>
    </row>
    <row r="213" spans="1:10" ht="30" customHeight="1" x14ac:dyDescent="0.2">
      <c r="A213" s="2631"/>
      <c r="B213" s="2630" t="s">
        <v>4888</v>
      </c>
      <c r="C213" s="2629"/>
      <c r="D213" s="2629" t="s">
        <v>4889</v>
      </c>
      <c r="E213" s="2629"/>
      <c r="F213" s="2627">
        <v>100000000</v>
      </c>
      <c r="G213" s="2628"/>
      <c r="H213" s="2627">
        <v>175000000</v>
      </c>
      <c r="I213" s="21" t="s">
        <v>4890</v>
      </c>
      <c r="J213" s="2023" t="s">
        <v>4891</v>
      </c>
    </row>
    <row r="214" spans="1:10" ht="30" customHeight="1" x14ac:dyDescent="0.2">
      <c r="A214" s="2631"/>
      <c r="B214" s="2630" t="s">
        <v>3080</v>
      </c>
      <c r="C214" s="2629" t="s">
        <v>4876</v>
      </c>
      <c r="D214" s="2980" t="s">
        <v>4912</v>
      </c>
      <c r="E214" s="2629" t="s">
        <v>2831</v>
      </c>
      <c r="F214" s="2627">
        <v>11000000</v>
      </c>
      <c r="G214" s="2628"/>
      <c r="H214" s="2627">
        <v>15000000</v>
      </c>
      <c r="I214" s="21" t="s">
        <v>4911</v>
      </c>
      <c r="J214" s="2023"/>
    </row>
    <row r="215" spans="1:10" ht="30" customHeight="1" x14ac:dyDescent="0.2">
      <c r="A215" s="2631"/>
      <c r="B215" s="2630" t="s">
        <v>4913</v>
      </c>
      <c r="C215" s="2629" t="s">
        <v>4893</v>
      </c>
      <c r="D215" s="2629" t="s">
        <v>4914</v>
      </c>
      <c r="E215" s="2629" t="s">
        <v>899</v>
      </c>
      <c r="F215" s="2627">
        <v>10000000</v>
      </c>
      <c r="G215" s="2628"/>
      <c r="H215" s="2627">
        <v>50000000</v>
      </c>
      <c r="I215" s="21" t="s">
        <v>4915</v>
      </c>
      <c r="J215" s="2023"/>
    </row>
    <row r="216" spans="1:10" ht="30" customHeight="1" x14ac:dyDescent="0.2">
      <c r="A216" s="2631"/>
      <c r="B216" s="2630" t="s">
        <v>4919</v>
      </c>
      <c r="C216" s="2629" t="s">
        <v>4922</v>
      </c>
      <c r="D216" s="2629" t="s">
        <v>4921</v>
      </c>
      <c r="E216" s="2629" t="s">
        <v>1525</v>
      </c>
      <c r="F216" s="2627">
        <v>50000000</v>
      </c>
      <c r="G216" s="2628"/>
      <c r="H216" s="2627">
        <v>71000000</v>
      </c>
      <c r="I216" s="21" t="s">
        <v>4920</v>
      </c>
      <c r="J216" s="2023" t="s">
        <v>4923</v>
      </c>
    </row>
    <row r="217" spans="1:10" ht="30" customHeight="1" x14ac:dyDescent="0.2">
      <c r="A217" s="2631"/>
      <c r="B217" s="2630" t="s">
        <v>4949</v>
      </c>
      <c r="C217" s="2629" t="s">
        <v>4848</v>
      </c>
      <c r="D217" s="2629" t="s">
        <v>4950</v>
      </c>
      <c r="E217" s="2629"/>
      <c r="F217" s="2627">
        <v>17000000</v>
      </c>
      <c r="G217" s="2628"/>
      <c r="H217" s="2627">
        <v>410000000</v>
      </c>
      <c r="I217" s="21" t="s">
        <v>4951</v>
      </c>
      <c r="J217" s="2023"/>
    </row>
    <row r="218" spans="1:10" ht="30" customHeight="1" x14ac:dyDescent="0.2">
      <c r="A218" s="2631"/>
      <c r="B218" s="2630" t="s">
        <v>5029</v>
      </c>
      <c r="C218" s="2629"/>
      <c r="D218" s="2629" t="s">
        <v>5028</v>
      </c>
      <c r="E218" s="2629" t="s">
        <v>5027</v>
      </c>
      <c r="F218" s="2627">
        <v>40000000</v>
      </c>
      <c r="G218" s="2628"/>
      <c r="H218" s="2627">
        <v>200000000</v>
      </c>
      <c r="I218" s="21" t="s">
        <v>5026</v>
      </c>
      <c r="J218" s="2023" t="s">
        <v>5030</v>
      </c>
    </row>
    <row r="219" spans="1:10" ht="30" customHeight="1" x14ac:dyDescent="0.2">
      <c r="A219" s="3103"/>
      <c r="B219" s="3101" t="s">
        <v>5033</v>
      </c>
      <c r="C219" s="3100"/>
      <c r="D219" s="3100" t="s">
        <v>4170</v>
      </c>
      <c r="E219" s="3100"/>
      <c r="F219" s="3105">
        <v>203000000</v>
      </c>
      <c r="G219" s="3106"/>
      <c r="H219" s="3105">
        <v>280000000</v>
      </c>
      <c r="I219" s="3127"/>
      <c r="J219" s="2023"/>
    </row>
    <row r="220" spans="1:10" ht="30" customHeight="1" x14ac:dyDescent="0.2">
      <c r="A220" s="3103"/>
      <c r="B220" s="3101" t="s">
        <v>4039</v>
      </c>
      <c r="C220" s="3100"/>
      <c r="D220" s="3100" t="s">
        <v>5130</v>
      </c>
      <c r="E220" s="3188" t="s">
        <v>5027</v>
      </c>
      <c r="F220" s="3191">
        <v>104000000</v>
      </c>
      <c r="G220" s="3106"/>
      <c r="H220" s="3105">
        <v>520000000</v>
      </c>
      <c r="I220" s="3127" t="s">
        <v>5129</v>
      </c>
      <c r="J220" s="2023"/>
    </row>
    <row r="221" spans="1:10" ht="30" customHeight="1" x14ac:dyDescent="0.2">
      <c r="A221" s="3103"/>
      <c r="B221" s="3101" t="s">
        <v>5201</v>
      </c>
      <c r="C221" s="3100"/>
      <c r="D221" s="3100" t="s">
        <v>5203</v>
      </c>
      <c r="E221" s="3100" t="s">
        <v>1525</v>
      </c>
      <c r="F221" s="3105">
        <v>80000000</v>
      </c>
      <c r="G221" s="3106"/>
      <c r="H221" s="3105">
        <v>100000000</v>
      </c>
      <c r="I221" s="3127" t="s">
        <v>5202</v>
      </c>
      <c r="J221" s="2023" t="s">
        <v>5197</v>
      </c>
    </row>
    <row r="222" spans="1:10" ht="30" customHeight="1" x14ac:dyDescent="0.2">
      <c r="A222" s="4459"/>
      <c r="B222" s="4467" t="s">
        <v>5220</v>
      </c>
      <c r="C222" s="4472" t="s">
        <v>5176</v>
      </c>
      <c r="D222" s="4472" t="s">
        <v>5411</v>
      </c>
      <c r="E222" s="3100" t="s">
        <v>854</v>
      </c>
      <c r="F222" s="3105">
        <v>3000000</v>
      </c>
      <c r="G222" s="4476"/>
      <c r="H222" s="4413">
        <v>125000000</v>
      </c>
      <c r="I222" s="4478" t="s">
        <v>5412</v>
      </c>
      <c r="J222" s="2023" t="s">
        <v>5687</v>
      </c>
    </row>
    <row r="223" spans="1:10" ht="30" customHeight="1" x14ac:dyDescent="0.2">
      <c r="A223" s="4460"/>
      <c r="B223" s="4468"/>
      <c r="C223" s="4473"/>
      <c r="D223" s="4473"/>
      <c r="E223" s="3660" t="s">
        <v>854</v>
      </c>
      <c r="F223" s="3659">
        <v>2000000</v>
      </c>
      <c r="G223" s="4477"/>
      <c r="H223" s="4415"/>
      <c r="I223" s="4479"/>
      <c r="J223" s="3686" t="s">
        <v>5688</v>
      </c>
    </row>
    <row r="224" spans="1:10" ht="30" customHeight="1" x14ac:dyDescent="0.2">
      <c r="A224" s="4459"/>
      <c r="B224" s="4474" t="s">
        <v>5686</v>
      </c>
      <c r="C224" s="4472"/>
      <c r="D224" s="4472"/>
      <c r="E224" s="4472" t="s">
        <v>852</v>
      </c>
      <c r="F224" s="4413">
        <v>70000000</v>
      </c>
      <c r="G224" s="4476"/>
      <c r="H224" s="4413"/>
      <c r="I224" s="4478"/>
      <c r="J224" s="3950" t="s">
        <v>5689</v>
      </c>
    </row>
    <row r="225" spans="1:10" ht="30" customHeight="1" x14ac:dyDescent="0.2">
      <c r="A225" s="4464"/>
      <c r="B225" s="4487"/>
      <c r="C225" s="4521"/>
      <c r="D225" s="4521"/>
      <c r="E225" s="4521"/>
      <c r="F225" s="4414"/>
      <c r="G225" s="4516"/>
      <c r="H225" s="4414"/>
      <c r="I225" s="4520"/>
      <c r="J225" s="3947" t="s">
        <v>5690</v>
      </c>
    </row>
    <row r="226" spans="1:10" ht="30" customHeight="1" x14ac:dyDescent="0.2">
      <c r="A226" s="4460"/>
      <c r="B226" s="4475"/>
      <c r="C226" s="4473"/>
      <c r="D226" s="4473"/>
      <c r="E226" s="4473"/>
      <c r="F226" s="4415"/>
      <c r="G226" s="4477"/>
      <c r="H226" s="4415"/>
      <c r="I226" s="4479"/>
      <c r="J226" s="3947" t="s">
        <v>5691</v>
      </c>
    </row>
    <row r="227" spans="1:10" ht="30" customHeight="1" x14ac:dyDescent="0.2">
      <c r="A227" s="3103"/>
      <c r="B227" s="3101" t="s">
        <v>839</v>
      </c>
      <c r="C227" s="3100" t="s">
        <v>3893</v>
      </c>
      <c r="D227" s="3100"/>
      <c r="E227" s="3100" t="s">
        <v>1525</v>
      </c>
      <c r="F227" s="3105">
        <v>200000000</v>
      </c>
      <c r="G227" s="3106"/>
      <c r="H227" s="3105"/>
      <c r="I227" s="3127"/>
      <c r="J227" s="2023"/>
    </row>
    <row r="228" spans="1:10" ht="30" customHeight="1" x14ac:dyDescent="0.2">
      <c r="A228" s="3601"/>
      <c r="B228" s="3600" t="s">
        <v>3459</v>
      </c>
      <c r="C228" s="3603"/>
      <c r="D228" s="3603"/>
      <c r="E228" s="3603"/>
      <c r="F228" s="3599">
        <v>100000000</v>
      </c>
      <c r="G228" s="3602"/>
      <c r="H228" s="3599"/>
      <c r="I228" s="3619"/>
      <c r="J228" s="3616" t="s">
        <v>5044</v>
      </c>
    </row>
    <row r="229" spans="1:10" ht="30" customHeight="1" x14ac:dyDescent="0.2">
      <c r="A229" s="3601"/>
      <c r="B229" s="3600" t="s">
        <v>5457</v>
      </c>
      <c r="C229" s="3603" t="s">
        <v>5437</v>
      </c>
      <c r="D229" s="3603" t="s">
        <v>5458</v>
      </c>
      <c r="E229" s="3603" t="s">
        <v>899</v>
      </c>
      <c r="F229" s="3599">
        <v>300000000</v>
      </c>
      <c r="G229" s="3602"/>
      <c r="H229" s="3599">
        <v>1600000000</v>
      </c>
      <c r="I229" s="3619" t="s">
        <v>5459</v>
      </c>
      <c r="J229" s="3618"/>
    </row>
    <row r="230" spans="1:10" ht="30" customHeight="1" x14ac:dyDescent="0.2">
      <c r="A230" s="3601"/>
      <c r="B230" s="3600" t="s">
        <v>1753</v>
      </c>
      <c r="C230" s="3603"/>
      <c r="D230" s="3603" t="s">
        <v>5491</v>
      </c>
      <c r="E230" s="3603" t="s">
        <v>899</v>
      </c>
      <c r="F230" s="3599">
        <v>20000000</v>
      </c>
      <c r="G230" s="3602"/>
      <c r="H230" s="3599">
        <v>100000000</v>
      </c>
      <c r="I230" s="3619" t="s">
        <v>5492</v>
      </c>
      <c r="J230" s="3618"/>
    </row>
    <row r="231" spans="1:10" ht="30" customHeight="1" x14ac:dyDescent="0.2">
      <c r="A231" s="3601"/>
      <c r="B231" s="3600" t="s">
        <v>5493</v>
      </c>
      <c r="C231" s="3603"/>
      <c r="D231" s="3603" t="s">
        <v>5495</v>
      </c>
      <c r="E231" s="3603" t="s">
        <v>899</v>
      </c>
      <c r="F231" s="3599">
        <v>100000000</v>
      </c>
      <c r="G231" s="3602"/>
      <c r="H231" s="3599">
        <v>500000000</v>
      </c>
      <c r="I231" s="3619" t="s">
        <v>5494</v>
      </c>
      <c r="J231" s="3618" t="s">
        <v>5496</v>
      </c>
    </row>
    <row r="232" spans="1:10" ht="30" customHeight="1" x14ac:dyDescent="0.2">
      <c r="A232" s="3784"/>
      <c r="B232" s="3781" t="s">
        <v>5538</v>
      </c>
      <c r="C232" s="3788" t="s">
        <v>3978</v>
      </c>
      <c r="D232" s="3788" t="s">
        <v>5540</v>
      </c>
      <c r="E232" s="3788" t="s">
        <v>3781</v>
      </c>
      <c r="F232" s="3778">
        <v>18500000</v>
      </c>
      <c r="G232" s="3787"/>
      <c r="H232" s="3778">
        <v>55000000</v>
      </c>
      <c r="I232" s="3838" t="s">
        <v>5539</v>
      </c>
      <c r="J232" s="3840" t="s">
        <v>5536</v>
      </c>
    </row>
    <row r="233" spans="1:10" ht="30" customHeight="1" x14ac:dyDescent="0.2">
      <c r="A233" s="3784"/>
      <c r="B233" s="3781" t="s">
        <v>5575</v>
      </c>
      <c r="C233" s="3788"/>
      <c r="D233" s="3788" t="s">
        <v>5577</v>
      </c>
      <c r="E233" s="3788" t="s">
        <v>5576</v>
      </c>
      <c r="F233" s="3778">
        <v>55000000</v>
      </c>
      <c r="G233" s="3787"/>
      <c r="H233" s="3778">
        <v>110000000</v>
      </c>
      <c r="I233" s="3838" t="s">
        <v>5578</v>
      </c>
      <c r="J233" s="3840"/>
    </row>
    <row r="234" spans="1:10" ht="30" customHeight="1" x14ac:dyDescent="0.2">
      <c r="A234" s="3784"/>
      <c r="B234" s="3781"/>
      <c r="C234" s="3788"/>
      <c r="D234" s="3788"/>
      <c r="E234" s="3788"/>
      <c r="F234" s="3778"/>
      <c r="G234" s="3787"/>
      <c r="H234" s="3778"/>
      <c r="I234" s="3838"/>
      <c r="J234" s="3932"/>
    </row>
    <row r="235" spans="1:10" ht="30" customHeight="1" x14ac:dyDescent="0.2">
      <c r="A235" s="3784"/>
      <c r="B235" s="3781" t="s">
        <v>5733</v>
      </c>
      <c r="C235" s="3788"/>
      <c r="D235" s="3788" t="s">
        <v>5729</v>
      </c>
      <c r="E235" s="3788" t="s">
        <v>5727</v>
      </c>
      <c r="F235" s="3778">
        <v>10000000</v>
      </c>
      <c r="G235" s="3787"/>
      <c r="H235" s="3778">
        <v>30000000</v>
      </c>
      <c r="I235" s="3838" t="s">
        <v>5728</v>
      </c>
      <c r="J235" s="3995" t="s">
        <v>5731</v>
      </c>
    </row>
    <row r="236" spans="1:10" ht="30" customHeight="1" x14ac:dyDescent="0.2">
      <c r="A236" s="4001"/>
      <c r="B236" s="4000" t="s">
        <v>5776</v>
      </c>
      <c r="C236" s="4002"/>
      <c r="D236" s="4002" t="s">
        <v>5080</v>
      </c>
      <c r="E236" s="4002" t="s">
        <v>852</v>
      </c>
      <c r="F236" s="3999">
        <v>100000000</v>
      </c>
      <c r="G236" s="4004"/>
      <c r="H236" s="3999">
        <v>160000000</v>
      </c>
      <c r="I236" s="4028" t="s">
        <v>5775</v>
      </c>
      <c r="J236" s="4030" t="s">
        <v>5777</v>
      </c>
    </row>
    <row r="237" spans="1:10" ht="30" customHeight="1" x14ac:dyDescent="0.2">
      <c r="A237" s="4001"/>
      <c r="B237" s="4000" t="s">
        <v>5779</v>
      </c>
      <c r="C237" s="4002"/>
      <c r="D237" s="4002" t="s">
        <v>5350</v>
      </c>
      <c r="E237" s="4002" t="s">
        <v>899</v>
      </c>
      <c r="F237" s="3999">
        <v>25000000</v>
      </c>
      <c r="G237" s="4004"/>
      <c r="H237" s="3999">
        <v>125000000</v>
      </c>
      <c r="I237" s="4028" t="s">
        <v>5778</v>
      </c>
      <c r="J237" s="4030"/>
    </row>
    <row r="238" spans="1:10" ht="30" customHeight="1" x14ac:dyDescent="0.2">
      <c r="A238" s="4001"/>
      <c r="B238" s="4005" t="s">
        <v>702</v>
      </c>
      <c r="C238" s="4006"/>
      <c r="D238" s="4006" t="s">
        <v>5828</v>
      </c>
      <c r="E238" s="4006" t="s">
        <v>852</v>
      </c>
      <c r="F238" s="4008">
        <v>87100000</v>
      </c>
      <c r="G238" s="4009"/>
      <c r="H238" s="4008">
        <v>150000000</v>
      </c>
      <c r="I238" s="56" t="s">
        <v>5830</v>
      </c>
      <c r="J238" s="2026" t="s">
        <v>5847</v>
      </c>
    </row>
    <row r="239" spans="1:10" ht="30" customHeight="1" x14ac:dyDescent="0.2">
      <c r="A239" s="4001"/>
      <c r="B239" s="4044" t="s">
        <v>5784</v>
      </c>
      <c r="C239" s="4045"/>
      <c r="D239" s="4045" t="s">
        <v>5785</v>
      </c>
      <c r="E239" s="4045" t="s">
        <v>854</v>
      </c>
      <c r="F239" s="3636">
        <v>10000000</v>
      </c>
      <c r="G239" s="4046"/>
      <c r="H239" s="3636">
        <v>2400000000</v>
      </c>
      <c r="I239" s="3637" t="s">
        <v>5786</v>
      </c>
      <c r="J239" s="4047" t="s">
        <v>5789</v>
      </c>
    </row>
    <row r="240" spans="1:10" ht="30" customHeight="1" x14ac:dyDescent="0.2">
      <c r="A240" s="4001"/>
      <c r="B240" s="4044" t="s">
        <v>5809</v>
      </c>
      <c r="C240" s="4045"/>
      <c r="D240" s="4045" t="s">
        <v>5810</v>
      </c>
      <c r="E240" s="4045" t="s">
        <v>899</v>
      </c>
      <c r="F240" s="3636">
        <v>30000000</v>
      </c>
      <c r="G240" s="4046"/>
      <c r="H240" s="3636">
        <v>150000000</v>
      </c>
      <c r="I240" s="3637" t="s">
        <v>5787</v>
      </c>
      <c r="J240" s="4047" t="s">
        <v>5788</v>
      </c>
    </row>
    <row r="241" spans="1:10" ht="30" customHeight="1" x14ac:dyDescent="0.2">
      <c r="A241" s="4001"/>
      <c r="B241" s="4044" t="s">
        <v>5823</v>
      </c>
      <c r="C241" s="4045"/>
      <c r="D241" s="4045" t="s">
        <v>5824</v>
      </c>
      <c r="E241" s="4045" t="s">
        <v>854</v>
      </c>
      <c r="F241" s="3636">
        <v>7000000</v>
      </c>
      <c r="G241" s="4046"/>
      <c r="H241" s="3636">
        <v>168000000</v>
      </c>
      <c r="I241" s="3637" t="s">
        <v>5790</v>
      </c>
      <c r="J241" s="4047" t="s">
        <v>5791</v>
      </c>
    </row>
    <row r="242" spans="1:10" ht="30" customHeight="1" x14ac:dyDescent="0.2">
      <c r="A242" s="4001"/>
      <c r="B242" s="4044" t="s">
        <v>3622</v>
      </c>
      <c r="C242" s="4045"/>
      <c r="D242" s="4045" t="s">
        <v>5793</v>
      </c>
      <c r="E242" s="4045" t="s">
        <v>1184</v>
      </c>
      <c r="F242" s="3636">
        <v>40000000</v>
      </c>
      <c r="G242" s="4046"/>
      <c r="H242" s="3636">
        <v>200000000</v>
      </c>
      <c r="I242" s="3637" t="s">
        <v>5792</v>
      </c>
      <c r="J242" s="4047"/>
    </row>
    <row r="243" spans="1:10" ht="30" customHeight="1" x14ac:dyDescent="0.2">
      <c r="A243" s="4001"/>
      <c r="B243" s="4044" t="s">
        <v>5794</v>
      </c>
      <c r="C243" s="4045"/>
      <c r="D243" s="4045" t="s">
        <v>5796</v>
      </c>
      <c r="E243" s="4045" t="s">
        <v>854</v>
      </c>
      <c r="F243" s="3636">
        <v>10000000</v>
      </c>
      <c r="G243" s="4046"/>
      <c r="H243" s="3636">
        <v>240000000</v>
      </c>
      <c r="I243" s="3637" t="s">
        <v>5795</v>
      </c>
      <c r="J243" s="4047" t="s">
        <v>5797</v>
      </c>
    </row>
    <row r="244" spans="1:10" ht="30" customHeight="1" x14ac:dyDescent="0.2">
      <c r="A244" s="4001"/>
      <c r="B244" s="4044" t="s">
        <v>5808</v>
      </c>
      <c r="C244" s="4045"/>
      <c r="D244" s="4045" t="s">
        <v>5793</v>
      </c>
      <c r="E244" s="4045" t="s">
        <v>1184</v>
      </c>
      <c r="F244" s="3636">
        <v>5000000</v>
      </c>
      <c r="G244" s="4046"/>
      <c r="H244" s="3636">
        <v>25000000</v>
      </c>
      <c r="I244" s="3637" t="s">
        <v>5807</v>
      </c>
      <c r="J244" s="4047"/>
    </row>
    <row r="245" spans="1:10" ht="30" customHeight="1" x14ac:dyDescent="0.2">
      <c r="A245" s="4001"/>
      <c r="B245" s="4044" t="s">
        <v>3651</v>
      </c>
      <c r="C245" s="4045"/>
      <c r="D245" s="4045" t="s">
        <v>5800</v>
      </c>
      <c r="E245" s="4045" t="s">
        <v>854</v>
      </c>
      <c r="F245" s="3636">
        <v>5000000</v>
      </c>
      <c r="G245" s="4046"/>
      <c r="H245" s="3636">
        <v>120000000</v>
      </c>
      <c r="I245" s="3637" t="s">
        <v>5798</v>
      </c>
      <c r="J245" s="4047" t="s">
        <v>5799</v>
      </c>
    </row>
    <row r="246" spans="1:10" ht="30" customHeight="1" x14ac:dyDescent="0.2">
      <c r="A246" s="1029"/>
      <c r="B246" s="4050" t="s">
        <v>5570</v>
      </c>
      <c r="C246" s="4045"/>
      <c r="D246" s="4045" t="s">
        <v>4893</v>
      </c>
      <c r="E246" s="4045" t="s">
        <v>854</v>
      </c>
      <c r="F246" s="3636">
        <v>20000000</v>
      </c>
      <c r="G246" s="4046"/>
      <c r="H246" s="3636">
        <v>480000000</v>
      </c>
      <c r="I246" s="3637" t="s">
        <v>5822</v>
      </c>
      <c r="J246" s="4049" t="s">
        <v>5666</v>
      </c>
    </row>
    <row r="247" spans="1:10" ht="30" customHeight="1" x14ac:dyDescent="0.2">
      <c r="A247" s="4459"/>
      <c r="B247" s="4465" t="s">
        <v>5813</v>
      </c>
      <c r="C247" s="4045"/>
      <c r="D247" s="4045" t="s">
        <v>5817</v>
      </c>
      <c r="E247" s="4045" t="s">
        <v>854</v>
      </c>
      <c r="F247" s="3636">
        <v>20000000</v>
      </c>
      <c r="G247" s="4046"/>
      <c r="H247" s="3636">
        <v>480000000</v>
      </c>
      <c r="I247" s="3637" t="s">
        <v>5805</v>
      </c>
      <c r="J247" s="4049"/>
    </row>
    <row r="248" spans="1:10" ht="30" customHeight="1" x14ac:dyDescent="0.2">
      <c r="A248" s="4460"/>
      <c r="B248" s="4466"/>
      <c r="C248" s="4045"/>
      <c r="D248" s="4045" t="s">
        <v>5812</v>
      </c>
      <c r="E248" s="4045" t="s">
        <v>1184</v>
      </c>
      <c r="F248" s="3636">
        <v>30000000</v>
      </c>
      <c r="G248" s="4046"/>
      <c r="H248" s="3636">
        <v>150000000</v>
      </c>
      <c r="I248" s="3637" t="s">
        <v>5820</v>
      </c>
      <c r="J248" s="4047" t="s">
        <v>5821</v>
      </c>
    </row>
    <row r="249" spans="1:10" ht="30" customHeight="1" x14ac:dyDescent="0.2">
      <c r="A249" s="4001"/>
      <c r="B249" s="4044" t="s">
        <v>5829</v>
      </c>
      <c r="C249" s="4045"/>
      <c r="D249" s="4045" t="s">
        <v>5839</v>
      </c>
      <c r="E249" s="4045" t="s">
        <v>899</v>
      </c>
      <c r="F249" s="3636">
        <v>30000000</v>
      </c>
      <c r="G249" s="4046"/>
      <c r="H249" s="3636">
        <v>150000000</v>
      </c>
      <c r="I249" s="3637" t="s">
        <v>5826</v>
      </c>
      <c r="J249" s="4049"/>
    </row>
    <row r="250" spans="1:10" ht="30" customHeight="1" x14ac:dyDescent="0.2">
      <c r="A250" s="4001"/>
      <c r="B250" s="4044" t="s">
        <v>4200</v>
      </c>
      <c r="C250" s="4045" t="s">
        <v>4121</v>
      </c>
      <c r="D250" s="4045" t="s">
        <v>5832</v>
      </c>
      <c r="E250" s="4045" t="s">
        <v>1184</v>
      </c>
      <c r="F250" s="3636">
        <v>15000000</v>
      </c>
      <c r="G250" s="4046"/>
      <c r="H250" s="3636">
        <v>75000000</v>
      </c>
      <c r="I250" s="3637" t="s">
        <v>5831</v>
      </c>
      <c r="J250" s="4049" t="s">
        <v>4201</v>
      </c>
    </row>
    <row r="251" spans="1:10" ht="30" customHeight="1" x14ac:dyDescent="0.2">
      <c r="A251" s="4459"/>
      <c r="B251" s="4465" t="s">
        <v>5835</v>
      </c>
      <c r="C251" s="4045"/>
      <c r="D251" s="4045" t="s">
        <v>5836</v>
      </c>
      <c r="E251" s="4045" t="s">
        <v>854</v>
      </c>
      <c r="F251" s="3636">
        <v>15000000</v>
      </c>
      <c r="G251" s="4046"/>
      <c r="H251" s="3636">
        <v>360000000</v>
      </c>
      <c r="I251" s="3637" t="s">
        <v>5833</v>
      </c>
      <c r="J251" s="4047" t="s">
        <v>5834</v>
      </c>
    </row>
    <row r="252" spans="1:10" ht="30" customHeight="1" x14ac:dyDescent="0.2">
      <c r="A252" s="4460"/>
      <c r="B252" s="4466"/>
      <c r="C252" s="4045"/>
      <c r="D252" s="4045" t="s">
        <v>5840</v>
      </c>
      <c r="E252" s="4006"/>
      <c r="F252" s="4008"/>
      <c r="G252" s="4046"/>
      <c r="H252" s="3636">
        <v>47000000</v>
      </c>
      <c r="I252" s="3637" t="s">
        <v>5841</v>
      </c>
      <c r="J252" s="4047"/>
    </row>
    <row r="253" spans="1:10" ht="30" customHeight="1" x14ac:dyDescent="0.2">
      <c r="A253" s="4001"/>
      <c r="B253" s="4044" t="s">
        <v>4003</v>
      </c>
      <c r="C253" s="4045"/>
      <c r="D253" s="4045" t="s">
        <v>5838</v>
      </c>
      <c r="E253" s="4006"/>
      <c r="F253" s="4008"/>
      <c r="G253" s="4046"/>
      <c r="H253" s="3636">
        <v>70000000</v>
      </c>
      <c r="I253" s="3637" t="s">
        <v>5837</v>
      </c>
      <c r="J253" s="4049"/>
    </row>
    <row r="254" spans="1:10" ht="30" customHeight="1" x14ac:dyDescent="0.2">
      <c r="A254" s="4001"/>
      <c r="B254" s="4044" t="s">
        <v>5845</v>
      </c>
      <c r="C254" s="4045"/>
      <c r="D254" s="4045" t="s">
        <v>5846</v>
      </c>
      <c r="E254" s="4045" t="s">
        <v>1525</v>
      </c>
      <c r="F254" s="3636">
        <v>17000000</v>
      </c>
      <c r="G254" s="4046"/>
      <c r="H254" s="3636">
        <v>23000000</v>
      </c>
      <c r="I254" s="3637" t="s">
        <v>5843</v>
      </c>
      <c r="J254" s="4049"/>
    </row>
    <row r="255" spans="1:10" ht="30" customHeight="1" x14ac:dyDescent="0.2">
      <c r="A255" s="4138"/>
      <c r="B255" s="4143" t="s">
        <v>5937</v>
      </c>
      <c r="C255" s="4141"/>
      <c r="D255" s="4141" t="s">
        <v>5938</v>
      </c>
      <c r="E255" s="4141" t="s">
        <v>854</v>
      </c>
      <c r="F255" s="4135">
        <v>10000000</v>
      </c>
      <c r="G255" s="4142"/>
      <c r="H255" s="4135">
        <v>240000000</v>
      </c>
      <c r="I255" s="4166" t="s">
        <v>5939</v>
      </c>
      <c r="J255" s="4161" t="s">
        <v>5940</v>
      </c>
    </row>
    <row r="256" spans="1:10" ht="30" customHeight="1" x14ac:dyDescent="0.2">
      <c r="A256" s="4459"/>
      <c r="B256" s="4457" t="s">
        <v>3080</v>
      </c>
      <c r="C256" s="4141"/>
      <c r="D256" s="4147" t="s">
        <v>2341</v>
      </c>
      <c r="E256" s="4147"/>
      <c r="F256" s="4148"/>
      <c r="G256" s="4146"/>
      <c r="H256" s="4148">
        <v>66500000</v>
      </c>
      <c r="I256" s="438" t="s">
        <v>5947</v>
      </c>
      <c r="J256" s="4190" t="s">
        <v>5948</v>
      </c>
    </row>
    <row r="257" spans="1:10" ht="30" customHeight="1" x14ac:dyDescent="0.2">
      <c r="A257" s="4460"/>
      <c r="B257" s="4458"/>
      <c r="C257" s="4141" t="s">
        <v>2341</v>
      </c>
      <c r="D257" s="4141" t="s">
        <v>5949</v>
      </c>
      <c r="E257" s="4141" t="s">
        <v>852</v>
      </c>
      <c r="F257" s="4135">
        <v>60000000</v>
      </c>
      <c r="G257" s="4142"/>
      <c r="H257" s="4135">
        <v>100000000</v>
      </c>
      <c r="I257" s="4166" t="s">
        <v>5950</v>
      </c>
      <c r="J257" s="4161"/>
    </row>
    <row r="258" spans="1:10" ht="30" customHeight="1" x14ac:dyDescent="0.2">
      <c r="A258" s="4459"/>
      <c r="B258" s="4461" t="s">
        <v>251</v>
      </c>
      <c r="C258" s="4144" t="s">
        <v>5966</v>
      </c>
      <c r="D258" s="4141" t="s">
        <v>5964</v>
      </c>
      <c r="E258" s="4141" t="s">
        <v>854</v>
      </c>
      <c r="F258" s="4135">
        <v>50000000</v>
      </c>
      <c r="G258" s="4142"/>
      <c r="H258" s="4135">
        <v>1200000000</v>
      </c>
      <c r="I258" s="4166" t="s">
        <v>5965</v>
      </c>
      <c r="J258" s="4161"/>
    </row>
    <row r="259" spans="1:10" ht="30" customHeight="1" x14ac:dyDescent="0.2">
      <c r="A259" s="4464"/>
      <c r="B259" s="4462"/>
      <c r="C259" s="4144"/>
      <c r="D259" s="4141" t="s">
        <v>5974</v>
      </c>
      <c r="E259" s="4144"/>
      <c r="F259" s="4149"/>
      <c r="G259" s="4142"/>
      <c r="H259" s="4135">
        <v>208000000</v>
      </c>
      <c r="I259" s="4166" t="s">
        <v>5973</v>
      </c>
      <c r="J259" s="4190" t="s">
        <v>3977</v>
      </c>
    </row>
    <row r="260" spans="1:10" ht="30" customHeight="1" x14ac:dyDescent="0.2">
      <c r="A260" s="4460"/>
      <c r="B260" s="4463"/>
      <c r="C260" s="4144"/>
      <c r="D260" s="4141" t="s">
        <v>5975</v>
      </c>
      <c r="E260" s="4141"/>
      <c r="F260" s="4135"/>
      <c r="G260" s="4142"/>
      <c r="H260" s="4135">
        <v>228000000</v>
      </c>
      <c r="I260" s="4166" t="s">
        <v>5976</v>
      </c>
      <c r="J260" s="4161"/>
    </row>
    <row r="261" spans="1:10" ht="30" customHeight="1" x14ac:dyDescent="0.2">
      <c r="A261" s="4224"/>
      <c r="B261" s="4222" t="s">
        <v>6026</v>
      </c>
      <c r="C261" s="4226"/>
      <c r="D261" s="4226" t="s">
        <v>6028</v>
      </c>
      <c r="E261" s="4231"/>
      <c r="F261" s="4234"/>
      <c r="G261" s="4228"/>
      <c r="H261" s="4220">
        <v>50000000</v>
      </c>
      <c r="I261" s="4256" t="s">
        <v>6027</v>
      </c>
      <c r="J261" s="4249"/>
    </row>
    <row r="262" spans="1:10" ht="30" customHeight="1" x14ac:dyDescent="0.2">
      <c r="A262" s="4224"/>
      <c r="B262" s="4222" t="s">
        <v>6034</v>
      </c>
      <c r="C262" s="4226"/>
      <c r="D262" s="4226" t="s">
        <v>6033</v>
      </c>
      <c r="E262" s="4226" t="s">
        <v>852</v>
      </c>
      <c r="F262" s="4220">
        <v>50000000</v>
      </c>
      <c r="G262" s="4228"/>
      <c r="H262" s="4220">
        <v>100000000</v>
      </c>
      <c r="I262" s="4256" t="s">
        <v>6032</v>
      </c>
      <c r="J262" s="4249" t="s">
        <v>6078</v>
      </c>
    </row>
    <row r="263" spans="1:10" ht="30" customHeight="1" x14ac:dyDescent="0.2">
      <c r="A263" s="4224"/>
      <c r="B263" s="4222" t="s">
        <v>6112</v>
      </c>
      <c r="C263" s="4226" t="s">
        <v>6007</v>
      </c>
      <c r="D263" s="4226"/>
      <c r="E263" s="4226" t="s">
        <v>899</v>
      </c>
      <c r="F263" s="4220">
        <v>20000000</v>
      </c>
      <c r="G263" s="4228"/>
      <c r="H263" s="4220"/>
      <c r="I263" s="4256" t="s">
        <v>6094</v>
      </c>
      <c r="J263" s="4270" t="s">
        <v>6095</v>
      </c>
    </row>
    <row r="264" spans="1:10" ht="30" customHeight="1" x14ac:dyDescent="0.2">
      <c r="A264" s="4285"/>
      <c r="B264" s="4288" t="s">
        <v>282</v>
      </c>
      <c r="C264" s="4287"/>
      <c r="D264" s="4287"/>
      <c r="E264" s="4287"/>
      <c r="F264" s="4284">
        <v>70000000</v>
      </c>
      <c r="G264" s="4286"/>
      <c r="H264" s="4284"/>
      <c r="I264" s="4295"/>
      <c r="J264" s="4292" t="s">
        <v>6104</v>
      </c>
    </row>
    <row r="265" spans="1:10" ht="30" customHeight="1" x14ac:dyDescent="0.2">
      <c r="A265" s="4285"/>
      <c r="B265" s="4288" t="s">
        <v>6113</v>
      </c>
      <c r="C265" s="4287"/>
      <c r="D265" s="4287"/>
      <c r="E265" s="4287" t="s">
        <v>852</v>
      </c>
      <c r="F265" s="4284">
        <v>30000000</v>
      </c>
      <c r="G265" s="4286"/>
      <c r="H265" s="4284">
        <v>55000000</v>
      </c>
      <c r="I265" s="4295"/>
      <c r="J265" s="4292" t="s">
        <v>6114</v>
      </c>
    </row>
    <row r="266" spans="1:10" ht="30" customHeight="1" x14ac:dyDescent="0.2">
      <c r="A266" s="4"/>
      <c r="B266" s="705"/>
      <c r="C266" s="9"/>
      <c r="D266" s="6"/>
      <c r="E266" s="128"/>
      <c r="F266" s="128"/>
      <c r="G266" s="17"/>
      <c r="H266" s="128"/>
      <c r="I266" s="21"/>
      <c r="J266" s="41"/>
    </row>
  </sheetData>
  <mergeCells count="167">
    <mergeCell ref="I224:I226"/>
    <mergeCell ref="A222:A223"/>
    <mergeCell ref="G222:G223"/>
    <mergeCell ref="I222:I223"/>
    <mergeCell ref="H222:H223"/>
    <mergeCell ref="D222:D223"/>
    <mergeCell ref="C222:C223"/>
    <mergeCell ref="F224:F226"/>
    <mergeCell ref="E224:E226"/>
    <mergeCell ref="D224:D226"/>
    <mergeCell ref="C224:C226"/>
    <mergeCell ref="B224:B226"/>
    <mergeCell ref="G208:G209"/>
    <mergeCell ref="E208:E209"/>
    <mergeCell ref="D208:D209"/>
    <mergeCell ref="C208:C209"/>
    <mergeCell ref="B155:B156"/>
    <mergeCell ref="H49:H51"/>
    <mergeCell ref="H47:H48"/>
    <mergeCell ref="C114:C115"/>
    <mergeCell ref="A224:A226"/>
    <mergeCell ref="G224:G226"/>
    <mergeCell ref="H224:H226"/>
    <mergeCell ref="C197:I197"/>
    <mergeCell ref="C198:I198"/>
    <mergeCell ref="C199:I199"/>
    <mergeCell ref="C200:I200"/>
    <mergeCell ref="B196:B200"/>
    <mergeCell ref="A196:A200"/>
    <mergeCell ref="B47:B48"/>
    <mergeCell ref="A77:A78"/>
    <mergeCell ref="B97:B98"/>
    <mergeCell ref="B87:B89"/>
    <mergeCell ref="B49:B51"/>
    <mergeCell ref="A49:A51"/>
    <mergeCell ref="E66:E67"/>
    <mergeCell ref="B30:B31"/>
    <mergeCell ref="A30:A31"/>
    <mergeCell ref="B19:B25"/>
    <mergeCell ref="A19:A25"/>
    <mergeCell ref="A32:A35"/>
    <mergeCell ref="B32:B35"/>
    <mergeCell ref="A47:A48"/>
    <mergeCell ref="I208:I209"/>
    <mergeCell ref="C192:I192"/>
    <mergeCell ref="C193:I193"/>
    <mergeCell ref="C194:I194"/>
    <mergeCell ref="C195:I195"/>
    <mergeCell ref="B191:B195"/>
    <mergeCell ref="A191:A195"/>
    <mergeCell ref="C47:C48"/>
    <mergeCell ref="D47:D48"/>
    <mergeCell ref="A62:A64"/>
    <mergeCell ref="B93:B95"/>
    <mergeCell ref="B66:B67"/>
    <mergeCell ref="B77:B78"/>
    <mergeCell ref="B80:B81"/>
    <mergeCell ref="F208:F209"/>
    <mergeCell ref="H208:H209"/>
    <mergeCell ref="G49:G51"/>
    <mergeCell ref="B2:B4"/>
    <mergeCell ref="A2:A4"/>
    <mergeCell ref="A5:A6"/>
    <mergeCell ref="B5:B6"/>
    <mergeCell ref="B12:B14"/>
    <mergeCell ref="B17:B18"/>
    <mergeCell ref="A12:A14"/>
    <mergeCell ref="A17:A18"/>
    <mergeCell ref="B15:B16"/>
    <mergeCell ref="A15:A16"/>
    <mergeCell ref="B7:B10"/>
    <mergeCell ref="A7:A10"/>
    <mergeCell ref="H9:H10"/>
    <mergeCell ref="F9:F10"/>
    <mergeCell ref="G9:G10"/>
    <mergeCell ref="E9:E10"/>
    <mergeCell ref="H114:H115"/>
    <mergeCell ref="E167:E169"/>
    <mergeCell ref="D167:D169"/>
    <mergeCell ref="C167:C169"/>
    <mergeCell ref="J63:J64"/>
    <mergeCell ref="I20:I21"/>
    <mergeCell ref="J47:J48"/>
    <mergeCell ref="F63:F64"/>
    <mergeCell ref="I114:I115"/>
    <mergeCell ref="J20:J21"/>
    <mergeCell ref="D9:D10"/>
    <mergeCell ref="C9:C10"/>
    <mergeCell ref="G47:G48"/>
    <mergeCell ref="E47:E48"/>
    <mergeCell ref="F47:F48"/>
    <mergeCell ref="I63:I64"/>
    <mergeCell ref="C49:C51"/>
    <mergeCell ref="E49:E51"/>
    <mergeCell ref="D49:D51"/>
    <mergeCell ref="F49:F51"/>
    <mergeCell ref="B56:B61"/>
    <mergeCell ref="A56:A61"/>
    <mergeCell ref="H201:H202"/>
    <mergeCell ref="G201:G202"/>
    <mergeCell ref="A113:A116"/>
    <mergeCell ref="A109:A110"/>
    <mergeCell ref="B109:B110"/>
    <mergeCell ref="A87:A89"/>
    <mergeCell ref="A136:A137"/>
    <mergeCell ref="B136:B137"/>
    <mergeCell ref="B188:B189"/>
    <mergeCell ref="A188:A189"/>
    <mergeCell ref="G186:G187"/>
    <mergeCell ref="H186:H187"/>
    <mergeCell ref="B184:B185"/>
    <mergeCell ref="A184:A185"/>
    <mergeCell ref="F186:F187"/>
    <mergeCell ref="E186:E187"/>
    <mergeCell ref="E201:E202"/>
    <mergeCell ref="F201:F202"/>
    <mergeCell ref="E114:E115"/>
    <mergeCell ref="F114:F115"/>
    <mergeCell ref="G114:G115"/>
    <mergeCell ref="A155:A156"/>
    <mergeCell ref="B138:B139"/>
    <mergeCell ref="A138:A139"/>
    <mergeCell ref="B208:B210"/>
    <mergeCell ref="A208:A210"/>
    <mergeCell ref="A80:A81"/>
    <mergeCell ref="B62:B64"/>
    <mergeCell ref="D63:D64"/>
    <mergeCell ref="C63:C64"/>
    <mergeCell ref="A66:A67"/>
    <mergeCell ref="B72:B75"/>
    <mergeCell ref="A72:A75"/>
    <mergeCell ref="A84:A85"/>
    <mergeCell ref="B84:B85"/>
    <mergeCell ref="D186:D187"/>
    <mergeCell ref="C186:C187"/>
    <mergeCell ref="B103:B104"/>
    <mergeCell ref="D114:D115"/>
    <mergeCell ref="B113:B116"/>
    <mergeCell ref="C66:C67"/>
    <mergeCell ref="B165:B170"/>
    <mergeCell ref="A165:A170"/>
    <mergeCell ref="J161:M161"/>
    <mergeCell ref="D203:D204"/>
    <mergeCell ref="C203:C204"/>
    <mergeCell ref="B203:B204"/>
    <mergeCell ref="A203:A204"/>
    <mergeCell ref="F203:F204"/>
    <mergeCell ref="G203:G204"/>
    <mergeCell ref="H203:H204"/>
    <mergeCell ref="I203:I204"/>
    <mergeCell ref="E203:E204"/>
    <mergeCell ref="C201:C202"/>
    <mergeCell ref="I201:I202"/>
    <mergeCell ref="J201:J202"/>
    <mergeCell ref="A201:A202"/>
    <mergeCell ref="I167:I169"/>
    <mergeCell ref="J168:J169"/>
    <mergeCell ref="D201:D202"/>
    <mergeCell ref="B256:B257"/>
    <mergeCell ref="A256:A257"/>
    <mergeCell ref="B258:B260"/>
    <mergeCell ref="A258:A260"/>
    <mergeCell ref="B247:B248"/>
    <mergeCell ref="A247:A248"/>
    <mergeCell ref="B251:B252"/>
    <mergeCell ref="A251:A252"/>
    <mergeCell ref="B222:B22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rightToLeft="1" topLeftCell="B1" zoomScale="60" zoomScaleNormal="60" workbookViewId="0">
      <pane ySplit="1" topLeftCell="A2" activePane="bottomLeft" state="frozen"/>
      <selection activeCell="H1" sqref="H1"/>
      <selection pane="bottomLeft" activeCell="B160" sqref="B160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18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263</v>
      </c>
      <c r="J1" s="1" t="s">
        <v>261</v>
      </c>
      <c r="K1" s="1" t="s">
        <v>278</v>
      </c>
      <c r="L1" s="10" t="s">
        <v>291</v>
      </c>
      <c r="M1" s="2" t="s">
        <v>268</v>
      </c>
    </row>
    <row r="2" spans="1:13" ht="30" customHeight="1" x14ac:dyDescent="0.2">
      <c r="A2" s="4">
        <v>1</v>
      </c>
      <c r="B2" s="19" t="s">
        <v>279</v>
      </c>
      <c r="C2" s="317"/>
      <c r="D2" s="11">
        <v>600000000</v>
      </c>
      <c r="E2" s="17">
        <v>0.06</v>
      </c>
      <c r="F2" s="11">
        <f>D2*E2</f>
        <v>36000000</v>
      </c>
      <c r="G2" s="11">
        <v>16000000</v>
      </c>
      <c r="H2" s="11" t="s">
        <v>265</v>
      </c>
      <c r="I2" s="20">
        <v>511115</v>
      </c>
      <c r="J2" s="21" t="s">
        <v>280</v>
      </c>
      <c r="K2" s="11">
        <f t="shared" ref="K2:K49" si="0">G2</f>
        <v>16000000</v>
      </c>
      <c r="L2" s="11">
        <f t="shared" ref="L2:L48" si="1">F2-K2</f>
        <v>20000000</v>
      </c>
      <c r="M2" s="22"/>
    </row>
    <row r="3" spans="1:13" ht="30" customHeight="1" x14ac:dyDescent="0.2">
      <c r="A3" s="4">
        <v>1</v>
      </c>
      <c r="B3" s="19" t="s">
        <v>282</v>
      </c>
      <c r="C3" s="317"/>
      <c r="D3" s="11">
        <v>300000000</v>
      </c>
      <c r="E3" s="17">
        <v>0.05</v>
      </c>
      <c r="F3" s="11">
        <f>D3*E3</f>
        <v>15000000</v>
      </c>
      <c r="G3" s="11">
        <v>10000000</v>
      </c>
      <c r="H3" s="11" t="s">
        <v>265</v>
      </c>
      <c r="I3" s="20" t="s">
        <v>283</v>
      </c>
      <c r="J3" s="21" t="s">
        <v>284</v>
      </c>
      <c r="K3" s="11">
        <f t="shared" si="0"/>
        <v>10000000</v>
      </c>
      <c r="L3" s="11">
        <f t="shared" si="1"/>
        <v>5000000</v>
      </c>
      <c r="M3" s="22"/>
    </row>
    <row r="4" spans="1:13" ht="30" customHeight="1" x14ac:dyDescent="0.2">
      <c r="A4" s="4">
        <v>1</v>
      </c>
      <c r="B4" s="19" t="s">
        <v>285</v>
      </c>
      <c r="C4" s="317" t="s">
        <v>359</v>
      </c>
      <c r="D4" s="11">
        <v>36000000</v>
      </c>
      <c r="E4" s="17">
        <v>7.0000000000000007E-2</v>
      </c>
      <c r="F4" s="11">
        <v>2500000</v>
      </c>
      <c r="G4" s="11">
        <v>2500000</v>
      </c>
      <c r="H4" s="11" t="s">
        <v>265</v>
      </c>
      <c r="I4" s="20" t="s">
        <v>286</v>
      </c>
      <c r="J4" s="24" t="s">
        <v>287</v>
      </c>
      <c r="K4" s="11">
        <f t="shared" si="0"/>
        <v>2500000</v>
      </c>
      <c r="L4" s="11">
        <f t="shared" si="1"/>
        <v>0</v>
      </c>
      <c r="M4" s="22"/>
    </row>
    <row r="5" spans="1:13" ht="30" customHeight="1" x14ac:dyDescent="0.2">
      <c r="A5" s="4">
        <v>1</v>
      </c>
      <c r="B5" s="19" t="s">
        <v>310</v>
      </c>
      <c r="C5" s="317"/>
      <c r="D5" s="89">
        <v>535000000</v>
      </c>
      <c r="E5" s="17">
        <v>5.7000000000000002E-2</v>
      </c>
      <c r="F5" s="89">
        <v>30000000</v>
      </c>
      <c r="G5" s="11">
        <v>30000000</v>
      </c>
      <c r="H5" s="11" t="s">
        <v>289</v>
      </c>
      <c r="I5" s="20" t="s">
        <v>311</v>
      </c>
      <c r="J5" s="24" t="s">
        <v>312</v>
      </c>
      <c r="K5" s="11">
        <f t="shared" si="0"/>
        <v>30000000</v>
      </c>
      <c r="L5" s="89">
        <f t="shared" si="1"/>
        <v>0</v>
      </c>
      <c r="M5" s="22"/>
    </row>
    <row r="6" spans="1:13" ht="30" customHeight="1" x14ac:dyDescent="0.2">
      <c r="A6" s="4">
        <v>1</v>
      </c>
      <c r="B6" s="19" t="s">
        <v>317</v>
      </c>
      <c r="C6" s="317"/>
      <c r="D6" s="11">
        <v>20000000</v>
      </c>
      <c r="E6" s="17">
        <v>7.0000000000000007E-2</v>
      </c>
      <c r="F6" s="11">
        <v>1400000</v>
      </c>
      <c r="G6" s="11">
        <v>1400000</v>
      </c>
      <c r="H6" s="11" t="s">
        <v>289</v>
      </c>
      <c r="I6" s="20" t="s">
        <v>318</v>
      </c>
      <c r="J6" s="24" t="s">
        <v>319</v>
      </c>
      <c r="K6" s="11">
        <f t="shared" si="0"/>
        <v>1400000</v>
      </c>
      <c r="L6" s="30">
        <f t="shared" si="1"/>
        <v>0</v>
      </c>
      <c r="M6" s="29" t="s">
        <v>320</v>
      </c>
    </row>
    <row r="7" spans="1:13" ht="30" customHeight="1" x14ac:dyDescent="0.2">
      <c r="A7" s="4">
        <v>1</v>
      </c>
      <c r="B7" s="62" t="s">
        <v>407</v>
      </c>
      <c r="C7" s="317"/>
      <c r="D7" s="30">
        <v>115000000</v>
      </c>
      <c r="E7" s="17">
        <v>0.05</v>
      </c>
      <c r="F7" s="30">
        <f>D7*E7</f>
        <v>5750000</v>
      </c>
      <c r="G7" s="30">
        <v>5750000</v>
      </c>
      <c r="H7" s="30" t="s">
        <v>323</v>
      </c>
      <c r="I7" s="20" t="s">
        <v>343</v>
      </c>
      <c r="J7" s="24" t="s">
        <v>344</v>
      </c>
      <c r="K7" s="30">
        <f t="shared" si="0"/>
        <v>5750000</v>
      </c>
      <c r="L7" s="30">
        <f t="shared" si="1"/>
        <v>0</v>
      </c>
      <c r="M7" s="29"/>
    </row>
    <row r="8" spans="1:13" ht="30" customHeight="1" x14ac:dyDescent="0.2">
      <c r="A8" s="4">
        <v>1</v>
      </c>
      <c r="B8" s="62" t="s">
        <v>102</v>
      </c>
      <c r="C8" s="317"/>
      <c r="D8" s="45">
        <v>45000000</v>
      </c>
      <c r="E8" s="17">
        <v>0.05</v>
      </c>
      <c r="F8" s="45">
        <f>D8*E8</f>
        <v>2250000</v>
      </c>
      <c r="G8" s="45">
        <v>2250000</v>
      </c>
      <c r="H8" s="45" t="s">
        <v>379</v>
      </c>
      <c r="I8" s="20" t="s">
        <v>408</v>
      </c>
      <c r="J8" s="26" t="s">
        <v>409</v>
      </c>
      <c r="K8" s="45">
        <f t="shared" si="0"/>
        <v>2250000</v>
      </c>
      <c r="L8" s="45">
        <f t="shared" si="1"/>
        <v>0</v>
      </c>
      <c r="M8" s="29"/>
    </row>
    <row r="9" spans="1:13" ht="30" customHeight="1" x14ac:dyDescent="0.2">
      <c r="A9" s="4">
        <v>1</v>
      </c>
      <c r="B9" s="19" t="s">
        <v>349</v>
      </c>
      <c r="C9" s="317"/>
      <c r="D9" s="30">
        <v>400000000</v>
      </c>
      <c r="E9" s="17">
        <v>4.4999999999999998E-2</v>
      </c>
      <c r="F9" s="30">
        <f>D9*E9</f>
        <v>18000000</v>
      </c>
      <c r="G9" s="30">
        <v>18000000</v>
      </c>
      <c r="H9" s="30" t="s">
        <v>323</v>
      </c>
      <c r="I9" s="32" t="s">
        <v>350</v>
      </c>
      <c r="J9" s="24" t="s">
        <v>351</v>
      </c>
      <c r="K9" s="30">
        <f t="shared" si="0"/>
        <v>18000000</v>
      </c>
      <c r="L9" s="30">
        <f t="shared" si="1"/>
        <v>0</v>
      </c>
      <c r="M9" s="29"/>
    </row>
    <row r="10" spans="1:13" ht="30" customHeight="1" x14ac:dyDescent="0.2">
      <c r="A10" s="4">
        <v>1</v>
      </c>
      <c r="B10" s="19" t="s">
        <v>378</v>
      </c>
      <c r="C10" s="317"/>
      <c r="D10" s="36">
        <v>10000000</v>
      </c>
      <c r="E10" s="17">
        <v>0.05</v>
      </c>
      <c r="F10" s="36">
        <f>D10*E10</f>
        <v>500000</v>
      </c>
      <c r="G10" s="36">
        <v>500000</v>
      </c>
      <c r="H10" s="36" t="s">
        <v>323</v>
      </c>
      <c r="I10" s="20" t="s">
        <v>377</v>
      </c>
      <c r="J10" s="24" t="s">
        <v>1001</v>
      </c>
      <c r="K10" s="36">
        <f t="shared" si="0"/>
        <v>500000</v>
      </c>
      <c r="L10" s="36">
        <f t="shared" si="1"/>
        <v>0</v>
      </c>
      <c r="M10" s="29"/>
    </row>
    <row r="11" spans="1:13" ht="30" customHeight="1" x14ac:dyDescent="0.2">
      <c r="A11" s="4459">
        <v>10</v>
      </c>
      <c r="B11" s="4457" t="s">
        <v>999</v>
      </c>
      <c r="C11" s="4537"/>
      <c r="D11" s="4506">
        <v>160000000</v>
      </c>
      <c r="E11" s="4476">
        <v>6.3E-2</v>
      </c>
      <c r="F11" s="4413">
        <v>10000000</v>
      </c>
      <c r="G11" s="173">
        <v>7500000</v>
      </c>
      <c r="H11" s="173" t="s">
        <v>984</v>
      </c>
      <c r="I11" s="175" t="s">
        <v>1000</v>
      </c>
      <c r="J11" s="24" t="s">
        <v>1001</v>
      </c>
      <c r="K11" s="4413">
        <f>G11</f>
        <v>7500000</v>
      </c>
      <c r="L11" s="4413">
        <f>F11-K11</f>
        <v>2500000</v>
      </c>
      <c r="M11" s="180"/>
    </row>
    <row r="12" spans="1:13" ht="30" customHeight="1" x14ac:dyDescent="0.2">
      <c r="A12" s="4460"/>
      <c r="B12" s="4458"/>
      <c r="C12" s="4538"/>
      <c r="D12" s="4508"/>
      <c r="E12" s="4477"/>
      <c r="F12" s="4415"/>
      <c r="G12" s="271">
        <v>2500000</v>
      </c>
      <c r="H12" s="271"/>
      <c r="I12" s="274"/>
      <c r="J12" s="24"/>
      <c r="K12" s="4415"/>
      <c r="L12" s="4415"/>
      <c r="M12" s="180"/>
    </row>
    <row r="13" spans="1:13" ht="30" customHeight="1" x14ac:dyDescent="0.2">
      <c r="A13" s="4459">
        <v>11</v>
      </c>
      <c r="B13" s="4457" t="s">
        <v>393</v>
      </c>
      <c r="C13" s="4537"/>
      <c r="D13" s="306">
        <v>15000000</v>
      </c>
      <c r="E13" s="17">
        <v>7.0000000000000007E-2</v>
      </c>
      <c r="F13" s="306">
        <f>D13*E13</f>
        <v>1050000</v>
      </c>
      <c r="G13" s="36">
        <v>1050000</v>
      </c>
      <c r="H13" s="36" t="s">
        <v>379</v>
      </c>
      <c r="I13" s="20" t="s">
        <v>396</v>
      </c>
      <c r="J13" s="26" t="s">
        <v>394</v>
      </c>
      <c r="K13" s="306">
        <f t="shared" si="0"/>
        <v>1050000</v>
      </c>
      <c r="L13" s="4413">
        <f>F13-K13</f>
        <v>0</v>
      </c>
      <c r="M13" s="4482" t="s">
        <v>395</v>
      </c>
    </row>
    <row r="14" spans="1:13" ht="30" customHeight="1" x14ac:dyDescent="0.2">
      <c r="A14" s="4460"/>
      <c r="B14" s="4458"/>
      <c r="C14" s="4538"/>
      <c r="D14" s="306">
        <v>5000000</v>
      </c>
      <c r="E14" s="17">
        <v>0.05</v>
      </c>
      <c r="F14" s="306">
        <f>D14*E14</f>
        <v>250000</v>
      </c>
      <c r="G14" s="36"/>
      <c r="H14" s="36"/>
      <c r="I14" s="20"/>
      <c r="J14" s="52"/>
      <c r="K14" s="306"/>
      <c r="L14" s="4415"/>
      <c r="M14" s="4484"/>
    </row>
    <row r="15" spans="1:13" ht="30" customHeight="1" x14ac:dyDescent="0.2">
      <c r="A15" s="37">
        <v>12</v>
      </c>
      <c r="B15" s="42" t="s">
        <v>399</v>
      </c>
      <c r="C15" s="317" t="s">
        <v>402</v>
      </c>
      <c r="D15" s="36">
        <v>75000000</v>
      </c>
      <c r="E15" s="38"/>
      <c r="F15" s="36">
        <v>3750000</v>
      </c>
      <c r="G15" s="36">
        <v>3750000</v>
      </c>
      <c r="H15" s="36" t="s">
        <v>379</v>
      </c>
      <c r="I15" s="20" t="s">
        <v>400</v>
      </c>
      <c r="J15" s="52" t="s">
        <v>401</v>
      </c>
      <c r="K15" s="36">
        <f t="shared" si="0"/>
        <v>3750000</v>
      </c>
      <c r="L15" s="36">
        <f>F15-K15</f>
        <v>0</v>
      </c>
      <c r="M15" s="53"/>
    </row>
    <row r="16" spans="1:13" ht="30" customHeight="1" x14ac:dyDescent="0.2">
      <c r="A16" s="301">
        <v>12</v>
      </c>
      <c r="B16" s="47" t="s">
        <v>420</v>
      </c>
      <c r="C16" s="317" t="s">
        <v>359</v>
      </c>
      <c r="D16" s="45">
        <v>80000000</v>
      </c>
      <c r="E16" s="50"/>
      <c r="F16" s="45">
        <v>4800000</v>
      </c>
      <c r="G16" s="45">
        <v>4800000</v>
      </c>
      <c r="H16" s="45" t="s">
        <v>379</v>
      </c>
      <c r="I16" s="32" t="s">
        <v>422</v>
      </c>
      <c r="J16" s="20" t="s">
        <v>421</v>
      </c>
      <c r="K16" s="45">
        <f t="shared" si="0"/>
        <v>4800000</v>
      </c>
      <c r="L16" s="45">
        <f>F16-K16</f>
        <v>0</v>
      </c>
      <c r="M16" s="53"/>
    </row>
    <row r="17" spans="1:13" ht="30" customHeight="1" x14ac:dyDescent="0.2">
      <c r="A17" s="301">
        <v>12</v>
      </c>
      <c r="B17" s="47" t="s">
        <v>428</v>
      </c>
      <c r="C17" s="317" t="s">
        <v>1300</v>
      </c>
      <c r="D17" s="89">
        <v>150000000</v>
      </c>
      <c r="E17" s="90">
        <v>0.04</v>
      </c>
      <c r="F17" s="89">
        <f>D17*E17</f>
        <v>6000000</v>
      </c>
      <c r="G17" s="45">
        <v>6000000</v>
      </c>
      <c r="H17" s="45" t="s">
        <v>423</v>
      </c>
      <c r="I17" s="20" t="s">
        <v>429</v>
      </c>
      <c r="J17" s="64" t="s">
        <v>430</v>
      </c>
      <c r="K17" s="45">
        <f t="shared" si="0"/>
        <v>6000000</v>
      </c>
      <c r="L17" s="89">
        <f>F17-K17</f>
        <v>0</v>
      </c>
      <c r="M17" s="53"/>
    </row>
    <row r="18" spans="1:13" ht="30" customHeight="1" x14ac:dyDescent="0.2">
      <c r="A18" s="301">
        <v>12</v>
      </c>
      <c r="B18" s="47" t="s">
        <v>436</v>
      </c>
      <c r="C18" s="317"/>
      <c r="D18" s="45">
        <v>13000000</v>
      </c>
      <c r="E18" s="46">
        <v>0.05</v>
      </c>
      <c r="F18" s="45">
        <f>D18*E18</f>
        <v>650000</v>
      </c>
      <c r="G18" s="45"/>
      <c r="H18" s="45"/>
      <c r="I18" s="20"/>
      <c r="J18" s="64"/>
      <c r="K18" s="45"/>
      <c r="L18" s="89">
        <f t="shared" ref="L18:L23" si="2">F18-K18</f>
        <v>650000</v>
      </c>
      <c r="M18" s="53"/>
    </row>
    <row r="19" spans="1:13" ht="30" customHeight="1" x14ac:dyDescent="0.2">
      <c r="A19" s="301">
        <v>12</v>
      </c>
      <c r="B19" s="61" t="s">
        <v>487</v>
      </c>
      <c r="C19" s="317"/>
      <c r="D19" s="57">
        <v>80000000</v>
      </c>
      <c r="E19" s="58">
        <v>0.04</v>
      </c>
      <c r="F19" s="57">
        <f>D19*E19</f>
        <v>3200000</v>
      </c>
      <c r="G19" s="57">
        <v>3200000</v>
      </c>
      <c r="H19" s="57" t="s">
        <v>443</v>
      </c>
      <c r="I19" s="20" t="s">
        <v>488</v>
      </c>
      <c r="J19" s="64" t="s">
        <v>489</v>
      </c>
      <c r="K19" s="57">
        <f t="shared" ref="K19:K23" si="3">G19</f>
        <v>3200000</v>
      </c>
      <c r="L19" s="57">
        <f t="shared" si="2"/>
        <v>0</v>
      </c>
      <c r="M19" s="60"/>
    </row>
    <row r="20" spans="1:13" ht="30" customHeight="1" x14ac:dyDescent="0.2">
      <c r="A20" s="301">
        <v>12</v>
      </c>
      <c r="B20" s="108" t="s">
        <v>747</v>
      </c>
      <c r="C20" s="317"/>
      <c r="D20" s="105">
        <v>100000000</v>
      </c>
      <c r="E20" s="106">
        <v>0.06</v>
      </c>
      <c r="F20" s="105">
        <f t="shared" ref="F20:F21" si="4">D20*E20</f>
        <v>6000000</v>
      </c>
      <c r="G20" s="70">
        <v>6000000</v>
      </c>
      <c r="H20" s="70" t="s">
        <v>544</v>
      </c>
      <c r="I20" s="20" t="s">
        <v>545</v>
      </c>
      <c r="J20" s="64" t="s">
        <v>546</v>
      </c>
      <c r="K20" s="70">
        <f t="shared" si="3"/>
        <v>6000000</v>
      </c>
      <c r="L20" s="271">
        <f t="shared" si="2"/>
        <v>0</v>
      </c>
      <c r="M20" s="75"/>
    </row>
    <row r="21" spans="1:13" ht="30" customHeight="1" x14ac:dyDescent="0.2">
      <c r="A21" s="301">
        <v>12</v>
      </c>
      <c r="B21" s="74" t="s">
        <v>554</v>
      </c>
      <c r="C21" s="317" t="s">
        <v>1300</v>
      </c>
      <c r="D21" s="70">
        <v>50000000</v>
      </c>
      <c r="E21" s="71">
        <v>0.05</v>
      </c>
      <c r="F21" s="70">
        <f t="shared" si="4"/>
        <v>2500000</v>
      </c>
      <c r="G21" s="70">
        <v>2500000</v>
      </c>
      <c r="H21" s="70" t="s">
        <v>544</v>
      </c>
      <c r="I21" s="20" t="s">
        <v>555</v>
      </c>
      <c r="J21" s="64" t="s">
        <v>556</v>
      </c>
      <c r="K21" s="70">
        <f t="shared" si="3"/>
        <v>2500000</v>
      </c>
      <c r="L21" s="70">
        <f t="shared" si="2"/>
        <v>0</v>
      </c>
      <c r="M21" s="75"/>
    </row>
    <row r="22" spans="1:13" ht="30" customHeight="1" x14ac:dyDescent="0.2">
      <c r="A22" s="301">
        <v>12</v>
      </c>
      <c r="B22" s="74" t="s">
        <v>560</v>
      </c>
      <c r="C22" s="317"/>
      <c r="D22" s="89">
        <v>7500000</v>
      </c>
      <c r="E22" s="73"/>
      <c r="F22" s="89">
        <v>300000</v>
      </c>
      <c r="G22" s="70">
        <v>300000</v>
      </c>
      <c r="H22" s="70" t="s">
        <v>544</v>
      </c>
      <c r="I22" s="20" t="s">
        <v>561</v>
      </c>
      <c r="J22" s="64" t="s">
        <v>562</v>
      </c>
      <c r="K22" s="70">
        <f t="shared" si="3"/>
        <v>300000</v>
      </c>
      <c r="L22" s="89">
        <f t="shared" si="2"/>
        <v>0</v>
      </c>
      <c r="M22" s="259" t="s">
        <v>1209</v>
      </c>
    </row>
    <row r="23" spans="1:13" ht="30" customHeight="1" x14ac:dyDescent="0.2">
      <c r="A23" s="301">
        <v>12</v>
      </c>
      <c r="B23" s="81" t="s">
        <v>607</v>
      </c>
      <c r="C23" s="317"/>
      <c r="D23" s="105">
        <v>32000000</v>
      </c>
      <c r="E23" s="107"/>
      <c r="F23" s="105">
        <v>1600000</v>
      </c>
      <c r="G23" s="78">
        <v>1600000</v>
      </c>
      <c r="H23" s="78" t="s">
        <v>580</v>
      </c>
      <c r="I23" s="20" t="s">
        <v>608</v>
      </c>
      <c r="J23" s="64" t="s">
        <v>609</v>
      </c>
      <c r="K23" s="78">
        <f t="shared" si="3"/>
        <v>1600000</v>
      </c>
      <c r="L23" s="271">
        <f t="shared" si="2"/>
        <v>0</v>
      </c>
      <c r="M23" s="80"/>
    </row>
    <row r="24" spans="1:13" ht="30" customHeight="1" x14ac:dyDescent="0.2">
      <c r="A24" s="4459">
        <v>21</v>
      </c>
      <c r="B24" s="4457" t="s">
        <v>658</v>
      </c>
      <c r="C24" s="4537"/>
      <c r="D24" s="4413">
        <v>300000000</v>
      </c>
      <c r="E24" s="4476">
        <v>0.05</v>
      </c>
      <c r="F24" s="4413">
        <f>D24*E24</f>
        <v>15000000</v>
      </c>
      <c r="G24" s="92">
        <v>10000000</v>
      </c>
      <c r="H24" s="92" t="s">
        <v>660</v>
      </c>
      <c r="I24" s="20" t="s">
        <v>661</v>
      </c>
      <c r="J24" s="64" t="s">
        <v>662</v>
      </c>
      <c r="K24" s="4413">
        <f>G24+G25</f>
        <v>15000000</v>
      </c>
      <c r="L24" s="4413">
        <f>F24-K24</f>
        <v>0</v>
      </c>
      <c r="M24" s="4482"/>
    </row>
    <row r="25" spans="1:13" ht="30" customHeight="1" x14ac:dyDescent="0.2">
      <c r="A25" s="4460"/>
      <c r="B25" s="4458"/>
      <c r="C25" s="4538"/>
      <c r="D25" s="4415"/>
      <c r="E25" s="4477"/>
      <c r="F25" s="4415"/>
      <c r="G25" s="92">
        <v>5000000</v>
      </c>
      <c r="H25" s="4303" t="s">
        <v>659</v>
      </c>
      <c r="I25" s="4355"/>
      <c r="J25" s="64"/>
      <c r="K25" s="4415"/>
      <c r="L25" s="4415"/>
      <c r="M25" s="4484"/>
    </row>
    <row r="26" spans="1:13" ht="30" customHeight="1" x14ac:dyDescent="0.2">
      <c r="A26" s="100">
        <v>22</v>
      </c>
      <c r="B26" s="103" t="s">
        <v>698</v>
      </c>
      <c r="C26" s="317"/>
      <c r="D26" s="99">
        <v>140000000</v>
      </c>
      <c r="E26" s="101">
        <v>7.0000000000000007E-2</v>
      </c>
      <c r="F26" s="99">
        <f>D26*E26</f>
        <v>9800000.0000000019</v>
      </c>
      <c r="G26" s="99">
        <v>9800000</v>
      </c>
      <c r="H26" s="98" t="s">
        <v>660</v>
      </c>
      <c r="I26" s="23">
        <v>121359436907</v>
      </c>
      <c r="J26" s="64" t="s">
        <v>699</v>
      </c>
      <c r="K26" s="99">
        <f>G26</f>
        <v>9800000</v>
      </c>
      <c r="L26" s="99">
        <f>F26-G26</f>
        <v>0</v>
      </c>
      <c r="M26" s="104"/>
    </row>
    <row r="27" spans="1:13" ht="30" customHeight="1" x14ac:dyDescent="0.2">
      <c r="A27" s="100">
        <v>23</v>
      </c>
      <c r="B27" s="103" t="s">
        <v>702</v>
      </c>
      <c r="C27" s="317"/>
      <c r="D27" s="99">
        <v>40000000</v>
      </c>
      <c r="E27" s="101">
        <v>0.05</v>
      </c>
      <c r="F27" s="99">
        <f>D27*E27</f>
        <v>2000000</v>
      </c>
      <c r="G27" s="99">
        <v>1000000</v>
      </c>
      <c r="H27" s="98" t="s">
        <v>660</v>
      </c>
      <c r="I27" s="23">
        <v>529113</v>
      </c>
      <c r="J27" s="64" t="s">
        <v>703</v>
      </c>
      <c r="K27" s="99">
        <f>G27</f>
        <v>1000000</v>
      </c>
      <c r="L27" s="99">
        <f>F27-K27</f>
        <v>1000000</v>
      </c>
      <c r="M27" s="109" t="s">
        <v>704</v>
      </c>
    </row>
    <row r="28" spans="1:13" ht="30" customHeight="1" x14ac:dyDescent="0.2">
      <c r="A28" s="301">
        <v>24</v>
      </c>
      <c r="B28" s="103" t="s">
        <v>718</v>
      </c>
      <c r="C28" s="317" t="s">
        <v>1296</v>
      </c>
      <c r="D28" s="105">
        <v>35000000</v>
      </c>
      <c r="E28" s="101">
        <v>5.8000000000000003E-2</v>
      </c>
      <c r="F28" s="99">
        <v>2000000</v>
      </c>
      <c r="G28" s="99">
        <v>2000000</v>
      </c>
      <c r="H28" s="98" t="s">
        <v>708</v>
      </c>
      <c r="I28" s="23">
        <v>121374044740</v>
      </c>
      <c r="J28" s="64" t="s">
        <v>719</v>
      </c>
      <c r="K28" s="99">
        <f>G28</f>
        <v>2000000</v>
      </c>
      <c r="L28" s="99">
        <f>F28-G28</f>
        <v>0</v>
      </c>
      <c r="M28" s="109"/>
    </row>
    <row r="29" spans="1:13" ht="30" customHeight="1" x14ac:dyDescent="0.2">
      <c r="A29" s="301">
        <v>25</v>
      </c>
      <c r="B29" s="126" t="s">
        <v>803</v>
      </c>
      <c r="C29" s="317"/>
      <c r="D29" s="122">
        <v>500000000</v>
      </c>
      <c r="E29" s="124">
        <v>4.4999999999999998E-2</v>
      </c>
      <c r="F29" s="122">
        <f>D29*E29</f>
        <v>22500000</v>
      </c>
      <c r="G29" s="122">
        <v>22500000</v>
      </c>
      <c r="H29" s="98" t="s">
        <v>734</v>
      </c>
      <c r="I29" s="23">
        <v>103212035229345</v>
      </c>
      <c r="J29" s="64" t="s">
        <v>802</v>
      </c>
      <c r="K29" s="122">
        <f>G29</f>
        <v>22500000</v>
      </c>
      <c r="L29" s="122">
        <f>F29-G29</f>
        <v>0</v>
      </c>
      <c r="M29" s="109"/>
    </row>
    <row r="30" spans="1:13" ht="30" customHeight="1" x14ac:dyDescent="0.2">
      <c r="A30" s="4459">
        <v>26</v>
      </c>
      <c r="B30" s="4457" t="s">
        <v>807</v>
      </c>
      <c r="C30" s="4537" t="s">
        <v>1299</v>
      </c>
      <c r="D30" s="4413">
        <v>500000000</v>
      </c>
      <c r="E30" s="4476">
        <v>7.0000000000000007E-2</v>
      </c>
      <c r="F30" s="4413">
        <f>D30*E30</f>
        <v>35000000</v>
      </c>
      <c r="G30" s="122">
        <v>10000000</v>
      </c>
      <c r="H30" s="98" t="s">
        <v>734</v>
      </c>
      <c r="I30" s="23">
        <v>1890633699</v>
      </c>
      <c r="J30" s="64" t="s">
        <v>808</v>
      </c>
      <c r="K30" s="4413">
        <f>G30+G31</f>
        <v>35000000</v>
      </c>
      <c r="L30" s="4413">
        <f>(G30+G31)-K30</f>
        <v>0</v>
      </c>
      <c r="M30" s="109"/>
    </row>
    <row r="31" spans="1:13" ht="30" customHeight="1" x14ac:dyDescent="0.2">
      <c r="A31" s="4460"/>
      <c r="B31" s="4458"/>
      <c r="C31" s="4538"/>
      <c r="D31" s="4415"/>
      <c r="E31" s="4477"/>
      <c r="F31" s="4415"/>
      <c r="G31" s="261">
        <v>25000000</v>
      </c>
      <c r="H31" s="98" t="s">
        <v>734</v>
      </c>
      <c r="I31" s="270">
        <v>1.4010321016255101E+17</v>
      </c>
      <c r="J31" s="64" t="s">
        <v>808</v>
      </c>
      <c r="K31" s="4415"/>
      <c r="L31" s="4415"/>
      <c r="M31" s="263"/>
    </row>
    <row r="32" spans="1:13" ht="30" customHeight="1" x14ac:dyDescent="0.2">
      <c r="A32" s="4459">
        <v>27</v>
      </c>
      <c r="B32" s="4457" t="s">
        <v>819</v>
      </c>
      <c r="C32" s="4537"/>
      <c r="D32" s="4413">
        <v>590000000</v>
      </c>
      <c r="E32" s="4476"/>
      <c r="F32" s="4413">
        <v>30000000</v>
      </c>
      <c r="G32" s="122">
        <v>20000000</v>
      </c>
      <c r="H32" s="98" t="s">
        <v>813</v>
      </c>
      <c r="I32" s="23">
        <v>845033</v>
      </c>
      <c r="J32" s="64" t="s">
        <v>820</v>
      </c>
      <c r="K32" s="4413">
        <f>G32+G33</f>
        <v>30000000</v>
      </c>
      <c r="L32" s="4413">
        <f>F32-K32</f>
        <v>0</v>
      </c>
      <c r="M32" s="109"/>
    </row>
    <row r="33" spans="1:13" ht="30" customHeight="1" x14ac:dyDescent="0.2">
      <c r="A33" s="4460"/>
      <c r="B33" s="4458"/>
      <c r="C33" s="4538"/>
      <c r="D33" s="4415"/>
      <c r="E33" s="4477"/>
      <c r="F33" s="4415"/>
      <c r="G33" s="122">
        <v>10000000</v>
      </c>
      <c r="H33" s="98" t="s">
        <v>660</v>
      </c>
      <c r="I33" s="23">
        <v>558135</v>
      </c>
      <c r="J33" s="64" t="s">
        <v>821</v>
      </c>
      <c r="K33" s="4415"/>
      <c r="L33" s="4415"/>
      <c r="M33" s="109"/>
    </row>
    <row r="34" spans="1:13" ht="30" customHeight="1" x14ac:dyDescent="0.2">
      <c r="A34" s="123">
        <v>28</v>
      </c>
      <c r="B34" s="126" t="s">
        <v>839</v>
      </c>
      <c r="C34" s="317"/>
      <c r="D34" s="271">
        <v>42000000</v>
      </c>
      <c r="E34" s="272">
        <v>7.0000000000000007E-2</v>
      </c>
      <c r="F34" s="271">
        <f>D34*E34</f>
        <v>2940000.0000000005</v>
      </c>
      <c r="G34" s="122">
        <v>2940000</v>
      </c>
      <c r="H34" s="98" t="s">
        <v>813</v>
      </c>
      <c r="I34" s="23">
        <v>121434954724</v>
      </c>
      <c r="J34" s="64" t="s">
        <v>840</v>
      </c>
      <c r="K34" s="122">
        <f>G34</f>
        <v>2940000</v>
      </c>
      <c r="L34" s="271">
        <f>F34-K34</f>
        <v>0</v>
      </c>
      <c r="M34" s="109"/>
    </row>
    <row r="35" spans="1:13" ht="30" customHeight="1" x14ac:dyDescent="0.2">
      <c r="A35" s="301">
        <v>29</v>
      </c>
      <c r="B35" s="126" t="s">
        <v>843</v>
      </c>
      <c r="C35" s="317"/>
      <c r="D35" s="122">
        <v>20000000</v>
      </c>
      <c r="E35" s="124">
        <v>0.04</v>
      </c>
      <c r="F35" s="122">
        <f>D35*E35</f>
        <v>800000</v>
      </c>
      <c r="G35" s="122">
        <v>800000</v>
      </c>
      <c r="H35" s="98" t="s">
        <v>813</v>
      </c>
      <c r="I35" s="23">
        <v>121436337175</v>
      </c>
      <c r="J35" s="64" t="s">
        <v>844</v>
      </c>
      <c r="K35" s="122">
        <f>G35</f>
        <v>800000</v>
      </c>
      <c r="L35" s="271">
        <f>F35-K35</f>
        <v>0</v>
      </c>
      <c r="M35" s="109"/>
    </row>
    <row r="36" spans="1:13" ht="30" customHeight="1" x14ac:dyDescent="0.2">
      <c r="A36" s="301">
        <v>30</v>
      </c>
      <c r="B36" s="142" t="s">
        <v>915</v>
      </c>
      <c r="C36" s="317"/>
      <c r="D36" s="137">
        <v>100000000</v>
      </c>
      <c r="E36" s="139">
        <v>7.0000000000000007E-2</v>
      </c>
      <c r="F36" s="137">
        <f>D36*E36</f>
        <v>7000000.0000000009</v>
      </c>
      <c r="G36" s="137">
        <v>7000000</v>
      </c>
      <c r="H36" s="98" t="s">
        <v>904</v>
      </c>
      <c r="I36" s="23">
        <v>653558748719</v>
      </c>
      <c r="J36" s="64" t="s">
        <v>916</v>
      </c>
      <c r="K36" s="137">
        <f>G36</f>
        <v>7000000</v>
      </c>
      <c r="L36" s="137">
        <f>F36-K36</f>
        <v>0</v>
      </c>
      <c r="M36" s="109"/>
    </row>
    <row r="37" spans="1:13" ht="30" customHeight="1" x14ac:dyDescent="0.2">
      <c r="A37" s="4459">
        <v>31</v>
      </c>
      <c r="B37" s="4457" t="s">
        <v>982</v>
      </c>
      <c r="C37" s="317"/>
      <c r="D37" s="157">
        <v>100000000</v>
      </c>
      <c r="E37" s="158">
        <v>0.05</v>
      </c>
      <c r="F37" s="157">
        <f t="shared" ref="F37:F38" si="5">D37*E37</f>
        <v>5000000</v>
      </c>
      <c r="G37" s="4413">
        <v>10000000</v>
      </c>
      <c r="H37" s="4413" t="s">
        <v>904</v>
      </c>
      <c r="I37" s="4566">
        <v>375599</v>
      </c>
      <c r="J37" s="4568" t="s">
        <v>983</v>
      </c>
      <c r="K37" s="4413">
        <f>G37</f>
        <v>10000000</v>
      </c>
      <c r="L37" s="4506">
        <f>(F37+F38)-K37</f>
        <v>-2550000</v>
      </c>
      <c r="M37" s="4492" t="s">
        <v>991</v>
      </c>
    </row>
    <row r="38" spans="1:13" ht="30" customHeight="1" x14ac:dyDescent="0.2">
      <c r="A38" s="4460"/>
      <c r="B38" s="4458"/>
      <c r="C38" s="317"/>
      <c r="D38" s="157">
        <v>35000000</v>
      </c>
      <c r="E38" s="158">
        <v>7.0000000000000007E-2</v>
      </c>
      <c r="F38" s="157">
        <f t="shared" si="5"/>
        <v>2450000.0000000005</v>
      </c>
      <c r="G38" s="4415"/>
      <c r="H38" s="4415"/>
      <c r="I38" s="4567"/>
      <c r="J38" s="4569"/>
      <c r="K38" s="4415"/>
      <c r="L38" s="4508"/>
      <c r="M38" s="4493"/>
    </row>
    <row r="39" spans="1:13" ht="30" customHeight="1" x14ac:dyDescent="0.2">
      <c r="A39" s="167">
        <v>32</v>
      </c>
      <c r="B39" s="168" t="s">
        <v>993</v>
      </c>
      <c r="C39" s="317"/>
      <c r="D39" s="169">
        <v>63580000</v>
      </c>
      <c r="E39" s="170">
        <v>7.0000000000000007E-2</v>
      </c>
      <c r="F39" s="169">
        <v>4450000</v>
      </c>
      <c r="G39" s="169">
        <v>4450000</v>
      </c>
      <c r="H39" s="169" t="s">
        <v>443</v>
      </c>
      <c r="I39" s="171" t="s">
        <v>483</v>
      </c>
      <c r="J39" s="64" t="s">
        <v>484</v>
      </c>
      <c r="K39" s="169">
        <f t="shared" ref="K39:K47" si="6">G39</f>
        <v>4450000</v>
      </c>
      <c r="L39" s="271">
        <f>F39-K39</f>
        <v>0</v>
      </c>
      <c r="M39" s="109"/>
    </row>
    <row r="40" spans="1:13" ht="30" customHeight="1" x14ac:dyDescent="0.2">
      <c r="A40" s="216">
        <v>33</v>
      </c>
      <c r="B40" s="217" t="s">
        <v>1110</v>
      </c>
      <c r="C40" s="317"/>
      <c r="D40" s="271">
        <v>20000000</v>
      </c>
      <c r="E40" s="272">
        <v>0.04</v>
      </c>
      <c r="F40" s="271">
        <f>D40*E40</f>
        <v>800000</v>
      </c>
      <c r="G40" s="219">
        <v>800000</v>
      </c>
      <c r="H40" s="219" t="s">
        <v>1101</v>
      </c>
      <c r="I40" s="222" t="s">
        <v>1111</v>
      </c>
      <c r="J40" s="64" t="s">
        <v>1112</v>
      </c>
      <c r="K40" s="219">
        <f t="shared" si="6"/>
        <v>800000</v>
      </c>
      <c r="L40" s="271">
        <f>F40-K40</f>
        <v>0</v>
      </c>
      <c r="M40" s="220"/>
    </row>
    <row r="41" spans="1:13" ht="30" customHeight="1" x14ac:dyDescent="0.2">
      <c r="A41" s="301">
        <v>34</v>
      </c>
      <c r="B41" s="41" t="s">
        <v>1150</v>
      </c>
      <c r="C41" s="317" t="s">
        <v>1138</v>
      </c>
      <c r="D41" s="236">
        <v>150000000</v>
      </c>
      <c r="E41" s="237">
        <v>0.06</v>
      </c>
      <c r="F41" s="236">
        <f>D41*E41</f>
        <v>9000000</v>
      </c>
      <c r="G41" s="236">
        <v>9000000</v>
      </c>
      <c r="H41" s="236" t="s">
        <v>1139</v>
      </c>
      <c r="I41" s="240" t="s">
        <v>1151</v>
      </c>
      <c r="J41" s="64" t="s">
        <v>1152</v>
      </c>
      <c r="K41" s="236">
        <f t="shared" si="6"/>
        <v>9000000</v>
      </c>
      <c r="L41" s="236">
        <f>F41-K41</f>
        <v>0</v>
      </c>
      <c r="M41" s="239"/>
    </row>
    <row r="42" spans="1:13" ht="30" customHeight="1" x14ac:dyDescent="0.2">
      <c r="A42" s="301">
        <v>35</v>
      </c>
      <c r="B42" s="235" t="s">
        <v>1155</v>
      </c>
      <c r="C42" s="317"/>
      <c r="D42" s="236">
        <v>50000000</v>
      </c>
      <c r="E42" s="237">
        <v>7.0000000000000007E-2</v>
      </c>
      <c r="F42" s="236">
        <f>D42*E42</f>
        <v>3500000.0000000005</v>
      </c>
      <c r="G42" s="236">
        <v>3500000</v>
      </c>
      <c r="H42" s="236" t="s">
        <v>1139</v>
      </c>
      <c r="I42" s="240" t="s">
        <v>1156</v>
      </c>
      <c r="J42" s="64" t="s">
        <v>1157</v>
      </c>
      <c r="K42" s="236">
        <f t="shared" si="6"/>
        <v>3500000</v>
      </c>
      <c r="L42" s="236">
        <f>F42-K42</f>
        <v>0</v>
      </c>
      <c r="M42" s="239"/>
    </row>
    <row r="43" spans="1:13" ht="30" customHeight="1" x14ac:dyDescent="0.2">
      <c r="A43" s="301">
        <v>36</v>
      </c>
      <c r="B43" s="252" t="s">
        <v>1221</v>
      </c>
      <c r="C43" s="317"/>
      <c r="D43" s="253">
        <v>140000000</v>
      </c>
      <c r="E43" s="254">
        <v>0.05</v>
      </c>
      <c r="F43" s="253">
        <f>D43*E43</f>
        <v>7000000</v>
      </c>
      <c r="G43" s="253">
        <v>7000000</v>
      </c>
      <c r="H43" s="253" t="s">
        <v>1216</v>
      </c>
      <c r="I43" s="256" t="s">
        <v>1222</v>
      </c>
      <c r="J43" s="64" t="s">
        <v>1223</v>
      </c>
      <c r="K43" s="253">
        <f t="shared" si="6"/>
        <v>7000000</v>
      </c>
      <c r="L43" s="253"/>
      <c r="M43" s="258"/>
    </row>
    <row r="44" spans="1:13" ht="30" customHeight="1" x14ac:dyDescent="0.2">
      <c r="A44" s="301">
        <v>37</v>
      </c>
      <c r="B44" s="278" t="s">
        <v>1254</v>
      </c>
      <c r="C44" s="317"/>
      <c r="D44" s="298"/>
      <c r="E44" s="299"/>
      <c r="F44" s="298"/>
      <c r="G44" s="279">
        <v>500000</v>
      </c>
      <c r="H44" s="279" t="s">
        <v>1249</v>
      </c>
      <c r="I44" s="283" t="s">
        <v>1255</v>
      </c>
      <c r="J44" s="64" t="s">
        <v>1256</v>
      </c>
      <c r="K44" s="279">
        <f t="shared" si="6"/>
        <v>500000</v>
      </c>
      <c r="L44" s="281">
        <f>F44-K44</f>
        <v>-500000</v>
      </c>
      <c r="M44" s="284" t="s">
        <v>1333</v>
      </c>
    </row>
    <row r="45" spans="1:13" ht="30" customHeight="1" x14ac:dyDescent="0.2">
      <c r="A45" s="301">
        <v>38</v>
      </c>
      <c r="B45" s="278" t="s">
        <v>1213</v>
      </c>
      <c r="C45" s="317"/>
      <c r="D45" s="298"/>
      <c r="E45" s="299"/>
      <c r="F45" s="298"/>
      <c r="G45" s="279">
        <v>25000000</v>
      </c>
      <c r="H45" s="279" t="s">
        <v>1249</v>
      </c>
      <c r="I45" s="283" t="s">
        <v>1258</v>
      </c>
      <c r="J45" s="64" t="s">
        <v>1259</v>
      </c>
      <c r="K45" s="279">
        <f t="shared" si="6"/>
        <v>25000000</v>
      </c>
      <c r="L45" s="281">
        <f>F45-K45</f>
        <v>-25000000</v>
      </c>
      <c r="M45" s="284"/>
    </row>
    <row r="46" spans="1:13" ht="30" customHeight="1" x14ac:dyDescent="0.2">
      <c r="A46" s="301">
        <v>39</v>
      </c>
      <c r="B46" s="278" t="s">
        <v>1265</v>
      </c>
      <c r="C46" s="317"/>
      <c r="D46" s="229">
        <v>16000000</v>
      </c>
      <c r="E46" s="300">
        <v>0.05</v>
      </c>
      <c r="F46" s="229">
        <f>D46*E46</f>
        <v>800000</v>
      </c>
      <c r="G46" s="279">
        <v>800000</v>
      </c>
      <c r="H46" s="279" t="s">
        <v>1266</v>
      </c>
      <c r="I46" s="283" t="s">
        <v>1267</v>
      </c>
      <c r="J46" s="64" t="s">
        <v>1268</v>
      </c>
      <c r="K46" s="279">
        <f t="shared" si="6"/>
        <v>800000</v>
      </c>
      <c r="L46" s="279">
        <f>F46-K46</f>
        <v>0</v>
      </c>
      <c r="M46" s="284"/>
    </row>
    <row r="47" spans="1:13" ht="30" customHeight="1" x14ac:dyDescent="0.2">
      <c r="A47" s="301">
        <v>40</v>
      </c>
      <c r="B47" s="302" t="s">
        <v>1285</v>
      </c>
      <c r="C47" s="317"/>
      <c r="D47" s="298"/>
      <c r="E47" s="299"/>
      <c r="F47" s="298"/>
      <c r="G47" s="303">
        <v>20000000</v>
      </c>
      <c r="H47" s="303" t="s">
        <v>1266</v>
      </c>
      <c r="I47" s="32" t="s">
        <v>1283</v>
      </c>
      <c r="J47" s="64" t="s">
        <v>1284</v>
      </c>
      <c r="K47" s="303">
        <f t="shared" si="6"/>
        <v>20000000</v>
      </c>
      <c r="L47" s="305">
        <f>F47-K47</f>
        <v>-20000000</v>
      </c>
      <c r="M47" s="308"/>
    </row>
    <row r="48" spans="1:13" ht="30" customHeight="1" x14ac:dyDescent="0.2">
      <c r="A48" s="301">
        <v>41</v>
      </c>
      <c r="B48" s="179" t="s">
        <v>183</v>
      </c>
      <c r="C48" s="317"/>
      <c r="D48" s="11">
        <v>60000000</v>
      </c>
      <c r="E48" s="17">
        <v>0.05</v>
      </c>
      <c r="F48" s="11">
        <f t="shared" ref="F48:F136" si="7">D48*E48</f>
        <v>3000000</v>
      </c>
      <c r="G48" s="11">
        <v>3000000</v>
      </c>
      <c r="H48" s="11" t="s">
        <v>748</v>
      </c>
      <c r="I48" s="20" t="s">
        <v>958</v>
      </c>
      <c r="J48" s="83" t="s">
        <v>260</v>
      </c>
      <c r="K48" s="11">
        <f t="shared" si="0"/>
        <v>3000000</v>
      </c>
      <c r="L48" s="11">
        <f t="shared" si="1"/>
        <v>0</v>
      </c>
      <c r="M48" s="22"/>
    </row>
    <row r="49" spans="1:13" ht="30" customHeight="1" x14ac:dyDescent="0.2">
      <c r="A49" s="301">
        <v>42</v>
      </c>
      <c r="B49" s="3" t="s">
        <v>1079</v>
      </c>
      <c r="C49" s="317"/>
      <c r="D49" s="271">
        <v>10000000</v>
      </c>
      <c r="E49" s="17">
        <v>0.05</v>
      </c>
      <c r="F49" s="271">
        <f>D49*E49</f>
        <v>500000</v>
      </c>
      <c r="G49" s="205">
        <v>600000</v>
      </c>
      <c r="H49" s="205" t="s">
        <v>684</v>
      </c>
      <c r="I49" s="210" t="s">
        <v>1041</v>
      </c>
      <c r="J49" s="83" t="s">
        <v>260</v>
      </c>
      <c r="K49" s="205">
        <f t="shared" si="0"/>
        <v>600000</v>
      </c>
      <c r="L49" s="271">
        <f>F49-K49</f>
        <v>-100000</v>
      </c>
      <c r="M49" s="22" t="s">
        <v>1245</v>
      </c>
    </row>
    <row r="50" spans="1:13" ht="30" customHeight="1" x14ac:dyDescent="0.2">
      <c r="A50" s="301">
        <v>43</v>
      </c>
      <c r="B50" s="3" t="s">
        <v>184</v>
      </c>
      <c r="C50" s="317"/>
      <c r="D50" s="271">
        <v>150000000</v>
      </c>
      <c r="E50" s="17">
        <v>0.05</v>
      </c>
      <c r="F50" s="271">
        <f t="shared" si="7"/>
        <v>7500000</v>
      </c>
      <c r="G50" s="11">
        <v>7500000</v>
      </c>
      <c r="H50" s="11" t="s">
        <v>684</v>
      </c>
      <c r="I50" s="20" t="s">
        <v>1042</v>
      </c>
      <c r="J50" s="6" t="s">
        <v>1043</v>
      </c>
      <c r="K50" s="11">
        <f t="shared" ref="K50:K137" si="8">G50</f>
        <v>7500000</v>
      </c>
      <c r="L50" s="271">
        <f t="shared" ref="L50:L137" si="9">F50-K50</f>
        <v>0</v>
      </c>
      <c r="M50" s="3"/>
    </row>
    <row r="51" spans="1:13" ht="30" customHeight="1" x14ac:dyDescent="0.2">
      <c r="A51" s="4459">
        <v>44</v>
      </c>
      <c r="B51" s="4474" t="s">
        <v>185</v>
      </c>
      <c r="C51" s="4537" t="s">
        <v>1295</v>
      </c>
      <c r="D51" s="4413">
        <v>1190000000</v>
      </c>
      <c r="E51" s="4476">
        <v>7.0000000000000007E-2</v>
      </c>
      <c r="F51" s="4413">
        <f t="shared" si="7"/>
        <v>83300000.000000015</v>
      </c>
      <c r="G51" s="322">
        <v>44600000</v>
      </c>
      <c r="H51" s="322" t="s">
        <v>683</v>
      </c>
      <c r="I51" s="324" t="s">
        <v>919</v>
      </c>
      <c r="J51" s="21" t="s">
        <v>920</v>
      </c>
      <c r="K51" s="4413">
        <f>G51+G52</f>
        <v>80900000</v>
      </c>
      <c r="L51" s="4413">
        <f>F51-K51</f>
        <v>2400000.0000000149</v>
      </c>
      <c r="M51" s="3"/>
    </row>
    <row r="52" spans="1:13" ht="30" customHeight="1" x14ac:dyDescent="0.2">
      <c r="A52" s="4460"/>
      <c r="B52" s="4475"/>
      <c r="C52" s="4538"/>
      <c r="D52" s="4415"/>
      <c r="E52" s="4477"/>
      <c r="F52" s="4415"/>
      <c r="G52" s="322">
        <v>36300000</v>
      </c>
      <c r="H52" s="322" t="s">
        <v>684</v>
      </c>
      <c r="I52" s="324" t="s">
        <v>1044</v>
      </c>
      <c r="J52" s="21" t="s">
        <v>920</v>
      </c>
      <c r="K52" s="4415"/>
      <c r="L52" s="4415"/>
      <c r="M52" s="3"/>
    </row>
    <row r="53" spans="1:13" ht="30" customHeight="1" x14ac:dyDescent="0.2">
      <c r="A53" s="4459">
        <v>45</v>
      </c>
      <c r="B53" s="4474" t="s">
        <v>186</v>
      </c>
      <c r="C53" s="4537" t="s">
        <v>1081</v>
      </c>
      <c r="D53" s="4303" t="s">
        <v>1203</v>
      </c>
      <c r="E53" s="4324"/>
      <c r="F53" s="4355"/>
      <c r="G53" s="11">
        <v>15000000</v>
      </c>
      <c r="H53" s="11" t="s">
        <v>684</v>
      </c>
      <c r="I53" s="20" t="s">
        <v>1075</v>
      </c>
      <c r="J53" s="21" t="s">
        <v>1076</v>
      </c>
      <c r="K53" s="11">
        <f t="shared" si="8"/>
        <v>15000000</v>
      </c>
      <c r="L53" s="243">
        <v>0</v>
      </c>
      <c r="M53" s="247" t="s">
        <v>1201</v>
      </c>
    </row>
    <row r="54" spans="1:13" ht="30" customHeight="1" x14ac:dyDescent="0.2">
      <c r="A54" s="4464"/>
      <c r="B54" s="4487"/>
      <c r="C54" s="4540"/>
      <c r="D54" s="4413">
        <v>1300000000</v>
      </c>
      <c r="E54" s="4476">
        <v>0.08</v>
      </c>
      <c r="F54" s="4413">
        <f>D54*E54</f>
        <v>104000000</v>
      </c>
      <c r="G54" s="243">
        <v>25000000</v>
      </c>
      <c r="H54" s="243" t="s">
        <v>1216</v>
      </c>
      <c r="I54" s="32" t="s">
        <v>1234</v>
      </c>
      <c r="J54" s="21" t="s">
        <v>1076</v>
      </c>
      <c r="K54" s="4413">
        <f>G54+G55+G56</f>
        <v>95000000</v>
      </c>
      <c r="L54" s="4413">
        <f>F54-K54</f>
        <v>9000000</v>
      </c>
      <c r="M54" s="247"/>
    </row>
    <row r="55" spans="1:13" ht="30" customHeight="1" x14ac:dyDescent="0.2">
      <c r="A55" s="4464"/>
      <c r="B55" s="4487"/>
      <c r="C55" s="4540"/>
      <c r="D55" s="4414"/>
      <c r="E55" s="4516"/>
      <c r="F55" s="4414"/>
      <c r="G55" s="303">
        <v>70000000</v>
      </c>
      <c r="H55" s="303" t="s">
        <v>1249</v>
      </c>
      <c r="I55" s="32" t="s">
        <v>1280</v>
      </c>
      <c r="J55" s="21" t="s">
        <v>1076</v>
      </c>
      <c r="K55" s="4414"/>
      <c r="L55" s="4414"/>
      <c r="M55" s="247"/>
    </row>
    <row r="56" spans="1:13" ht="30" customHeight="1" x14ac:dyDescent="0.2">
      <c r="A56" s="4464"/>
      <c r="B56" s="4487"/>
      <c r="C56" s="4540"/>
      <c r="D56" s="4415"/>
      <c r="E56" s="4477"/>
      <c r="F56" s="4415"/>
      <c r="G56" s="303"/>
      <c r="H56" s="303"/>
      <c r="I56" s="32"/>
      <c r="J56" s="21"/>
      <c r="K56" s="4415"/>
      <c r="L56" s="4415"/>
      <c r="M56" s="247"/>
    </row>
    <row r="57" spans="1:13" ht="30" customHeight="1" x14ac:dyDescent="0.2">
      <c r="A57" s="4460"/>
      <c r="B57" s="4475"/>
      <c r="C57" s="4538"/>
      <c r="D57" s="243">
        <v>1200000000</v>
      </c>
      <c r="E57" s="17">
        <v>0.08</v>
      </c>
      <c r="F57" s="243">
        <f>D57*E57</f>
        <v>96000000</v>
      </c>
      <c r="G57" s="4469" t="s">
        <v>1202</v>
      </c>
      <c r="H57" s="4470"/>
      <c r="I57" s="4470"/>
      <c r="J57" s="4470"/>
      <c r="K57" s="4470"/>
      <c r="L57" s="4471"/>
      <c r="M57" s="247"/>
    </row>
    <row r="58" spans="1:13" ht="30" customHeight="1" x14ac:dyDescent="0.2">
      <c r="A58" s="4">
        <v>46</v>
      </c>
      <c r="B58" s="3" t="s">
        <v>187</v>
      </c>
      <c r="C58" s="317" t="s">
        <v>1080</v>
      </c>
      <c r="D58" s="11">
        <v>20000000</v>
      </c>
      <c r="E58" s="17">
        <v>0.05</v>
      </c>
      <c r="F58" s="11">
        <f t="shared" si="7"/>
        <v>1000000</v>
      </c>
      <c r="G58" s="11">
        <v>1000000</v>
      </c>
      <c r="H58" s="11" t="s">
        <v>684</v>
      </c>
      <c r="I58" s="20" t="s">
        <v>1047</v>
      </c>
      <c r="J58" s="21" t="s">
        <v>1048</v>
      </c>
      <c r="K58" s="11">
        <f t="shared" si="8"/>
        <v>1000000</v>
      </c>
      <c r="L58" s="11">
        <f t="shared" si="9"/>
        <v>0</v>
      </c>
      <c r="M58" s="77" t="s">
        <v>5331</v>
      </c>
    </row>
    <row r="59" spans="1:13" ht="30" customHeight="1" x14ac:dyDescent="0.2">
      <c r="A59" s="4">
        <v>47</v>
      </c>
      <c r="B59" s="3" t="s">
        <v>188</v>
      </c>
      <c r="C59" s="317" t="s">
        <v>1081</v>
      </c>
      <c r="D59" s="11">
        <v>100000000</v>
      </c>
      <c r="E59" s="17">
        <v>0.05</v>
      </c>
      <c r="F59" s="11">
        <f t="shared" si="7"/>
        <v>5000000</v>
      </c>
      <c r="G59" s="11">
        <v>5000000</v>
      </c>
      <c r="H59" s="11" t="s">
        <v>684</v>
      </c>
      <c r="I59" s="20" t="s">
        <v>1049</v>
      </c>
      <c r="J59" s="21" t="s">
        <v>1050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189</v>
      </c>
      <c r="C60" s="317" t="s">
        <v>1295</v>
      </c>
      <c r="D60" s="320">
        <v>230000000</v>
      </c>
      <c r="E60" s="17">
        <v>0.05</v>
      </c>
      <c r="F60" s="320">
        <f t="shared" si="7"/>
        <v>11500000</v>
      </c>
      <c r="G60" s="11">
        <v>9000000</v>
      </c>
      <c r="H60" s="11" t="s">
        <v>684</v>
      </c>
      <c r="I60" s="32" t="s">
        <v>1051</v>
      </c>
      <c r="J60" s="21" t="s">
        <v>1052</v>
      </c>
      <c r="K60" s="11">
        <f t="shared" si="8"/>
        <v>9000000</v>
      </c>
      <c r="L60" s="320">
        <f t="shared" si="9"/>
        <v>2500000</v>
      </c>
      <c r="M60" s="3"/>
    </row>
    <row r="61" spans="1:13" ht="30" customHeight="1" x14ac:dyDescent="0.2">
      <c r="A61" s="4">
        <v>49</v>
      </c>
      <c r="B61" s="3" t="s">
        <v>190</v>
      </c>
      <c r="C61" s="317"/>
      <c r="D61" s="209">
        <v>350000000</v>
      </c>
      <c r="E61" s="40">
        <v>0.05</v>
      </c>
      <c r="F61" s="209">
        <f t="shared" si="7"/>
        <v>17500000</v>
      </c>
      <c r="G61" s="11">
        <v>17500000</v>
      </c>
      <c r="H61" s="11" t="s">
        <v>684</v>
      </c>
      <c r="I61" s="20" t="s">
        <v>1053</v>
      </c>
      <c r="J61" s="21" t="s">
        <v>1054</v>
      </c>
      <c r="K61" s="11">
        <f t="shared" si="8"/>
        <v>17500000</v>
      </c>
      <c r="L61" s="209">
        <f t="shared" si="9"/>
        <v>0</v>
      </c>
      <c r="M61" s="3"/>
    </row>
    <row r="62" spans="1:13" ht="30" customHeight="1" x14ac:dyDescent="0.2">
      <c r="A62" s="4459">
        <v>50</v>
      </c>
      <c r="B62" s="4474" t="s">
        <v>191</v>
      </c>
      <c r="C62" s="4537"/>
      <c r="D62" s="4541" t="s">
        <v>1246</v>
      </c>
      <c r="E62" s="4561"/>
      <c r="F62" s="4542"/>
      <c r="G62" s="11">
        <v>3000000</v>
      </c>
      <c r="H62" s="11" t="s">
        <v>684</v>
      </c>
      <c r="I62" s="20" t="s">
        <v>1055</v>
      </c>
      <c r="J62" s="21" t="s">
        <v>1056</v>
      </c>
      <c r="K62" s="4303"/>
      <c r="L62" s="4355"/>
      <c r="M62" s="3"/>
    </row>
    <row r="63" spans="1:13" ht="30" customHeight="1" x14ac:dyDescent="0.2">
      <c r="A63" s="4460"/>
      <c r="B63" s="4475"/>
      <c r="C63" s="4538"/>
      <c r="D63" s="277">
        <v>111000000</v>
      </c>
      <c r="E63" s="17">
        <v>4.4999999999999998E-2</v>
      </c>
      <c r="F63" s="277">
        <v>5000000</v>
      </c>
      <c r="G63" s="219">
        <v>5000000</v>
      </c>
      <c r="H63" s="219" t="s">
        <v>1002</v>
      </c>
      <c r="I63" s="222" t="s">
        <v>1087</v>
      </c>
      <c r="J63" s="21" t="s">
        <v>1088</v>
      </c>
      <c r="K63" s="277">
        <f>G63</f>
        <v>5000000</v>
      </c>
      <c r="L63" s="277">
        <f>F63-K63</f>
        <v>0</v>
      </c>
      <c r="M63" s="3"/>
    </row>
    <row r="64" spans="1:13" ht="30" customHeight="1" x14ac:dyDescent="0.2">
      <c r="A64" s="4">
        <v>51</v>
      </c>
      <c r="B64" s="3" t="s">
        <v>192</v>
      </c>
      <c r="C64" s="317"/>
      <c r="D64" s="209"/>
      <c r="E64" s="40"/>
      <c r="F64" s="209">
        <f t="shared" si="7"/>
        <v>0</v>
      </c>
      <c r="G64" s="11">
        <v>2700000</v>
      </c>
      <c r="H64" s="11" t="s">
        <v>684</v>
      </c>
      <c r="I64" s="20" t="s">
        <v>1057</v>
      </c>
      <c r="J64" s="21" t="s">
        <v>1058</v>
      </c>
      <c r="K64" s="11">
        <f t="shared" si="8"/>
        <v>2700000</v>
      </c>
      <c r="L64" s="209">
        <f t="shared" si="9"/>
        <v>-2700000</v>
      </c>
      <c r="M64" s="3"/>
    </row>
    <row r="65" spans="1:13" ht="30" customHeight="1" x14ac:dyDescent="0.2">
      <c r="A65" s="4459">
        <v>52</v>
      </c>
      <c r="B65" s="4474" t="s">
        <v>193</v>
      </c>
      <c r="C65" s="4537"/>
      <c r="D65" s="4413">
        <v>350000000</v>
      </c>
      <c r="E65" s="4476">
        <v>7.0000000000000007E-2</v>
      </c>
      <c r="F65" s="4413">
        <f t="shared" si="7"/>
        <v>24500000.000000004</v>
      </c>
      <c r="G65" s="11">
        <v>10000000</v>
      </c>
      <c r="H65" s="11" t="s">
        <v>265</v>
      </c>
      <c r="I65" s="20">
        <v>875354278</v>
      </c>
      <c r="J65" s="21" t="s">
        <v>281</v>
      </c>
      <c r="K65" s="4413">
        <f>G65+G66</f>
        <v>24500000</v>
      </c>
      <c r="L65" s="4413">
        <f>F65-K65</f>
        <v>0</v>
      </c>
      <c r="M65" s="4459"/>
    </row>
    <row r="66" spans="1:13" ht="30" customHeight="1" x14ac:dyDescent="0.2">
      <c r="A66" s="4464"/>
      <c r="B66" s="4487"/>
      <c r="C66" s="4540"/>
      <c r="D66" s="4415"/>
      <c r="E66" s="4477"/>
      <c r="F66" s="4415"/>
      <c r="G66" s="99">
        <v>14500000</v>
      </c>
      <c r="H66" s="99" t="s">
        <v>660</v>
      </c>
      <c r="I66" s="276" t="s">
        <v>693</v>
      </c>
      <c r="J66" s="21" t="s">
        <v>694</v>
      </c>
      <c r="K66" s="4415"/>
      <c r="L66" s="4415"/>
      <c r="M66" s="4460"/>
    </row>
    <row r="67" spans="1:13" ht="30" customHeight="1" x14ac:dyDescent="0.2">
      <c r="A67" s="4464"/>
      <c r="B67" s="4487"/>
      <c r="C67" s="4540"/>
      <c r="D67" s="209"/>
      <c r="E67" s="208"/>
      <c r="F67" s="209"/>
      <c r="G67" s="275">
        <v>5000000</v>
      </c>
      <c r="H67" s="275" t="s">
        <v>684</v>
      </c>
      <c r="I67" s="111" t="s">
        <v>1059</v>
      </c>
      <c r="J67" s="56" t="s">
        <v>281</v>
      </c>
      <c r="K67" s="275">
        <f>G67</f>
        <v>5000000</v>
      </c>
      <c r="L67" s="209"/>
      <c r="M67" s="204"/>
    </row>
    <row r="68" spans="1:13" ht="30" customHeight="1" x14ac:dyDescent="0.2">
      <c r="A68" s="4460"/>
      <c r="B68" s="4475"/>
      <c r="C68" s="4538"/>
      <c r="D68" s="209"/>
      <c r="E68" s="208"/>
      <c r="F68" s="209"/>
      <c r="G68" s="285">
        <v>9700000</v>
      </c>
      <c r="H68" s="285" t="s">
        <v>1069</v>
      </c>
      <c r="I68" s="286" t="s">
        <v>1074</v>
      </c>
      <c r="J68" s="287" t="s">
        <v>281</v>
      </c>
      <c r="K68" s="285">
        <f>G68</f>
        <v>9700000</v>
      </c>
      <c r="L68" s="209"/>
      <c r="M68" s="204"/>
    </row>
    <row r="69" spans="1:13" ht="30" customHeight="1" x14ac:dyDescent="0.2">
      <c r="A69" s="4459">
        <v>53</v>
      </c>
      <c r="B69" s="4474" t="s">
        <v>1060</v>
      </c>
      <c r="C69" s="4537"/>
      <c r="D69" s="11">
        <v>35000000</v>
      </c>
      <c r="E69" s="17">
        <v>7.1999999999999995E-2</v>
      </c>
      <c r="F69" s="11">
        <v>2500000</v>
      </c>
      <c r="G69" s="4413">
        <v>3500000</v>
      </c>
      <c r="H69" s="4413" t="s">
        <v>684</v>
      </c>
      <c r="I69" s="4555" t="s">
        <v>1061</v>
      </c>
      <c r="J69" s="4478" t="s">
        <v>946</v>
      </c>
      <c r="K69" s="4413">
        <f t="shared" si="8"/>
        <v>3500000</v>
      </c>
      <c r="L69" s="4413">
        <f>(F69+F70)-K69</f>
        <v>0</v>
      </c>
      <c r="M69" s="3"/>
    </row>
    <row r="70" spans="1:13" ht="30" customHeight="1" x14ac:dyDescent="0.2">
      <c r="A70" s="4460"/>
      <c r="B70" s="4475"/>
      <c r="C70" s="4538"/>
      <c r="D70" s="205">
        <v>13000000</v>
      </c>
      <c r="E70" s="17">
        <v>7.6999999999999999E-2</v>
      </c>
      <c r="F70" s="205">
        <v>1000000</v>
      </c>
      <c r="G70" s="4415"/>
      <c r="H70" s="4415"/>
      <c r="I70" s="4557"/>
      <c r="J70" s="4479"/>
      <c r="K70" s="4415"/>
      <c r="L70" s="4415"/>
      <c r="M70" s="3"/>
    </row>
    <row r="71" spans="1:13" ht="30" customHeight="1" x14ac:dyDescent="0.2">
      <c r="A71" s="4459">
        <v>54</v>
      </c>
      <c r="B71" s="4474" t="s">
        <v>1247</v>
      </c>
      <c r="C71" s="4537" t="s">
        <v>1295</v>
      </c>
      <c r="D71" s="271">
        <v>175000000</v>
      </c>
      <c r="E71" s="4476">
        <f>F71/(D71+D72)</f>
        <v>6.3461538461538458E-2</v>
      </c>
      <c r="F71" s="4413">
        <v>16500000</v>
      </c>
      <c r="G71" s="4413">
        <v>12600000</v>
      </c>
      <c r="H71" s="4413" t="s">
        <v>684</v>
      </c>
      <c r="I71" s="4555" t="s">
        <v>1062</v>
      </c>
      <c r="J71" s="4478" t="s">
        <v>1063</v>
      </c>
      <c r="K71" s="4413">
        <f t="shared" si="8"/>
        <v>12600000</v>
      </c>
      <c r="L71" s="4413">
        <f t="shared" si="9"/>
        <v>3900000</v>
      </c>
      <c r="M71" s="77" t="s">
        <v>1082</v>
      </c>
    </row>
    <row r="72" spans="1:13" ht="30" customHeight="1" x14ac:dyDescent="0.2">
      <c r="A72" s="4460"/>
      <c r="B72" s="4475"/>
      <c r="C72" s="4538"/>
      <c r="D72" s="273">
        <v>85000000</v>
      </c>
      <c r="E72" s="4477"/>
      <c r="F72" s="4415"/>
      <c r="G72" s="4415"/>
      <c r="H72" s="4415"/>
      <c r="I72" s="4557"/>
      <c r="J72" s="4479"/>
      <c r="K72" s="4415"/>
      <c r="L72" s="4415"/>
      <c r="M72" s="288"/>
    </row>
    <row r="73" spans="1:13" ht="30" customHeight="1" x14ac:dyDescent="0.2">
      <c r="A73" s="4459">
        <v>55</v>
      </c>
      <c r="B73" s="4474" t="s">
        <v>35</v>
      </c>
      <c r="C73" s="4537" t="s">
        <v>1295</v>
      </c>
      <c r="D73" s="4413">
        <v>3284000000</v>
      </c>
      <c r="E73" s="4476">
        <v>7.0000000000000007E-2</v>
      </c>
      <c r="F73" s="4413">
        <v>229880000</v>
      </c>
      <c r="G73" s="205">
        <v>30000000</v>
      </c>
      <c r="H73" s="205" t="s">
        <v>660</v>
      </c>
      <c r="I73" s="211" t="s">
        <v>677</v>
      </c>
      <c r="J73" s="21" t="s">
        <v>678</v>
      </c>
      <c r="K73" s="4413">
        <f>G73+G74+G75+G76+G77</f>
        <v>225000000</v>
      </c>
      <c r="L73" s="4413">
        <f>F73-K73</f>
        <v>4880000</v>
      </c>
      <c r="M73" s="4570"/>
    </row>
    <row r="74" spans="1:13" ht="30" customHeight="1" x14ac:dyDescent="0.2">
      <c r="A74" s="4464"/>
      <c r="B74" s="4487"/>
      <c r="C74" s="4540"/>
      <c r="D74" s="4414"/>
      <c r="E74" s="4516"/>
      <c r="F74" s="4414"/>
      <c r="G74" s="205">
        <v>50000000</v>
      </c>
      <c r="H74" s="205" t="s">
        <v>573</v>
      </c>
      <c r="I74" s="32" t="s">
        <v>685</v>
      </c>
      <c r="J74" s="21">
        <v>4730093049</v>
      </c>
      <c r="K74" s="4414"/>
      <c r="L74" s="4414"/>
      <c r="M74" s="4464"/>
    </row>
    <row r="75" spans="1:13" ht="30" customHeight="1" x14ac:dyDescent="0.2">
      <c r="A75" s="4464"/>
      <c r="B75" s="4487"/>
      <c r="C75" s="4540"/>
      <c r="D75" s="4414"/>
      <c r="E75" s="4516"/>
      <c r="F75" s="4414"/>
      <c r="G75" s="205">
        <v>45000000</v>
      </c>
      <c r="H75" s="205" t="s">
        <v>683</v>
      </c>
      <c r="I75" s="32" t="s">
        <v>686</v>
      </c>
      <c r="J75" s="21" t="s">
        <v>688</v>
      </c>
      <c r="K75" s="4414"/>
      <c r="L75" s="4414"/>
      <c r="M75" s="4464"/>
    </row>
    <row r="76" spans="1:13" ht="30" customHeight="1" x14ac:dyDescent="0.2">
      <c r="A76" s="4464"/>
      <c r="B76" s="4487"/>
      <c r="C76" s="4540"/>
      <c r="D76" s="4414"/>
      <c r="E76" s="4516"/>
      <c r="F76" s="4414"/>
      <c r="G76" s="205">
        <v>50000000</v>
      </c>
      <c r="H76" s="205" t="s">
        <v>684</v>
      </c>
      <c r="I76" s="32" t="s">
        <v>687</v>
      </c>
      <c r="J76" s="21">
        <v>4730093049</v>
      </c>
      <c r="K76" s="4414"/>
      <c r="L76" s="4414"/>
      <c r="M76" s="4460"/>
    </row>
    <row r="77" spans="1:13" ht="30" customHeight="1" x14ac:dyDescent="0.2">
      <c r="A77" s="4460"/>
      <c r="B77" s="4475"/>
      <c r="C77" s="4538"/>
      <c r="D77" s="4415"/>
      <c r="E77" s="4477"/>
      <c r="F77" s="4415"/>
      <c r="G77" s="205">
        <v>50000000</v>
      </c>
      <c r="H77" s="205" t="s">
        <v>984</v>
      </c>
      <c r="I77" s="32" t="s">
        <v>995</v>
      </c>
      <c r="J77" s="228">
        <v>110727081002</v>
      </c>
      <c r="K77" s="4415"/>
      <c r="L77" s="4415"/>
      <c r="M77" s="172"/>
    </row>
    <row r="78" spans="1:13" ht="30" customHeight="1" x14ac:dyDescent="0.2">
      <c r="A78" s="204">
        <v>56</v>
      </c>
      <c r="B78" s="207" t="s">
        <v>1077</v>
      </c>
      <c r="C78" s="317" t="s">
        <v>1298</v>
      </c>
      <c r="D78" s="205">
        <v>317000000</v>
      </c>
      <c r="E78" s="206">
        <v>7.0000000000000007E-2</v>
      </c>
      <c r="F78" s="205">
        <f>D78*E78</f>
        <v>22190000.000000004</v>
      </c>
      <c r="G78" s="209"/>
      <c r="H78" s="209"/>
      <c r="I78" s="111"/>
      <c r="J78" s="230"/>
      <c r="K78" s="209"/>
      <c r="L78" s="209"/>
      <c r="M78" s="204"/>
    </row>
    <row r="79" spans="1:13" ht="30" customHeight="1" x14ac:dyDescent="0.2">
      <c r="A79" s="4">
        <v>57</v>
      </c>
      <c r="B79" s="3" t="s">
        <v>1064</v>
      </c>
      <c r="C79" s="317"/>
      <c r="D79" s="11">
        <v>11000000</v>
      </c>
      <c r="E79" s="17">
        <v>5.5E-2</v>
      </c>
      <c r="F79" s="11">
        <v>600000</v>
      </c>
      <c r="G79" s="11">
        <v>600000</v>
      </c>
      <c r="H79" s="11" t="s">
        <v>684</v>
      </c>
      <c r="I79" s="20" t="s">
        <v>1065</v>
      </c>
      <c r="J79" s="83" t="s">
        <v>1066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4459">
        <v>58</v>
      </c>
      <c r="B80" s="4474" t="s">
        <v>194</v>
      </c>
      <c r="C80" s="4537" t="s">
        <v>1295</v>
      </c>
      <c r="D80" s="320">
        <v>90000000</v>
      </c>
      <c r="E80" s="17">
        <v>0.05</v>
      </c>
      <c r="F80" s="320">
        <f t="shared" si="7"/>
        <v>4500000</v>
      </c>
      <c r="G80" s="11">
        <v>4850000</v>
      </c>
      <c r="H80" s="11" t="s">
        <v>684</v>
      </c>
      <c r="I80" s="20" t="s">
        <v>1067</v>
      </c>
      <c r="J80" s="83" t="s">
        <v>1068</v>
      </c>
      <c r="K80" s="4413">
        <f t="shared" si="8"/>
        <v>4850000</v>
      </c>
      <c r="L80" s="4413">
        <f t="shared" si="9"/>
        <v>-350000</v>
      </c>
      <c r="M80" s="4535" t="s">
        <v>1302</v>
      </c>
    </row>
    <row r="81" spans="1:13" ht="30" customHeight="1" x14ac:dyDescent="0.2">
      <c r="A81" s="4460"/>
      <c r="B81" s="4475"/>
      <c r="C81" s="4538"/>
      <c r="D81" s="320">
        <v>10000000</v>
      </c>
      <c r="E81" s="17">
        <v>7.0000000000000007E-2</v>
      </c>
      <c r="F81" s="320">
        <f t="shared" si="7"/>
        <v>700000.00000000012</v>
      </c>
      <c r="G81" s="4469" t="s">
        <v>1301</v>
      </c>
      <c r="H81" s="4470"/>
      <c r="I81" s="4470"/>
      <c r="J81" s="4471"/>
      <c r="K81" s="4415"/>
      <c r="L81" s="4415"/>
      <c r="M81" s="4536"/>
    </row>
    <row r="82" spans="1:13" ht="30" customHeight="1" x14ac:dyDescent="0.2">
      <c r="A82" s="4">
        <v>59</v>
      </c>
      <c r="B82" s="3" t="s">
        <v>195</v>
      </c>
      <c r="C82" s="317"/>
      <c r="D82" s="209"/>
      <c r="E82" s="40"/>
      <c r="F82" s="209">
        <f t="shared" si="7"/>
        <v>0</v>
      </c>
      <c r="G82" s="11">
        <v>10000000</v>
      </c>
      <c r="H82" s="11" t="s">
        <v>1069</v>
      </c>
      <c r="I82" s="20" t="s">
        <v>1070</v>
      </c>
      <c r="J82" s="21" t="s">
        <v>1071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01">
        <v>60</v>
      </c>
      <c r="B83" s="3" t="s">
        <v>196</v>
      </c>
      <c r="C83" s="317"/>
      <c r="D83" s="11">
        <v>100000000</v>
      </c>
      <c r="E83" s="17">
        <v>7.0000000000000007E-2</v>
      </c>
      <c r="F83" s="11">
        <f t="shared" si="7"/>
        <v>7000000.0000000009</v>
      </c>
      <c r="G83" s="11">
        <v>7000000</v>
      </c>
      <c r="H83" s="11" t="s">
        <v>1069</v>
      </c>
      <c r="I83" s="211" t="s">
        <v>1072</v>
      </c>
      <c r="J83" s="21" t="s">
        <v>1073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197</v>
      </c>
      <c r="C84" s="317"/>
      <c r="D84" s="281"/>
      <c r="E84" s="40"/>
      <c r="F84" s="281">
        <f t="shared" si="7"/>
        <v>0</v>
      </c>
      <c r="G84" s="11">
        <v>3250000</v>
      </c>
      <c r="H84" s="11" t="s">
        <v>1249</v>
      </c>
      <c r="I84" s="20" t="s">
        <v>1250</v>
      </c>
      <c r="J84" s="293" t="s">
        <v>1251</v>
      </c>
      <c r="K84" s="11">
        <f t="shared" si="8"/>
        <v>3250000</v>
      </c>
      <c r="L84" s="281">
        <f t="shared" si="9"/>
        <v>-3250000</v>
      </c>
      <c r="M84" s="3"/>
    </row>
    <row r="85" spans="1:13" ht="30" customHeight="1" x14ac:dyDescent="0.2">
      <c r="A85" s="4459">
        <v>62</v>
      </c>
      <c r="B85" s="4474" t="s">
        <v>198</v>
      </c>
      <c r="C85" s="4537" t="s">
        <v>1295</v>
      </c>
      <c r="D85" s="4413">
        <v>1250000000</v>
      </c>
      <c r="E85" s="4512"/>
      <c r="F85" s="4413">
        <v>81250000</v>
      </c>
      <c r="G85" s="11">
        <v>22500000</v>
      </c>
      <c r="H85" s="11" t="s">
        <v>754</v>
      </c>
      <c r="I85" s="20" t="s">
        <v>765</v>
      </c>
      <c r="J85" s="21">
        <v>4003</v>
      </c>
      <c r="K85" s="4413">
        <f>G85+G86</f>
        <v>62500000</v>
      </c>
      <c r="L85" s="4413">
        <f t="shared" si="9"/>
        <v>18750000</v>
      </c>
      <c r="M85" s="4535" t="s">
        <v>1494</v>
      </c>
    </row>
    <row r="86" spans="1:13" ht="30" customHeight="1" x14ac:dyDescent="0.2">
      <c r="A86" s="4460"/>
      <c r="B86" s="4475"/>
      <c r="C86" s="4538"/>
      <c r="D86" s="4415"/>
      <c r="E86" s="4514"/>
      <c r="F86" s="4415"/>
      <c r="G86" s="137">
        <v>40000000</v>
      </c>
      <c r="H86" s="137" t="s">
        <v>683</v>
      </c>
      <c r="I86" s="145" t="s">
        <v>922</v>
      </c>
      <c r="J86" s="141" t="s">
        <v>921</v>
      </c>
      <c r="K86" s="4415"/>
      <c r="L86" s="4415"/>
      <c r="M86" s="4536"/>
    </row>
    <row r="87" spans="1:13" ht="30" customHeight="1" x14ac:dyDescent="0.2">
      <c r="A87" s="4">
        <v>63</v>
      </c>
      <c r="B87" s="3" t="s">
        <v>199</v>
      </c>
      <c r="C87" s="317"/>
      <c r="D87" s="11">
        <v>200000000</v>
      </c>
      <c r="E87" s="17">
        <v>5.0999999999999997E-2</v>
      </c>
      <c r="F87" s="11">
        <f t="shared" si="7"/>
        <v>10200000</v>
      </c>
      <c r="G87" s="11">
        <v>10200000</v>
      </c>
      <c r="H87" s="11" t="s">
        <v>683</v>
      </c>
      <c r="I87" s="20" t="s">
        <v>923</v>
      </c>
      <c r="J87" s="21" t="s">
        <v>924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200</v>
      </c>
      <c r="C88" s="317"/>
      <c r="D88" s="11">
        <v>300000000</v>
      </c>
      <c r="E88" s="17">
        <v>0.04</v>
      </c>
      <c r="F88" s="11">
        <f t="shared" si="7"/>
        <v>12000000</v>
      </c>
      <c r="G88" s="11">
        <v>12000000</v>
      </c>
      <c r="H88" s="11" t="s">
        <v>683</v>
      </c>
      <c r="I88" s="20" t="s">
        <v>925</v>
      </c>
      <c r="J88" s="21" t="s">
        <v>926</v>
      </c>
      <c r="K88" s="11">
        <f t="shared" si="8"/>
        <v>12000000</v>
      </c>
      <c r="L88" s="11">
        <f t="shared" si="9"/>
        <v>0</v>
      </c>
      <c r="M88" s="2874" t="s">
        <v>1522</v>
      </c>
    </row>
    <row r="89" spans="1:13" ht="30" customHeight="1" x14ac:dyDescent="0.2">
      <c r="A89" s="4">
        <v>65</v>
      </c>
      <c r="B89" s="3" t="s">
        <v>201</v>
      </c>
      <c r="C89" s="317"/>
      <c r="D89" s="140"/>
      <c r="E89" s="40"/>
      <c r="F89" s="140">
        <f t="shared" si="7"/>
        <v>0</v>
      </c>
      <c r="G89" s="11">
        <v>7440000</v>
      </c>
      <c r="H89" s="11" t="s">
        <v>683</v>
      </c>
      <c r="I89" s="20" t="s">
        <v>927</v>
      </c>
      <c r="J89" s="21" t="s">
        <v>928</v>
      </c>
      <c r="K89" s="11">
        <f t="shared" si="8"/>
        <v>7440000</v>
      </c>
      <c r="L89" s="140">
        <f t="shared" si="9"/>
        <v>-7440000</v>
      </c>
      <c r="M89" s="3"/>
    </row>
    <row r="90" spans="1:13" ht="30" customHeight="1" x14ac:dyDescent="0.2">
      <c r="A90" s="4">
        <v>66</v>
      </c>
      <c r="B90" s="3" t="s">
        <v>180</v>
      </c>
      <c r="C90" s="317"/>
      <c r="D90" s="140"/>
      <c r="E90" s="40"/>
      <c r="F90" s="140">
        <f t="shared" si="7"/>
        <v>0</v>
      </c>
      <c r="G90" s="11">
        <v>2750000</v>
      </c>
      <c r="H90" s="11" t="s">
        <v>683</v>
      </c>
      <c r="I90" s="20" t="s">
        <v>929</v>
      </c>
      <c r="J90" s="6" t="s">
        <v>930</v>
      </c>
      <c r="K90" s="11">
        <f t="shared" si="8"/>
        <v>2750000</v>
      </c>
      <c r="L90" s="140">
        <f t="shared" si="9"/>
        <v>-2750000</v>
      </c>
      <c r="M90" s="3"/>
    </row>
    <row r="91" spans="1:13" ht="30" customHeight="1" x14ac:dyDescent="0.2">
      <c r="A91" s="4">
        <v>67</v>
      </c>
      <c r="B91" s="3" t="s">
        <v>202</v>
      </c>
      <c r="C91" s="317"/>
      <c r="D91" s="11">
        <v>150000000</v>
      </c>
      <c r="E91" s="17">
        <v>0.05</v>
      </c>
      <c r="F91" s="11">
        <f t="shared" si="7"/>
        <v>7500000</v>
      </c>
      <c r="G91" s="11">
        <v>7500000</v>
      </c>
      <c r="H91" s="11" t="s">
        <v>683</v>
      </c>
      <c r="I91" s="20" t="s">
        <v>931</v>
      </c>
      <c r="J91" s="21" t="s">
        <v>932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203</v>
      </c>
      <c r="C92" s="317"/>
      <c r="D92" s="140"/>
      <c r="E92" s="40"/>
      <c r="F92" s="140">
        <f t="shared" si="7"/>
        <v>0</v>
      </c>
      <c r="G92" s="11">
        <v>9600000</v>
      </c>
      <c r="H92" s="11" t="s">
        <v>683</v>
      </c>
      <c r="I92" s="32" t="s">
        <v>933</v>
      </c>
      <c r="J92" s="21" t="s">
        <v>934</v>
      </c>
      <c r="K92" s="11">
        <f t="shared" si="8"/>
        <v>9600000</v>
      </c>
      <c r="L92" s="140">
        <f t="shared" si="9"/>
        <v>-9600000</v>
      </c>
      <c r="M92" s="3"/>
    </row>
    <row r="93" spans="1:13" ht="30" customHeight="1" x14ac:dyDescent="0.2">
      <c r="A93" s="4">
        <v>69</v>
      </c>
      <c r="B93" s="3" t="s">
        <v>204</v>
      </c>
      <c r="C93" s="317"/>
      <c r="D93" s="332">
        <v>100000000</v>
      </c>
      <c r="E93" s="17">
        <v>0.04</v>
      </c>
      <c r="F93" s="332">
        <f t="shared" si="7"/>
        <v>4000000</v>
      </c>
      <c r="G93" s="11">
        <v>4000000</v>
      </c>
      <c r="H93" s="11" t="s">
        <v>683</v>
      </c>
      <c r="I93" s="20" t="s">
        <v>935</v>
      </c>
      <c r="J93" s="83" t="s">
        <v>936</v>
      </c>
      <c r="K93" s="11">
        <f t="shared" si="8"/>
        <v>4000000</v>
      </c>
      <c r="L93" s="140">
        <f t="shared" si="9"/>
        <v>0</v>
      </c>
      <c r="M93" s="3"/>
    </row>
    <row r="94" spans="1:13" ht="30" customHeight="1" x14ac:dyDescent="0.2">
      <c r="A94" s="4">
        <v>70</v>
      </c>
      <c r="B94" s="3" t="s">
        <v>205</v>
      </c>
      <c r="C94" s="317" t="s">
        <v>942</v>
      </c>
      <c r="D94" s="11">
        <v>20000000</v>
      </c>
      <c r="E94" s="17">
        <v>0.05</v>
      </c>
      <c r="F94" s="11">
        <f t="shared" si="7"/>
        <v>1000000</v>
      </c>
      <c r="G94" s="11">
        <v>1000000</v>
      </c>
      <c r="H94" s="11" t="s">
        <v>748</v>
      </c>
      <c r="I94" s="20" t="s">
        <v>938</v>
      </c>
      <c r="J94" s="21" t="s">
        <v>939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1023</v>
      </c>
      <c r="C95" s="317"/>
      <c r="D95" s="140">
        <v>1000000000</v>
      </c>
      <c r="E95" s="40">
        <v>5.5E-2</v>
      </c>
      <c r="F95" s="140">
        <f t="shared" si="7"/>
        <v>55000000</v>
      </c>
      <c r="G95" s="11">
        <v>50000000</v>
      </c>
      <c r="H95" s="11" t="s">
        <v>748</v>
      </c>
      <c r="I95" s="145" t="s">
        <v>940</v>
      </c>
      <c r="J95" s="21" t="s">
        <v>941</v>
      </c>
      <c r="K95" s="11">
        <f t="shared" si="8"/>
        <v>50000000</v>
      </c>
      <c r="L95" s="140">
        <f t="shared" si="9"/>
        <v>5000000</v>
      </c>
      <c r="M95" s="3"/>
    </row>
    <row r="96" spans="1:13" ht="30" customHeight="1" x14ac:dyDescent="0.2">
      <c r="A96" s="4">
        <v>72</v>
      </c>
      <c r="B96" s="3" t="s">
        <v>206</v>
      </c>
      <c r="C96" s="317" t="s">
        <v>1293</v>
      </c>
      <c r="D96" s="11">
        <v>20000000</v>
      </c>
      <c r="E96" s="17">
        <v>0.05</v>
      </c>
      <c r="F96" s="11">
        <f t="shared" si="7"/>
        <v>1000000</v>
      </c>
      <c r="G96" s="11">
        <v>1000000</v>
      </c>
      <c r="H96" s="11" t="s">
        <v>748</v>
      </c>
      <c r="I96" s="20" t="s">
        <v>943</v>
      </c>
      <c r="J96" s="21" t="s">
        <v>944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207</v>
      </c>
      <c r="C97" s="317"/>
      <c r="D97" s="11">
        <v>125000000</v>
      </c>
      <c r="E97" s="17">
        <v>0.04</v>
      </c>
      <c r="F97" s="11">
        <f t="shared" si="7"/>
        <v>5000000</v>
      </c>
      <c r="G97" s="11">
        <v>5000000</v>
      </c>
      <c r="H97" s="11" t="s">
        <v>748</v>
      </c>
      <c r="I97" s="20" t="s">
        <v>945</v>
      </c>
      <c r="J97" s="21" t="s">
        <v>946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208</v>
      </c>
      <c r="C98" s="317"/>
      <c r="D98" s="11">
        <v>50000000</v>
      </c>
      <c r="E98" s="17">
        <v>0.05</v>
      </c>
      <c r="F98" s="11">
        <f t="shared" si="7"/>
        <v>2500000</v>
      </c>
      <c r="G98" s="11">
        <v>2500000</v>
      </c>
      <c r="H98" s="11" t="s">
        <v>748</v>
      </c>
      <c r="I98" s="20" t="s">
        <v>947</v>
      </c>
      <c r="J98" s="21" t="s">
        <v>948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209</v>
      </c>
      <c r="C99" s="317"/>
      <c r="D99" s="11">
        <v>100000000</v>
      </c>
      <c r="E99" s="17">
        <v>0.05</v>
      </c>
      <c r="F99" s="11">
        <f t="shared" si="7"/>
        <v>5000000</v>
      </c>
      <c r="G99" s="11">
        <v>5000000</v>
      </c>
      <c r="H99" s="11" t="s">
        <v>748</v>
      </c>
      <c r="I99" s="20" t="s">
        <v>949</v>
      </c>
      <c r="J99" s="21" t="s">
        <v>950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4459">
        <v>76</v>
      </c>
      <c r="B100" s="4474" t="s">
        <v>210</v>
      </c>
      <c r="C100" s="4537"/>
      <c r="D100" s="11">
        <v>30000000</v>
      </c>
      <c r="E100" s="17">
        <v>7.0000000000000007E-2</v>
      </c>
      <c r="F100" s="140">
        <f t="shared" si="7"/>
        <v>2100000</v>
      </c>
      <c r="G100" s="165">
        <v>1900000</v>
      </c>
      <c r="H100" s="4413" t="s">
        <v>748</v>
      </c>
      <c r="I100" s="4555" t="s">
        <v>951</v>
      </c>
      <c r="J100" s="4574" t="s">
        <v>952</v>
      </c>
      <c r="K100" s="4413">
        <f t="shared" si="8"/>
        <v>1900000</v>
      </c>
      <c r="L100" s="4506">
        <f>F100-K100</f>
        <v>200000</v>
      </c>
      <c r="M100" s="3"/>
    </row>
    <row r="101" spans="1:13" ht="30" customHeight="1" x14ac:dyDescent="0.2">
      <c r="A101" s="4460"/>
      <c r="B101" s="4475"/>
      <c r="C101" s="4538"/>
      <c r="D101" s="137">
        <v>35000000</v>
      </c>
      <c r="E101" s="17">
        <v>4.4999999999999998E-2</v>
      </c>
      <c r="F101" s="137">
        <f t="shared" si="7"/>
        <v>1575000</v>
      </c>
      <c r="G101" s="166" t="s">
        <v>953</v>
      </c>
      <c r="H101" s="4415"/>
      <c r="I101" s="4557"/>
      <c r="J101" s="4575"/>
      <c r="K101" s="4415"/>
      <c r="L101" s="4508"/>
      <c r="M101" s="3"/>
    </row>
    <row r="102" spans="1:13" ht="30" customHeight="1" x14ac:dyDescent="0.2">
      <c r="A102" s="4">
        <v>77</v>
      </c>
      <c r="B102" s="3" t="s">
        <v>211</v>
      </c>
      <c r="C102" s="317"/>
      <c r="D102" s="140"/>
      <c r="E102" s="40"/>
      <c r="F102" s="140">
        <f t="shared" si="7"/>
        <v>0</v>
      </c>
      <c r="G102" s="11">
        <v>1900000</v>
      </c>
      <c r="H102" s="11" t="s">
        <v>748</v>
      </c>
      <c r="I102" s="20" t="s">
        <v>954</v>
      </c>
      <c r="J102" s="83" t="s">
        <v>955</v>
      </c>
      <c r="K102" s="11">
        <f t="shared" si="8"/>
        <v>1900000</v>
      </c>
      <c r="L102" s="140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212</v>
      </c>
      <c r="C103" s="317"/>
      <c r="D103" s="11">
        <v>15000000</v>
      </c>
      <c r="E103" s="17">
        <v>4.4999999999999998E-2</v>
      </c>
      <c r="F103" s="11">
        <f t="shared" si="7"/>
        <v>675000</v>
      </c>
      <c r="G103" s="11">
        <v>675000</v>
      </c>
      <c r="H103" s="11" t="s">
        <v>748</v>
      </c>
      <c r="I103" s="20" t="s">
        <v>956</v>
      </c>
      <c r="J103" s="21" t="s">
        <v>957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182</v>
      </c>
      <c r="C104" s="317"/>
      <c r="D104" s="140"/>
      <c r="E104" s="40"/>
      <c r="F104" s="140">
        <f t="shared" si="7"/>
        <v>0</v>
      </c>
      <c r="G104" s="11">
        <v>4750000</v>
      </c>
      <c r="H104" s="11" t="s">
        <v>748</v>
      </c>
      <c r="I104" s="20" t="s">
        <v>959</v>
      </c>
      <c r="J104" s="6" t="s">
        <v>960</v>
      </c>
      <c r="K104" s="11">
        <f t="shared" si="8"/>
        <v>4750000</v>
      </c>
      <c r="L104" s="140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213</v>
      </c>
      <c r="C105" s="317"/>
      <c r="D105" s="140"/>
      <c r="E105" s="40"/>
      <c r="F105" s="140">
        <f t="shared" si="7"/>
        <v>0</v>
      </c>
      <c r="G105" s="11">
        <v>200000</v>
      </c>
      <c r="H105" s="11" t="s">
        <v>748</v>
      </c>
      <c r="I105" s="20" t="s">
        <v>961</v>
      </c>
      <c r="J105" s="21" t="s">
        <v>962</v>
      </c>
      <c r="K105" s="11">
        <f t="shared" si="8"/>
        <v>200000</v>
      </c>
      <c r="L105" s="140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214</v>
      </c>
      <c r="C106" s="317"/>
      <c r="D106" s="11">
        <v>16000000</v>
      </c>
      <c r="E106" s="17">
        <v>0.05</v>
      </c>
      <c r="F106" s="11">
        <f t="shared" si="7"/>
        <v>800000</v>
      </c>
      <c r="G106" s="11">
        <v>800000</v>
      </c>
      <c r="H106" s="11" t="s">
        <v>748</v>
      </c>
      <c r="I106" s="20" t="s">
        <v>963</v>
      </c>
      <c r="J106" s="83" t="s">
        <v>964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215</v>
      </c>
      <c r="C107" s="317" t="s">
        <v>1295</v>
      </c>
      <c r="D107" s="11">
        <v>200000000</v>
      </c>
      <c r="E107" s="17">
        <v>0.05</v>
      </c>
      <c r="F107" s="11">
        <f t="shared" si="7"/>
        <v>10000000</v>
      </c>
      <c r="G107" s="11">
        <v>10000000</v>
      </c>
      <c r="H107" s="11" t="s">
        <v>748</v>
      </c>
      <c r="I107" s="20" t="s">
        <v>965</v>
      </c>
      <c r="J107" s="6" t="s">
        <v>966</v>
      </c>
      <c r="K107" s="11">
        <f t="shared" si="8"/>
        <v>10000000</v>
      </c>
      <c r="L107" s="11">
        <f t="shared" si="9"/>
        <v>0</v>
      </c>
      <c r="M107" s="3" t="s">
        <v>1454</v>
      </c>
    </row>
    <row r="108" spans="1:13" ht="30" customHeight="1" x14ac:dyDescent="0.2">
      <c r="A108" s="4">
        <v>83</v>
      </c>
      <c r="B108" s="3" t="s">
        <v>216</v>
      </c>
      <c r="C108" s="317"/>
      <c r="D108" s="140"/>
      <c r="E108" s="40"/>
      <c r="F108" s="140">
        <f t="shared" si="7"/>
        <v>0</v>
      </c>
      <c r="G108" s="11">
        <v>24400000</v>
      </c>
      <c r="H108" s="11" t="s">
        <v>748</v>
      </c>
      <c r="I108" s="20" t="s">
        <v>967</v>
      </c>
      <c r="J108" s="83" t="s">
        <v>968</v>
      </c>
      <c r="K108" s="11">
        <f t="shared" si="8"/>
        <v>24400000</v>
      </c>
      <c r="L108" s="140">
        <f t="shared" si="9"/>
        <v>-24400000</v>
      </c>
      <c r="M108" s="3"/>
    </row>
    <row r="109" spans="1:13" ht="30" customHeight="1" x14ac:dyDescent="0.2">
      <c r="A109" s="4459">
        <v>84</v>
      </c>
      <c r="B109" s="4474" t="s">
        <v>975</v>
      </c>
      <c r="C109" s="4537"/>
      <c r="D109" s="137">
        <v>200000000</v>
      </c>
      <c r="E109" s="17">
        <v>0.06</v>
      </c>
      <c r="F109" s="137">
        <f t="shared" si="7"/>
        <v>12000000</v>
      </c>
      <c r="G109" s="4413">
        <v>35600000</v>
      </c>
      <c r="H109" s="4413" t="s">
        <v>748</v>
      </c>
      <c r="I109" s="4555" t="s">
        <v>969</v>
      </c>
      <c r="J109" s="4558" t="s">
        <v>970</v>
      </c>
      <c r="K109" s="4413">
        <f t="shared" si="8"/>
        <v>35600000</v>
      </c>
      <c r="L109" s="4413">
        <f>(F109+F110+F111)-K109</f>
        <v>0</v>
      </c>
      <c r="M109" s="4457" t="s">
        <v>78</v>
      </c>
    </row>
    <row r="110" spans="1:13" ht="30" customHeight="1" x14ac:dyDescent="0.2">
      <c r="A110" s="4464"/>
      <c r="B110" s="4487"/>
      <c r="C110" s="4540"/>
      <c r="D110" s="137">
        <v>458000000</v>
      </c>
      <c r="E110" s="17">
        <v>0.05</v>
      </c>
      <c r="F110" s="137">
        <f t="shared" si="7"/>
        <v>22900000</v>
      </c>
      <c r="G110" s="4414"/>
      <c r="H110" s="4414"/>
      <c r="I110" s="4556"/>
      <c r="J110" s="4559"/>
      <c r="K110" s="4414"/>
      <c r="L110" s="4414"/>
      <c r="M110" s="4488"/>
    </row>
    <row r="111" spans="1:13" ht="30" customHeight="1" x14ac:dyDescent="0.2">
      <c r="A111" s="4460"/>
      <c r="B111" s="4475"/>
      <c r="C111" s="4538"/>
      <c r="D111" s="1552">
        <v>10000000</v>
      </c>
      <c r="E111" s="1555">
        <v>7.0000000000000007E-2</v>
      </c>
      <c r="F111" s="1552">
        <f t="shared" si="7"/>
        <v>700000.00000000012</v>
      </c>
      <c r="G111" s="4415"/>
      <c r="H111" s="4415"/>
      <c r="I111" s="4557"/>
      <c r="J111" s="4560"/>
      <c r="K111" s="4415"/>
      <c r="L111" s="4415"/>
      <c r="M111" s="4458"/>
    </row>
    <row r="112" spans="1:13" ht="30" customHeight="1" x14ac:dyDescent="0.2">
      <c r="A112" s="4">
        <v>85</v>
      </c>
      <c r="B112" s="3" t="s">
        <v>217</v>
      </c>
      <c r="C112" s="317"/>
      <c r="D112" s="1552">
        <v>100000000</v>
      </c>
      <c r="E112" s="1555">
        <v>0.05</v>
      </c>
      <c r="F112" s="1552">
        <f t="shared" si="7"/>
        <v>5000000</v>
      </c>
      <c r="G112" s="11">
        <v>5000000</v>
      </c>
      <c r="H112" s="11" t="s">
        <v>748</v>
      </c>
      <c r="I112" s="20" t="s">
        <v>971</v>
      </c>
      <c r="J112" s="6" t="s">
        <v>972</v>
      </c>
      <c r="K112" s="11">
        <f t="shared" si="8"/>
        <v>5000000</v>
      </c>
      <c r="L112" s="140">
        <f t="shared" si="9"/>
        <v>0</v>
      </c>
      <c r="M112" s="3"/>
    </row>
    <row r="113" spans="1:13" ht="30" customHeight="1" x14ac:dyDescent="0.2">
      <c r="A113" s="4459">
        <v>86</v>
      </c>
      <c r="B113" s="4474" t="s">
        <v>174</v>
      </c>
      <c r="C113" s="4537"/>
      <c r="D113" s="105">
        <v>160000000</v>
      </c>
      <c r="E113" s="17">
        <v>0.05</v>
      </c>
      <c r="F113" s="105">
        <f t="shared" si="7"/>
        <v>8000000</v>
      </c>
      <c r="G113" s="11">
        <v>1500000</v>
      </c>
      <c r="H113" s="11" t="s">
        <v>580</v>
      </c>
      <c r="I113" s="20" t="s">
        <v>597</v>
      </c>
      <c r="J113" s="83" t="s">
        <v>598</v>
      </c>
      <c r="K113" s="4413">
        <f>G113+G114</f>
        <v>21500000</v>
      </c>
      <c r="L113" s="4506">
        <f>(F113+F114)-K113</f>
        <v>500000</v>
      </c>
      <c r="M113" s="86" t="s">
        <v>619</v>
      </c>
    </row>
    <row r="114" spans="1:13" ht="30" customHeight="1" x14ac:dyDescent="0.2">
      <c r="A114" s="4460"/>
      <c r="B114" s="4475"/>
      <c r="C114" s="4538"/>
      <c r="D114" s="105">
        <v>200000000</v>
      </c>
      <c r="E114" s="17">
        <v>7.0000000000000007E-2</v>
      </c>
      <c r="F114" s="105">
        <f t="shared" si="7"/>
        <v>14000000.000000002</v>
      </c>
      <c r="G114" s="105">
        <v>20000000</v>
      </c>
      <c r="H114" s="105" t="s">
        <v>748</v>
      </c>
      <c r="I114" s="32" t="s">
        <v>973</v>
      </c>
      <c r="J114" s="115" t="s">
        <v>974</v>
      </c>
      <c r="K114" s="4415"/>
      <c r="L114" s="4508"/>
      <c r="M114" s="86"/>
    </row>
    <row r="115" spans="1:13" ht="30" customHeight="1" x14ac:dyDescent="0.2">
      <c r="A115" s="4">
        <v>87</v>
      </c>
      <c r="B115" s="3" t="s">
        <v>218</v>
      </c>
      <c r="C115" s="317" t="s">
        <v>1295</v>
      </c>
      <c r="D115" s="112">
        <v>45000000</v>
      </c>
      <c r="E115" s="17">
        <v>0.04</v>
      </c>
      <c r="F115" s="112">
        <v>2050000</v>
      </c>
      <c r="G115" s="11">
        <v>2050000</v>
      </c>
      <c r="H115" s="11" t="s">
        <v>754</v>
      </c>
      <c r="I115" s="20" t="s">
        <v>755</v>
      </c>
      <c r="J115" s="18" t="s">
        <v>756</v>
      </c>
      <c r="K115" s="11">
        <f t="shared" si="8"/>
        <v>2050000</v>
      </c>
      <c r="L115" s="112">
        <f t="shared" si="9"/>
        <v>0</v>
      </c>
      <c r="M115" s="3"/>
    </row>
    <row r="116" spans="1:13" ht="30" customHeight="1" x14ac:dyDescent="0.2">
      <c r="A116" s="4459">
        <v>88</v>
      </c>
      <c r="B116" s="4474" t="s">
        <v>219</v>
      </c>
      <c r="C116" s="4537"/>
      <c r="D116" s="6">
        <v>93000000</v>
      </c>
      <c r="E116" s="17">
        <v>7.0000000000000007E-2</v>
      </c>
      <c r="F116" s="6">
        <v>6500000</v>
      </c>
      <c r="G116" s="11">
        <v>20000000</v>
      </c>
      <c r="H116" s="11" t="s">
        <v>754</v>
      </c>
      <c r="I116" s="32" t="s">
        <v>757</v>
      </c>
      <c r="J116" s="21" t="s">
        <v>758</v>
      </c>
      <c r="K116" s="4413">
        <f>G116+G117</f>
        <v>22500000</v>
      </c>
      <c r="L116" s="4413">
        <f>(F116+F117)-K116</f>
        <v>0</v>
      </c>
      <c r="M116" s="3"/>
    </row>
    <row r="117" spans="1:13" ht="30" customHeight="1" x14ac:dyDescent="0.2">
      <c r="A117" s="4460"/>
      <c r="B117" s="4475"/>
      <c r="C117" s="4538"/>
      <c r="D117" s="112">
        <v>257000000</v>
      </c>
      <c r="E117" s="17">
        <v>0.06</v>
      </c>
      <c r="F117" s="6">
        <v>16000000</v>
      </c>
      <c r="G117" s="112">
        <v>2500000</v>
      </c>
      <c r="H117" s="112" t="s">
        <v>754</v>
      </c>
      <c r="I117" s="114" t="s">
        <v>759</v>
      </c>
      <c r="J117" s="21" t="s">
        <v>760</v>
      </c>
      <c r="K117" s="4415"/>
      <c r="L117" s="4415"/>
      <c r="M117" s="3"/>
    </row>
    <row r="118" spans="1:13" ht="30" customHeight="1" x14ac:dyDescent="0.2">
      <c r="A118" s="4459">
        <v>89</v>
      </c>
      <c r="B118" s="4474" t="s">
        <v>220</v>
      </c>
      <c r="C118" s="4537"/>
      <c r="D118" s="116">
        <v>130000000</v>
      </c>
      <c r="E118" s="17">
        <v>7.0000000000000007E-2</v>
      </c>
      <c r="F118" s="11">
        <f>D118*E118</f>
        <v>9100000</v>
      </c>
      <c r="G118" s="4413">
        <v>14460000</v>
      </c>
      <c r="H118" s="4413" t="s">
        <v>754</v>
      </c>
      <c r="I118" s="4545" t="s">
        <v>761</v>
      </c>
      <c r="J118" s="4478" t="s">
        <v>762</v>
      </c>
      <c r="K118" s="4413">
        <f t="shared" si="8"/>
        <v>14460000</v>
      </c>
      <c r="L118" s="4413">
        <f>(F118+F119)-K118</f>
        <v>0</v>
      </c>
      <c r="M118" s="4459"/>
    </row>
    <row r="119" spans="1:13" ht="30" customHeight="1" x14ac:dyDescent="0.2">
      <c r="A119" s="4460"/>
      <c r="B119" s="4475"/>
      <c r="C119" s="4538"/>
      <c r="D119" s="116">
        <v>100000000</v>
      </c>
      <c r="E119" s="17">
        <v>5.3999999999999999E-2</v>
      </c>
      <c r="F119" s="116">
        <v>5360000</v>
      </c>
      <c r="G119" s="4415"/>
      <c r="H119" s="4415"/>
      <c r="I119" s="4546"/>
      <c r="J119" s="4479"/>
      <c r="K119" s="4415"/>
      <c r="L119" s="4415"/>
      <c r="M119" s="4460"/>
    </row>
    <row r="120" spans="1:13" ht="30" customHeight="1" x14ac:dyDescent="0.2">
      <c r="A120" s="4">
        <v>90</v>
      </c>
      <c r="B120" s="3" t="s">
        <v>221</v>
      </c>
      <c r="C120" s="317"/>
      <c r="D120" s="11">
        <v>50000000</v>
      </c>
      <c r="E120" s="17">
        <v>0.04</v>
      </c>
      <c r="F120" s="11">
        <f t="shared" si="7"/>
        <v>2000000</v>
      </c>
      <c r="G120" s="11">
        <v>2000000</v>
      </c>
      <c r="H120" s="11" t="s">
        <v>754</v>
      </c>
      <c r="I120" s="20" t="s">
        <v>763</v>
      </c>
      <c r="J120" s="18" t="s">
        <v>764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4459">
        <v>91</v>
      </c>
      <c r="B121" s="4474" t="s">
        <v>749</v>
      </c>
      <c r="C121" s="4537"/>
      <c r="D121" s="4506"/>
      <c r="E121" s="4512"/>
      <c r="F121" s="4506">
        <f t="shared" si="7"/>
        <v>0</v>
      </c>
      <c r="G121" s="11">
        <v>14910000</v>
      </c>
      <c r="H121" s="11" t="s">
        <v>660</v>
      </c>
      <c r="I121" s="118" t="s">
        <v>691</v>
      </c>
      <c r="J121" s="21" t="s">
        <v>692</v>
      </c>
      <c r="K121" s="4413">
        <f>G121+G122</f>
        <v>38470000</v>
      </c>
      <c r="L121" s="4506">
        <f t="shared" si="9"/>
        <v>-38470000</v>
      </c>
      <c r="M121" s="3"/>
    </row>
    <row r="122" spans="1:13" ht="30" customHeight="1" x14ac:dyDescent="0.2">
      <c r="A122" s="4460"/>
      <c r="B122" s="4475"/>
      <c r="C122" s="4538"/>
      <c r="D122" s="4508"/>
      <c r="E122" s="4514"/>
      <c r="F122" s="4508"/>
      <c r="G122" s="116">
        <v>23560000</v>
      </c>
      <c r="H122" s="116" t="s">
        <v>799</v>
      </c>
      <c r="I122" s="118" t="s">
        <v>800</v>
      </c>
      <c r="J122" s="21" t="s">
        <v>801</v>
      </c>
      <c r="K122" s="4415"/>
      <c r="L122" s="4508"/>
      <c r="M122" s="3"/>
    </row>
    <row r="123" spans="1:13" ht="30" customHeight="1" x14ac:dyDescent="0.2">
      <c r="A123" s="4459">
        <v>92</v>
      </c>
      <c r="B123" s="4474" t="s">
        <v>222</v>
      </c>
      <c r="C123" s="4537"/>
      <c r="D123" s="11">
        <v>300000000</v>
      </c>
      <c r="E123" s="17">
        <v>5.5E-2</v>
      </c>
      <c r="F123" s="11">
        <f t="shared" si="7"/>
        <v>16500000</v>
      </c>
      <c r="G123" s="11">
        <v>16500000</v>
      </c>
      <c r="H123" s="11" t="s">
        <v>754</v>
      </c>
      <c r="I123" s="20" t="s">
        <v>782</v>
      </c>
      <c r="J123" s="21" t="s">
        <v>783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4460"/>
      <c r="B124" s="4475"/>
      <c r="C124" s="4538"/>
      <c r="D124" s="294">
        <v>300000000</v>
      </c>
      <c r="E124" s="295">
        <v>5.5E-2</v>
      </c>
      <c r="F124" s="294">
        <v>16500000</v>
      </c>
      <c r="G124" s="294">
        <v>16500000</v>
      </c>
      <c r="H124" s="294" t="s">
        <v>1249</v>
      </c>
      <c r="I124" s="296" t="s">
        <v>1252</v>
      </c>
      <c r="J124" s="297" t="s">
        <v>1253</v>
      </c>
      <c r="K124" s="294">
        <f>G124</f>
        <v>16500000</v>
      </c>
      <c r="L124" s="294">
        <f t="shared" si="9"/>
        <v>0</v>
      </c>
      <c r="M124" s="3"/>
    </row>
    <row r="125" spans="1:13" ht="30" customHeight="1" x14ac:dyDescent="0.2">
      <c r="A125" s="4">
        <v>93</v>
      </c>
      <c r="B125" s="3" t="s">
        <v>1144</v>
      </c>
      <c r="C125" s="317"/>
      <c r="D125" s="236">
        <v>25000000</v>
      </c>
      <c r="E125" s="40"/>
      <c r="F125" s="238"/>
      <c r="G125" s="236">
        <v>600000</v>
      </c>
      <c r="H125" s="236" t="s">
        <v>1139</v>
      </c>
      <c r="I125" s="240" t="s">
        <v>1145</v>
      </c>
      <c r="J125" s="21" t="s">
        <v>1146</v>
      </c>
      <c r="K125" s="236">
        <f>G125</f>
        <v>600000</v>
      </c>
      <c r="L125" s="238">
        <f>F125-K125</f>
        <v>-600000</v>
      </c>
      <c r="M125" s="3"/>
    </row>
    <row r="126" spans="1:13" ht="30" customHeight="1" x14ac:dyDescent="0.2">
      <c r="A126" s="4">
        <v>94</v>
      </c>
      <c r="B126" s="310" t="s">
        <v>223</v>
      </c>
      <c r="C126" s="317"/>
      <c r="D126" s="311">
        <v>100000000</v>
      </c>
      <c r="E126" s="312">
        <v>0.05</v>
      </c>
      <c r="F126" s="311">
        <f t="shared" si="7"/>
        <v>5000000</v>
      </c>
      <c r="G126" s="311">
        <v>5000000</v>
      </c>
      <c r="H126" s="311" t="s">
        <v>754</v>
      </c>
      <c r="I126" s="313" t="s">
        <v>766</v>
      </c>
      <c r="J126" s="314">
        <v>6969268910</v>
      </c>
      <c r="K126" s="311">
        <f t="shared" si="8"/>
        <v>5000000</v>
      </c>
      <c r="L126" s="311">
        <f t="shared" si="9"/>
        <v>0</v>
      </c>
      <c r="M126" s="3"/>
    </row>
    <row r="127" spans="1:13" ht="30" customHeight="1" x14ac:dyDescent="0.2">
      <c r="A127" s="4">
        <v>95</v>
      </c>
      <c r="B127" s="3" t="s">
        <v>224</v>
      </c>
      <c r="C127" s="317"/>
      <c r="D127" s="11">
        <v>70000000</v>
      </c>
      <c r="E127" s="17">
        <v>0.05</v>
      </c>
      <c r="F127" s="11">
        <f t="shared" si="7"/>
        <v>3500000</v>
      </c>
      <c r="G127" s="11">
        <v>3500000</v>
      </c>
      <c r="H127" s="11" t="s">
        <v>754</v>
      </c>
      <c r="I127" s="20" t="s">
        <v>784</v>
      </c>
      <c r="J127" s="6" t="s">
        <v>785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225</v>
      </c>
      <c r="C128" s="317"/>
      <c r="D128" s="11">
        <v>100000000</v>
      </c>
      <c r="E128" s="17">
        <v>0.04</v>
      </c>
      <c r="F128" s="11">
        <f t="shared" si="7"/>
        <v>4000000</v>
      </c>
      <c r="G128" s="11">
        <v>4000000</v>
      </c>
      <c r="H128" s="11" t="s">
        <v>754</v>
      </c>
      <c r="I128" s="20" t="s">
        <v>786</v>
      </c>
      <c r="J128" s="21" t="s">
        <v>787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226</v>
      </c>
      <c r="C129" s="317"/>
      <c r="D129" s="11">
        <v>20000000</v>
      </c>
      <c r="E129" s="17">
        <v>0.05</v>
      </c>
      <c r="F129" s="11">
        <f t="shared" si="7"/>
        <v>1000000</v>
      </c>
      <c r="G129" s="11">
        <v>1000000</v>
      </c>
      <c r="H129" s="11" t="s">
        <v>754</v>
      </c>
      <c r="I129" s="20" t="s">
        <v>788</v>
      </c>
      <c r="J129" s="6" t="s">
        <v>789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227</v>
      </c>
      <c r="C130" s="317" t="s">
        <v>1297</v>
      </c>
      <c r="D130" s="11">
        <v>100000000</v>
      </c>
      <c r="E130" s="17">
        <v>0.04</v>
      </c>
      <c r="F130" s="11">
        <f t="shared" si="7"/>
        <v>4000000</v>
      </c>
      <c r="G130" s="11">
        <v>4000000</v>
      </c>
      <c r="H130" s="11" t="s">
        <v>754</v>
      </c>
      <c r="I130" s="20" t="s">
        <v>790</v>
      </c>
      <c r="J130" s="83" t="s">
        <v>791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228</v>
      </c>
      <c r="C131" s="317"/>
      <c r="D131" s="113"/>
      <c r="E131" s="40"/>
      <c r="F131" s="113">
        <f t="shared" si="7"/>
        <v>0</v>
      </c>
      <c r="G131" s="11">
        <v>5100000</v>
      </c>
      <c r="H131" s="11" t="s">
        <v>754</v>
      </c>
      <c r="I131" s="20" t="s">
        <v>767</v>
      </c>
      <c r="J131" s="21" t="s">
        <v>768</v>
      </c>
      <c r="K131" s="11">
        <f t="shared" si="8"/>
        <v>5100000</v>
      </c>
      <c r="L131" s="113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177</v>
      </c>
      <c r="C132" s="317"/>
      <c r="D132" s="11">
        <v>70000000</v>
      </c>
      <c r="E132" s="17">
        <v>0.05</v>
      </c>
      <c r="F132" s="11">
        <f t="shared" si="7"/>
        <v>3500000</v>
      </c>
      <c r="G132" s="11">
        <v>3500000</v>
      </c>
      <c r="H132" s="11" t="s">
        <v>754</v>
      </c>
      <c r="I132" s="20" t="s">
        <v>792</v>
      </c>
      <c r="J132" s="6" t="s">
        <v>793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4459">
        <v>101</v>
      </c>
      <c r="B133" s="4474" t="s">
        <v>229</v>
      </c>
      <c r="C133" s="4537"/>
      <c r="D133" s="112">
        <v>30000000</v>
      </c>
      <c r="E133" s="17">
        <v>0.05</v>
      </c>
      <c r="F133" s="112">
        <f t="shared" si="7"/>
        <v>1500000</v>
      </c>
      <c r="G133" s="11">
        <v>1500000</v>
      </c>
      <c r="H133" s="11" t="s">
        <v>443</v>
      </c>
      <c r="I133" s="20" t="s">
        <v>477</v>
      </c>
      <c r="J133" s="26" t="s">
        <v>478</v>
      </c>
      <c r="K133" s="11">
        <f t="shared" si="8"/>
        <v>1500000</v>
      </c>
      <c r="L133" s="59">
        <f t="shared" si="9"/>
        <v>0</v>
      </c>
      <c r="M133" s="3"/>
    </row>
    <row r="134" spans="1:13" ht="30" customHeight="1" x14ac:dyDescent="0.2">
      <c r="A134" s="4460"/>
      <c r="B134" s="4475"/>
      <c r="C134" s="4538"/>
      <c r="D134" s="112">
        <v>30000000</v>
      </c>
      <c r="E134" s="17">
        <v>4.4999999999999998E-2</v>
      </c>
      <c r="F134" s="112">
        <f t="shared" si="7"/>
        <v>1350000</v>
      </c>
      <c r="G134" s="112">
        <v>1350000</v>
      </c>
      <c r="H134" s="112" t="s">
        <v>754</v>
      </c>
      <c r="I134" s="114" t="s">
        <v>794</v>
      </c>
      <c r="J134" s="26" t="s">
        <v>478</v>
      </c>
      <c r="K134" s="112">
        <f t="shared" si="8"/>
        <v>1350000</v>
      </c>
      <c r="L134" s="113">
        <f t="shared" si="9"/>
        <v>0</v>
      </c>
      <c r="M134" s="3"/>
    </row>
    <row r="135" spans="1:13" ht="30" customHeight="1" x14ac:dyDescent="0.2">
      <c r="A135" s="4">
        <v>102</v>
      </c>
      <c r="B135" s="3" t="s">
        <v>230</v>
      </c>
      <c r="C135" s="317" t="s">
        <v>1172</v>
      </c>
      <c r="D135" s="243">
        <v>17000000</v>
      </c>
      <c r="E135" s="17">
        <v>5.5E-2</v>
      </c>
      <c r="F135" s="243">
        <v>950000</v>
      </c>
      <c r="G135" s="11">
        <v>950000</v>
      </c>
      <c r="H135" s="11" t="s">
        <v>754</v>
      </c>
      <c r="I135" s="20" t="s">
        <v>769</v>
      </c>
      <c r="J135" s="18" t="s">
        <v>770</v>
      </c>
      <c r="K135" s="11">
        <f t="shared" si="8"/>
        <v>950000</v>
      </c>
      <c r="L135" s="243">
        <f t="shared" si="9"/>
        <v>0</v>
      </c>
      <c r="M135" s="3"/>
    </row>
    <row r="136" spans="1:13" ht="30" customHeight="1" x14ac:dyDescent="0.2">
      <c r="A136" s="4">
        <v>103</v>
      </c>
      <c r="B136" s="3" t="s">
        <v>231</v>
      </c>
      <c r="C136" s="317"/>
      <c r="D136" s="11">
        <v>20000000</v>
      </c>
      <c r="E136" s="17">
        <v>0.05</v>
      </c>
      <c r="F136" s="11">
        <f t="shared" si="7"/>
        <v>1000000</v>
      </c>
      <c r="G136" s="11">
        <v>1000000</v>
      </c>
      <c r="H136" s="11" t="s">
        <v>754</v>
      </c>
      <c r="I136" s="20" t="s">
        <v>795</v>
      </c>
      <c r="J136" s="21" t="s">
        <v>796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232</v>
      </c>
      <c r="C137" s="317"/>
      <c r="D137" s="113"/>
      <c r="E137" s="40"/>
      <c r="F137" s="113">
        <f t="shared" ref="F137:F203" si="10">D137*E137</f>
        <v>0</v>
      </c>
      <c r="G137" s="11">
        <v>1900000</v>
      </c>
      <c r="H137" s="11" t="s">
        <v>754</v>
      </c>
      <c r="I137" s="20" t="s">
        <v>771</v>
      </c>
      <c r="J137" s="21" t="s">
        <v>772</v>
      </c>
      <c r="K137" s="11">
        <f t="shared" si="8"/>
        <v>1900000</v>
      </c>
      <c r="L137" s="113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233</v>
      </c>
      <c r="C138" s="317"/>
      <c r="D138" s="11">
        <v>100000000</v>
      </c>
      <c r="E138" s="17">
        <v>0.04</v>
      </c>
      <c r="F138" s="11">
        <f t="shared" si="10"/>
        <v>4000000</v>
      </c>
      <c r="G138" s="11">
        <v>4000000</v>
      </c>
      <c r="H138" s="11" t="s">
        <v>754</v>
      </c>
      <c r="I138" s="20" t="s">
        <v>773</v>
      </c>
      <c r="J138" s="6" t="s">
        <v>774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234</v>
      </c>
      <c r="C139" s="317"/>
      <c r="D139" s="11">
        <v>65000000</v>
      </c>
      <c r="E139" s="17">
        <v>3.4000000000000002E-2</v>
      </c>
      <c r="F139" s="11">
        <v>2200000</v>
      </c>
      <c r="G139" s="11">
        <v>2200000</v>
      </c>
      <c r="H139" s="11" t="s">
        <v>754</v>
      </c>
      <c r="I139" s="20" t="s">
        <v>797</v>
      </c>
      <c r="J139" s="6" t="s">
        <v>798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235</v>
      </c>
      <c r="C140" s="317"/>
      <c r="D140" s="113"/>
      <c r="E140" s="40"/>
      <c r="F140" s="113">
        <f t="shared" si="10"/>
        <v>0</v>
      </c>
      <c r="G140" s="11">
        <v>30000000</v>
      </c>
      <c r="H140" s="11" t="s">
        <v>754</v>
      </c>
      <c r="I140" s="20" t="s">
        <v>775</v>
      </c>
      <c r="J140" s="21" t="s">
        <v>776</v>
      </c>
      <c r="K140" s="11">
        <f t="shared" si="11"/>
        <v>30000000</v>
      </c>
      <c r="L140" s="113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236</v>
      </c>
      <c r="C141" s="317"/>
      <c r="D141" s="11">
        <v>1000000000</v>
      </c>
      <c r="E141" s="17">
        <v>0.05</v>
      </c>
      <c r="F141" s="11">
        <f t="shared" si="10"/>
        <v>50000000</v>
      </c>
      <c r="G141" s="11">
        <v>50000000</v>
      </c>
      <c r="H141" s="11" t="s">
        <v>754</v>
      </c>
      <c r="I141" s="20" t="s">
        <v>777</v>
      </c>
      <c r="J141" s="21" t="s">
        <v>778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4459">
        <v>109</v>
      </c>
      <c r="B142" s="4461" t="s">
        <v>237</v>
      </c>
      <c r="C142" s="4537" t="s">
        <v>1292</v>
      </c>
      <c r="D142" s="11">
        <v>14000000</v>
      </c>
      <c r="E142" s="17">
        <v>4.2999999999999997E-2</v>
      </c>
      <c r="F142" s="11">
        <v>600000</v>
      </c>
      <c r="G142" s="113">
        <v>600000</v>
      </c>
      <c r="H142" s="11" t="s">
        <v>544</v>
      </c>
      <c r="I142" s="20" t="s">
        <v>549</v>
      </c>
      <c r="J142" s="21" t="s">
        <v>550</v>
      </c>
      <c r="K142" s="4413">
        <f>G142+G143</f>
        <v>1500000</v>
      </c>
      <c r="L142" s="4413">
        <f>(F142+F143)-K142</f>
        <v>0</v>
      </c>
      <c r="M142" s="3"/>
    </row>
    <row r="143" spans="1:13" ht="30" customHeight="1" x14ac:dyDescent="0.2">
      <c r="A143" s="4460"/>
      <c r="B143" s="4463"/>
      <c r="C143" s="4538"/>
      <c r="D143" s="112">
        <v>20000000</v>
      </c>
      <c r="E143" s="17">
        <v>4.4999999999999998E-2</v>
      </c>
      <c r="F143" s="112">
        <f>D143*E143</f>
        <v>900000</v>
      </c>
      <c r="G143" s="113">
        <v>900000</v>
      </c>
      <c r="H143" s="112" t="s">
        <v>754</v>
      </c>
      <c r="I143" s="114" t="s">
        <v>779</v>
      </c>
      <c r="J143" s="21" t="s">
        <v>550</v>
      </c>
      <c r="K143" s="4415"/>
      <c r="L143" s="4415"/>
      <c r="M143" s="3"/>
    </row>
    <row r="144" spans="1:13" ht="30" customHeight="1" x14ac:dyDescent="0.2">
      <c r="A144" s="4">
        <v>110</v>
      </c>
      <c r="B144" s="3" t="s">
        <v>238</v>
      </c>
      <c r="C144" s="317"/>
      <c r="D144" s="11">
        <v>40000000</v>
      </c>
      <c r="E144" s="17">
        <v>0.05</v>
      </c>
      <c r="F144" s="11">
        <f t="shared" si="10"/>
        <v>2000000</v>
      </c>
      <c r="G144" s="11">
        <v>2000000</v>
      </c>
      <c r="H144" s="11" t="s">
        <v>754</v>
      </c>
      <c r="I144" s="20" t="s">
        <v>780</v>
      </c>
      <c r="J144" s="83" t="s">
        <v>781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239</v>
      </c>
      <c r="C145" s="317"/>
      <c r="D145" s="11">
        <v>252000000</v>
      </c>
      <c r="E145" s="17">
        <v>4.4999999999999998E-2</v>
      </c>
      <c r="F145" s="11">
        <f t="shared" si="10"/>
        <v>11340000</v>
      </c>
      <c r="G145" s="11">
        <v>11340000</v>
      </c>
      <c r="H145" s="11" t="s">
        <v>751</v>
      </c>
      <c r="I145" s="118" t="s">
        <v>752</v>
      </c>
      <c r="J145" s="21" t="s">
        <v>753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240</v>
      </c>
      <c r="C146" s="317"/>
      <c r="D146" s="11">
        <v>100000000</v>
      </c>
      <c r="E146" s="17">
        <v>4.4999999999999998E-2</v>
      </c>
      <c r="F146" s="11">
        <f t="shared" si="10"/>
        <v>4500000</v>
      </c>
      <c r="G146" s="11">
        <v>4500000</v>
      </c>
      <c r="H146" s="11" t="s">
        <v>580</v>
      </c>
      <c r="I146" s="20" t="s">
        <v>599</v>
      </c>
      <c r="J146" s="84" t="s">
        <v>600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241</v>
      </c>
      <c r="C147" s="317"/>
      <c r="D147" s="11">
        <v>20000000</v>
      </c>
      <c r="E147" s="17">
        <v>0.05</v>
      </c>
      <c r="F147" s="11">
        <f t="shared" si="10"/>
        <v>1000000</v>
      </c>
      <c r="G147" s="11">
        <v>1000000</v>
      </c>
      <c r="H147" s="11" t="s">
        <v>580</v>
      </c>
      <c r="I147" s="20" t="s">
        <v>601</v>
      </c>
      <c r="J147" s="21" t="s">
        <v>602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242</v>
      </c>
      <c r="C148" s="317"/>
      <c r="D148" s="11">
        <v>10000000</v>
      </c>
      <c r="E148" s="17">
        <v>4.4999999999999998E-2</v>
      </c>
      <c r="F148" s="11">
        <f t="shared" si="10"/>
        <v>450000</v>
      </c>
      <c r="G148" s="11">
        <v>450000</v>
      </c>
      <c r="H148" s="11" t="s">
        <v>580</v>
      </c>
      <c r="I148" s="20" t="s">
        <v>605</v>
      </c>
      <c r="J148" s="18" t="s">
        <v>606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243</v>
      </c>
      <c r="C149" s="317"/>
      <c r="D149" s="112">
        <v>300000000</v>
      </c>
      <c r="E149" s="17">
        <v>4.4999999999999998E-2</v>
      </c>
      <c r="F149" s="112">
        <f t="shared" si="10"/>
        <v>13500000</v>
      </c>
      <c r="G149" s="11">
        <v>16500000</v>
      </c>
      <c r="H149" s="11" t="s">
        <v>580</v>
      </c>
      <c r="I149" s="20" t="s">
        <v>603</v>
      </c>
      <c r="J149" s="21" t="s">
        <v>604</v>
      </c>
      <c r="K149" s="11">
        <f t="shared" si="11"/>
        <v>16500000</v>
      </c>
      <c r="L149" s="112">
        <f t="shared" si="12"/>
        <v>-3000000</v>
      </c>
      <c r="M149" s="77" t="s">
        <v>750</v>
      </c>
    </row>
    <row r="150" spans="1:13" ht="30" customHeight="1" x14ac:dyDescent="0.2">
      <c r="A150" s="4">
        <v>116</v>
      </c>
      <c r="B150" s="3" t="s">
        <v>244</v>
      </c>
      <c r="C150" s="317"/>
      <c r="D150" s="11">
        <v>20000000</v>
      </c>
      <c r="E150" s="17">
        <v>0.05</v>
      </c>
      <c r="F150" s="11">
        <f t="shared" si="10"/>
        <v>1000000</v>
      </c>
      <c r="G150" s="11">
        <v>1000000</v>
      </c>
      <c r="H150" s="11" t="s">
        <v>580</v>
      </c>
      <c r="I150" s="20" t="s">
        <v>610</v>
      </c>
      <c r="J150" s="84" t="s">
        <v>611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245</v>
      </c>
      <c r="C151" s="317"/>
      <c r="D151" s="11">
        <v>100000000</v>
      </c>
      <c r="E151" s="17">
        <v>0.04</v>
      </c>
      <c r="F151" s="11">
        <f t="shared" si="10"/>
        <v>4000000</v>
      </c>
      <c r="G151" s="11">
        <v>4000000</v>
      </c>
      <c r="H151" s="11" t="s">
        <v>580</v>
      </c>
      <c r="I151" s="20" t="s">
        <v>581</v>
      </c>
      <c r="J151" s="21" t="s">
        <v>582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4459">
        <v>118</v>
      </c>
      <c r="B152" s="4474" t="s">
        <v>246</v>
      </c>
      <c r="C152" s="4537" t="s">
        <v>371</v>
      </c>
      <c r="D152" s="4413">
        <v>617000000</v>
      </c>
      <c r="E152" s="4476">
        <v>7.0000000000000007E-2</v>
      </c>
      <c r="F152" s="4413">
        <v>43200000</v>
      </c>
      <c r="G152" s="122">
        <v>14000000</v>
      </c>
      <c r="H152" s="122" t="s">
        <v>811</v>
      </c>
      <c r="I152" s="125" t="s">
        <v>612</v>
      </c>
      <c r="J152" s="21" t="s">
        <v>454</v>
      </c>
      <c r="K152" s="121" t="s">
        <v>812</v>
      </c>
      <c r="L152" s="4413">
        <f>F152-K153</f>
        <v>200000</v>
      </c>
      <c r="M152" s="4459"/>
    </row>
    <row r="153" spans="1:13" ht="30" customHeight="1" x14ac:dyDescent="0.2">
      <c r="A153" s="4464"/>
      <c r="B153" s="4487"/>
      <c r="C153" s="4540"/>
      <c r="D153" s="4414"/>
      <c r="E153" s="4516"/>
      <c r="F153" s="4414"/>
      <c r="G153" s="122">
        <v>23000000</v>
      </c>
      <c r="H153" s="122" t="s">
        <v>443</v>
      </c>
      <c r="I153" s="127" t="s">
        <v>453</v>
      </c>
      <c r="J153" s="21" t="s">
        <v>454</v>
      </c>
      <c r="K153" s="4413">
        <f>G153+G154</f>
        <v>43000000</v>
      </c>
      <c r="L153" s="4414"/>
      <c r="M153" s="4464"/>
    </row>
    <row r="154" spans="1:13" ht="30" customHeight="1" x14ac:dyDescent="0.2">
      <c r="A154" s="4460"/>
      <c r="B154" s="4475"/>
      <c r="C154" s="4538"/>
      <c r="D154" s="4415"/>
      <c r="E154" s="4477"/>
      <c r="F154" s="4415"/>
      <c r="G154" s="122">
        <v>20000000</v>
      </c>
      <c r="H154" s="122" t="s">
        <v>813</v>
      </c>
      <c r="I154" s="32" t="s">
        <v>814</v>
      </c>
      <c r="J154" s="21" t="s">
        <v>815</v>
      </c>
      <c r="K154" s="4415"/>
      <c r="L154" s="4415"/>
      <c r="M154" s="4460"/>
    </row>
    <row r="155" spans="1:13" ht="30" customHeight="1" x14ac:dyDescent="0.2">
      <c r="A155" s="4">
        <v>119</v>
      </c>
      <c r="B155" s="3" t="s">
        <v>247</v>
      </c>
      <c r="C155" s="317"/>
      <c r="D155" s="11">
        <v>90000000</v>
      </c>
      <c r="E155" s="17">
        <v>4.4999999999999998E-2</v>
      </c>
      <c r="F155" s="11">
        <f t="shared" si="10"/>
        <v>4050000</v>
      </c>
      <c r="G155" s="11">
        <v>4050000</v>
      </c>
      <c r="H155" s="78" t="s">
        <v>580</v>
      </c>
      <c r="I155" s="20" t="s">
        <v>613</v>
      </c>
      <c r="J155" s="26" t="s">
        <v>614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248</v>
      </c>
      <c r="C156" s="317"/>
      <c r="D156" s="11">
        <v>50000000</v>
      </c>
      <c r="E156" s="17">
        <v>4.4999999999999998E-2</v>
      </c>
      <c r="F156" s="11">
        <f t="shared" si="10"/>
        <v>2250000</v>
      </c>
      <c r="G156" s="11">
        <v>2250000</v>
      </c>
      <c r="H156" s="11" t="s">
        <v>580</v>
      </c>
      <c r="I156" s="20" t="s">
        <v>615</v>
      </c>
      <c r="J156" s="18" t="s">
        <v>616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4459">
        <v>121</v>
      </c>
      <c r="B157" s="4474" t="s">
        <v>249</v>
      </c>
      <c r="C157" s="317" t="s">
        <v>1295</v>
      </c>
      <c r="D157" s="11">
        <v>60000000</v>
      </c>
      <c r="E157" s="17">
        <v>0.05</v>
      </c>
      <c r="F157" s="11">
        <f t="shared" si="10"/>
        <v>3000000</v>
      </c>
      <c r="G157" s="11">
        <v>3000000</v>
      </c>
      <c r="H157" s="11" t="s">
        <v>573</v>
      </c>
      <c r="I157" s="20"/>
      <c r="J157" s="21" t="s">
        <v>574</v>
      </c>
      <c r="K157" s="4413">
        <f>F157+F158</f>
        <v>4400000</v>
      </c>
      <c r="L157" s="4413">
        <f>(F157+F158)-K157</f>
        <v>0</v>
      </c>
      <c r="M157" s="3"/>
    </row>
    <row r="158" spans="1:13" ht="30" customHeight="1" x14ac:dyDescent="0.2">
      <c r="A158" s="4460"/>
      <c r="B158" s="4475"/>
      <c r="C158" s="317" t="s">
        <v>1296</v>
      </c>
      <c r="D158" s="219">
        <v>20000000</v>
      </c>
      <c r="E158" s="17">
        <v>7.0000000000000007E-2</v>
      </c>
      <c r="F158" s="219">
        <f t="shared" si="10"/>
        <v>1400000.0000000002</v>
      </c>
      <c r="G158" s="221"/>
      <c r="H158" s="221"/>
      <c r="I158" s="55"/>
      <c r="J158" s="56"/>
      <c r="K158" s="4415"/>
      <c r="L158" s="4415"/>
      <c r="M158" s="3"/>
    </row>
    <row r="159" spans="1:13" ht="30" customHeight="1" x14ac:dyDescent="0.2">
      <c r="A159" s="4">
        <v>122</v>
      </c>
      <c r="B159" s="3" t="s">
        <v>250</v>
      </c>
      <c r="C159" s="317"/>
      <c r="D159" s="11">
        <v>200000000</v>
      </c>
      <c r="E159" s="17">
        <v>0.05</v>
      </c>
      <c r="F159" s="11">
        <f t="shared" si="10"/>
        <v>10000000</v>
      </c>
      <c r="G159" s="11">
        <v>10000000</v>
      </c>
      <c r="H159" s="11" t="s">
        <v>573</v>
      </c>
      <c r="I159" s="20" t="s">
        <v>575</v>
      </c>
      <c r="J159" s="18" t="s">
        <v>576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251</v>
      </c>
      <c r="C160" s="317"/>
      <c r="D160" s="79"/>
      <c r="E160" s="40"/>
      <c r="F160" s="79">
        <f t="shared" si="10"/>
        <v>0</v>
      </c>
      <c r="G160" s="11">
        <v>11000000</v>
      </c>
      <c r="H160" s="11" t="s">
        <v>573</v>
      </c>
      <c r="I160" s="20" t="s">
        <v>583</v>
      </c>
      <c r="J160" s="21" t="s">
        <v>584</v>
      </c>
      <c r="K160" s="11">
        <f t="shared" si="11"/>
        <v>11000000</v>
      </c>
      <c r="L160" s="79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252</v>
      </c>
      <c r="C161" s="317"/>
      <c r="D161" s="82"/>
      <c r="E161" s="40"/>
      <c r="F161" s="82">
        <f t="shared" si="10"/>
        <v>0</v>
      </c>
      <c r="G161" s="11">
        <v>8100000</v>
      </c>
      <c r="H161" s="11" t="s">
        <v>573</v>
      </c>
      <c r="I161" s="20" t="s">
        <v>617</v>
      </c>
      <c r="J161" s="21" t="s">
        <v>618</v>
      </c>
      <c r="K161" s="11">
        <f t="shared" si="11"/>
        <v>8100000</v>
      </c>
      <c r="L161" s="82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253</v>
      </c>
      <c r="C162" s="317"/>
      <c r="D162" s="11">
        <v>800000000</v>
      </c>
      <c r="E162" s="17">
        <v>0.05</v>
      </c>
      <c r="F162" s="11">
        <f t="shared" si="10"/>
        <v>40000000</v>
      </c>
      <c r="G162" s="11">
        <v>40000000</v>
      </c>
      <c r="H162" s="11" t="s">
        <v>573</v>
      </c>
      <c r="I162" s="20" t="s">
        <v>585</v>
      </c>
      <c r="J162" s="21" t="s">
        <v>586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254</v>
      </c>
      <c r="C163" s="317"/>
      <c r="D163" s="79"/>
      <c r="E163" s="40"/>
      <c r="F163" s="79">
        <f t="shared" si="10"/>
        <v>0</v>
      </c>
      <c r="G163" s="11">
        <v>2000000</v>
      </c>
      <c r="H163" s="11" t="s">
        <v>573</v>
      </c>
      <c r="I163" s="20" t="s">
        <v>587</v>
      </c>
      <c r="J163" s="21" t="s">
        <v>588</v>
      </c>
      <c r="K163" s="11">
        <f t="shared" si="11"/>
        <v>2000000</v>
      </c>
      <c r="L163" s="79">
        <f t="shared" si="12"/>
        <v>-2000000</v>
      </c>
      <c r="M163" s="3"/>
    </row>
    <row r="164" spans="1:13" ht="30" customHeight="1" x14ac:dyDescent="0.2">
      <c r="A164" s="4459">
        <v>127</v>
      </c>
      <c r="B164" s="4474" t="s">
        <v>255</v>
      </c>
      <c r="C164" s="4537" t="s">
        <v>989</v>
      </c>
      <c r="D164" s="4413">
        <v>200000000</v>
      </c>
      <c r="E164" s="4476">
        <v>0.06</v>
      </c>
      <c r="F164" s="4413">
        <f>D164*E164</f>
        <v>12000000</v>
      </c>
      <c r="G164" s="319">
        <v>1250000</v>
      </c>
      <c r="H164" s="319" t="s">
        <v>573</v>
      </c>
      <c r="I164" s="55" t="s">
        <v>589</v>
      </c>
      <c r="J164" s="56" t="s">
        <v>590</v>
      </c>
      <c r="K164" s="319">
        <f t="shared" si="11"/>
        <v>1250000</v>
      </c>
      <c r="L164" s="319"/>
      <c r="M164" s="3"/>
    </row>
    <row r="165" spans="1:13" ht="30" customHeight="1" x14ac:dyDescent="0.2">
      <c r="A165" s="4460"/>
      <c r="B165" s="4475"/>
      <c r="C165" s="4538"/>
      <c r="D165" s="4415"/>
      <c r="E165" s="4477"/>
      <c r="F165" s="4415"/>
      <c r="G165" s="169">
        <v>5000000</v>
      </c>
      <c r="H165" s="169" t="s">
        <v>984</v>
      </c>
      <c r="I165" s="171" t="s">
        <v>992</v>
      </c>
      <c r="J165" s="21" t="s">
        <v>590</v>
      </c>
      <c r="K165" s="169">
        <f t="shared" si="11"/>
        <v>5000000</v>
      </c>
      <c r="L165" s="320">
        <f>F164-G165</f>
        <v>7000000</v>
      </c>
      <c r="M165" s="77" t="s">
        <v>1303</v>
      </c>
    </row>
    <row r="166" spans="1:13" ht="30" customHeight="1" x14ac:dyDescent="0.2">
      <c r="A166" s="4459">
        <v>128</v>
      </c>
      <c r="B166" s="4474" t="s">
        <v>1171</v>
      </c>
      <c r="C166" s="317" t="s">
        <v>1176</v>
      </c>
      <c r="D166" s="4413">
        <v>200000000</v>
      </c>
      <c r="E166" s="4476">
        <v>0.05</v>
      </c>
      <c r="F166" s="4413">
        <f t="shared" si="10"/>
        <v>10000000</v>
      </c>
      <c r="G166" s="11">
        <v>5000000</v>
      </c>
      <c r="H166" s="11" t="s">
        <v>573</v>
      </c>
      <c r="I166" s="20" t="s">
        <v>591</v>
      </c>
      <c r="J166" s="21" t="s">
        <v>592</v>
      </c>
      <c r="K166" s="4413">
        <f>G166+G167</f>
        <v>10000000</v>
      </c>
      <c r="L166" s="4413">
        <f t="shared" si="12"/>
        <v>0</v>
      </c>
      <c r="M166" s="3"/>
    </row>
    <row r="167" spans="1:13" ht="30" customHeight="1" x14ac:dyDescent="0.2">
      <c r="A167" s="4460"/>
      <c r="B167" s="4475"/>
      <c r="C167" s="317" t="s">
        <v>942</v>
      </c>
      <c r="D167" s="4415"/>
      <c r="E167" s="4477"/>
      <c r="F167" s="4415"/>
      <c r="G167" s="243">
        <v>5000000</v>
      </c>
      <c r="H167" s="243" t="s">
        <v>1167</v>
      </c>
      <c r="I167" s="245" t="s">
        <v>1205</v>
      </c>
      <c r="J167" s="21" t="s">
        <v>592</v>
      </c>
      <c r="K167" s="4415"/>
      <c r="L167" s="4415"/>
      <c r="M167" s="3"/>
    </row>
    <row r="168" spans="1:13" ht="30" customHeight="1" x14ac:dyDescent="0.2">
      <c r="A168" s="4">
        <v>129</v>
      </c>
      <c r="B168" s="3" t="s">
        <v>256</v>
      </c>
      <c r="C168" s="317"/>
      <c r="D168" s="11">
        <v>200000000</v>
      </c>
      <c r="E168" s="17">
        <v>0.04</v>
      </c>
      <c r="F168" s="11">
        <f t="shared" si="10"/>
        <v>8000000</v>
      </c>
      <c r="G168" s="11">
        <v>8000000</v>
      </c>
      <c r="H168" s="11" t="s">
        <v>573</v>
      </c>
      <c r="I168" s="20" t="s">
        <v>577</v>
      </c>
      <c r="J168" s="24" t="s">
        <v>578</v>
      </c>
      <c r="K168" s="11">
        <f t="shared" si="11"/>
        <v>8000000</v>
      </c>
      <c r="L168" s="11">
        <f t="shared" si="12"/>
        <v>0</v>
      </c>
      <c r="M168" s="77" t="s">
        <v>579</v>
      </c>
    </row>
    <row r="169" spans="1:13" ht="30" customHeight="1" x14ac:dyDescent="0.2">
      <c r="A169" s="4459">
        <v>130</v>
      </c>
      <c r="B169" s="4474" t="s">
        <v>1218</v>
      </c>
      <c r="C169" s="4537" t="s">
        <v>1652</v>
      </c>
      <c r="D169" s="4413">
        <v>490000000</v>
      </c>
      <c r="E169" s="4476">
        <v>0.05</v>
      </c>
      <c r="F169" s="4413">
        <f t="shared" si="10"/>
        <v>24500000</v>
      </c>
      <c r="G169" s="562">
        <v>17500000</v>
      </c>
      <c r="H169" s="549" t="s">
        <v>544</v>
      </c>
      <c r="I169" s="559" t="s">
        <v>547</v>
      </c>
      <c r="J169" s="21" t="s">
        <v>548</v>
      </c>
      <c r="K169" s="4413">
        <f>G169+G170+G171</f>
        <v>33000000</v>
      </c>
      <c r="L169" s="4413">
        <f t="shared" si="12"/>
        <v>-8500000</v>
      </c>
      <c r="M169" s="4535" t="s">
        <v>1884</v>
      </c>
    </row>
    <row r="170" spans="1:13" ht="30" customHeight="1" x14ac:dyDescent="0.2">
      <c r="A170" s="4464"/>
      <c r="B170" s="4487"/>
      <c r="C170" s="4540"/>
      <c r="D170" s="4414"/>
      <c r="E170" s="4516"/>
      <c r="F170" s="4414"/>
      <c r="G170" s="549">
        <v>5500000</v>
      </c>
      <c r="H170" s="549" t="s">
        <v>1216</v>
      </c>
      <c r="I170" s="558" t="s">
        <v>1217</v>
      </c>
      <c r="J170" s="21" t="s">
        <v>548</v>
      </c>
      <c r="K170" s="4414"/>
      <c r="L170" s="4414"/>
      <c r="M170" s="4573"/>
    </row>
    <row r="171" spans="1:13" ht="30" customHeight="1" x14ac:dyDescent="0.2">
      <c r="A171" s="4460"/>
      <c r="B171" s="4475"/>
      <c r="C171" s="4538"/>
      <c r="D171" s="4415"/>
      <c r="E171" s="4477"/>
      <c r="F171" s="4415"/>
      <c r="G171" s="549">
        <v>10000000</v>
      </c>
      <c r="H171" s="549" t="s">
        <v>1216</v>
      </c>
      <c r="I171" s="558" t="s">
        <v>1219</v>
      </c>
      <c r="J171" s="21" t="s">
        <v>1220</v>
      </c>
      <c r="K171" s="4415"/>
      <c r="L171" s="4415"/>
      <c r="M171" s="4536"/>
    </row>
    <row r="172" spans="1:13" ht="30" customHeight="1" x14ac:dyDescent="0.2">
      <c r="A172" s="4">
        <v>131</v>
      </c>
      <c r="B172" s="3" t="s">
        <v>175</v>
      </c>
      <c r="C172" s="317"/>
      <c r="D172" s="11">
        <v>100000000</v>
      </c>
      <c r="E172" s="17">
        <v>4.4999999999999998E-2</v>
      </c>
      <c r="F172" s="11">
        <f t="shared" si="10"/>
        <v>4500000</v>
      </c>
      <c r="G172" s="11">
        <v>4500000</v>
      </c>
      <c r="H172" s="11" t="s">
        <v>508</v>
      </c>
      <c r="I172" s="20" t="s">
        <v>520</v>
      </c>
      <c r="J172" s="21" t="s">
        <v>521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166</v>
      </c>
      <c r="C173" s="317"/>
      <c r="D173" s="11">
        <v>110000000</v>
      </c>
      <c r="E173" s="17">
        <v>0.04</v>
      </c>
      <c r="F173" s="11">
        <f t="shared" si="10"/>
        <v>4400000</v>
      </c>
      <c r="G173" s="11">
        <v>4400000</v>
      </c>
      <c r="H173" s="11" t="s">
        <v>508</v>
      </c>
      <c r="I173" s="20" t="s">
        <v>509</v>
      </c>
      <c r="J173" s="21" t="s">
        <v>510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4459">
        <v>133</v>
      </c>
      <c r="B174" s="4474" t="s">
        <v>6</v>
      </c>
      <c r="C174" s="4537"/>
      <c r="D174" s="11">
        <v>100000000</v>
      </c>
      <c r="E174" s="17">
        <v>0.05</v>
      </c>
      <c r="F174" s="11">
        <f t="shared" si="10"/>
        <v>5000000</v>
      </c>
      <c r="G174" s="11">
        <v>5000000</v>
      </c>
      <c r="H174" s="11" t="s">
        <v>508</v>
      </c>
      <c r="I174" s="20" t="s">
        <v>522</v>
      </c>
      <c r="J174" s="26" t="s">
        <v>523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4460"/>
      <c r="B175" s="4475"/>
      <c r="C175" s="4538"/>
      <c r="D175" s="122">
        <v>100000000</v>
      </c>
      <c r="E175" s="17">
        <v>0.06</v>
      </c>
      <c r="F175" s="122">
        <f t="shared" si="10"/>
        <v>6000000</v>
      </c>
      <c r="G175" s="122">
        <v>6000000</v>
      </c>
      <c r="H175" s="122" t="s">
        <v>734</v>
      </c>
      <c r="I175" s="125" t="s">
        <v>806</v>
      </c>
      <c r="J175" s="52" t="s">
        <v>523</v>
      </c>
      <c r="K175" s="122">
        <f t="shared" si="11"/>
        <v>6000000</v>
      </c>
      <c r="L175" s="122">
        <f t="shared" si="12"/>
        <v>0</v>
      </c>
      <c r="M175" s="3"/>
    </row>
    <row r="176" spans="1:13" ht="30" customHeight="1" x14ac:dyDescent="0.2">
      <c r="A176" s="4">
        <v>134</v>
      </c>
      <c r="B176" s="3" t="s">
        <v>257</v>
      </c>
      <c r="C176" s="317"/>
      <c r="D176" s="69"/>
      <c r="E176" s="40"/>
      <c r="F176" s="69">
        <f t="shared" si="10"/>
        <v>0</v>
      </c>
      <c r="G176" s="11">
        <v>4000000</v>
      </c>
      <c r="H176" s="11" t="s">
        <v>508</v>
      </c>
      <c r="I176" s="20" t="s">
        <v>524</v>
      </c>
      <c r="J176" s="24" t="s">
        <v>525</v>
      </c>
      <c r="K176" s="11">
        <f t="shared" si="11"/>
        <v>4000000</v>
      </c>
      <c r="L176" s="69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258</v>
      </c>
      <c r="C177" s="317" t="s">
        <v>1176</v>
      </c>
      <c r="D177" s="417">
        <v>310000000</v>
      </c>
      <c r="E177" s="17">
        <v>4.4999999999999998E-2</v>
      </c>
      <c r="F177" s="417">
        <v>14000000</v>
      </c>
      <c r="G177" s="11">
        <v>14000000</v>
      </c>
      <c r="H177" s="11" t="s">
        <v>508</v>
      </c>
      <c r="I177" s="20" t="s">
        <v>526</v>
      </c>
      <c r="J177" s="26" t="s">
        <v>527</v>
      </c>
      <c r="K177" s="11">
        <f t="shared" si="11"/>
        <v>14000000</v>
      </c>
      <c r="L177" s="417">
        <f t="shared" si="12"/>
        <v>0</v>
      </c>
      <c r="M177" s="3"/>
    </row>
    <row r="178" spans="1:13" ht="30" customHeight="1" x14ac:dyDescent="0.2">
      <c r="A178" s="4">
        <v>136</v>
      </c>
      <c r="B178" s="3" t="s">
        <v>259</v>
      </c>
      <c r="C178" s="317"/>
      <c r="D178" s="72"/>
      <c r="E178" s="40"/>
      <c r="F178" s="72">
        <f t="shared" si="10"/>
        <v>0</v>
      </c>
      <c r="G178" s="11">
        <v>30000000</v>
      </c>
      <c r="H178" s="11" t="s">
        <v>508</v>
      </c>
      <c r="I178" s="32" t="s">
        <v>528</v>
      </c>
      <c r="J178" s="21" t="s">
        <v>529</v>
      </c>
      <c r="K178" s="11">
        <f t="shared" si="11"/>
        <v>30000000</v>
      </c>
      <c r="L178" s="72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160</v>
      </c>
      <c r="C179" s="317"/>
      <c r="D179" s="72"/>
      <c r="E179" s="40"/>
      <c r="F179" s="72">
        <f t="shared" si="10"/>
        <v>0</v>
      </c>
      <c r="G179" s="11">
        <v>5500000</v>
      </c>
      <c r="H179" s="11" t="s">
        <v>508</v>
      </c>
      <c r="I179" s="20" t="s">
        <v>530</v>
      </c>
      <c r="J179" s="26" t="s">
        <v>456</v>
      </c>
      <c r="K179" s="11">
        <f t="shared" si="11"/>
        <v>5500000</v>
      </c>
      <c r="L179" s="72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533</v>
      </c>
      <c r="C180" s="317"/>
      <c r="D180" s="72"/>
      <c r="E180" s="40"/>
      <c r="F180" s="72">
        <f t="shared" si="10"/>
        <v>0</v>
      </c>
      <c r="G180" s="11">
        <v>6000000</v>
      </c>
      <c r="H180" s="11" t="s">
        <v>508</v>
      </c>
      <c r="I180" s="20" t="s">
        <v>531</v>
      </c>
      <c r="J180" s="18" t="s">
        <v>532</v>
      </c>
      <c r="K180" s="11">
        <f t="shared" si="11"/>
        <v>6000000</v>
      </c>
      <c r="L180" s="72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7</v>
      </c>
      <c r="C181" s="317"/>
      <c r="D181" s="11">
        <v>30000000</v>
      </c>
      <c r="E181" s="17">
        <v>0.05</v>
      </c>
      <c r="F181" s="11">
        <f t="shared" si="10"/>
        <v>1500000</v>
      </c>
      <c r="G181" s="11">
        <v>1500000</v>
      </c>
      <c r="H181" s="11" t="s">
        <v>508</v>
      </c>
      <c r="I181" s="20" t="s">
        <v>534</v>
      </c>
      <c r="J181" s="21" t="s">
        <v>535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8</v>
      </c>
      <c r="C182" s="317"/>
      <c r="D182" s="501">
        <v>700000000</v>
      </c>
      <c r="E182" s="509">
        <v>0.06</v>
      </c>
      <c r="F182" s="501">
        <f t="shared" si="10"/>
        <v>42000000</v>
      </c>
      <c r="G182" s="501">
        <v>42000000</v>
      </c>
      <c r="H182" s="501" t="s">
        <v>508</v>
      </c>
      <c r="I182" s="508" t="s">
        <v>536</v>
      </c>
      <c r="J182" s="21" t="s">
        <v>537</v>
      </c>
      <c r="K182" s="501">
        <f t="shared" si="11"/>
        <v>42000000</v>
      </c>
      <c r="L182" s="501">
        <f t="shared" si="12"/>
        <v>0</v>
      </c>
      <c r="M182" s="3"/>
    </row>
    <row r="183" spans="1:13" ht="30" customHeight="1" x14ac:dyDescent="0.2">
      <c r="A183" s="4">
        <v>141</v>
      </c>
      <c r="B183" s="3" t="s">
        <v>9</v>
      </c>
      <c r="C183" s="317"/>
      <c r="D183" s="11">
        <v>50000000</v>
      </c>
      <c r="E183" s="17">
        <v>0.04</v>
      </c>
      <c r="F183" s="11">
        <f t="shared" si="10"/>
        <v>2000000</v>
      </c>
      <c r="G183" s="11">
        <v>6000000</v>
      </c>
      <c r="H183" s="11" t="s">
        <v>508</v>
      </c>
      <c r="I183" s="20" t="s">
        <v>517</v>
      </c>
      <c r="J183" s="68" t="s">
        <v>518</v>
      </c>
      <c r="K183" s="11">
        <f t="shared" si="11"/>
        <v>6000000</v>
      </c>
      <c r="L183" s="11">
        <f t="shared" si="12"/>
        <v>-4000000</v>
      </c>
      <c r="M183" s="77" t="s">
        <v>519</v>
      </c>
    </row>
    <row r="184" spans="1:13" ht="30" customHeight="1" x14ac:dyDescent="0.2">
      <c r="A184" s="4">
        <v>142</v>
      </c>
      <c r="B184" s="3" t="s">
        <v>514</v>
      </c>
      <c r="C184" s="317"/>
      <c r="D184" s="11">
        <v>5000000</v>
      </c>
      <c r="E184" s="17">
        <v>0.05</v>
      </c>
      <c r="F184" s="11">
        <f t="shared" si="10"/>
        <v>250000</v>
      </c>
      <c r="G184" s="11">
        <v>250000</v>
      </c>
      <c r="H184" s="11" t="s">
        <v>508</v>
      </c>
      <c r="I184" s="20" t="s">
        <v>515</v>
      </c>
      <c r="J184" s="21" t="s">
        <v>516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10</v>
      </c>
      <c r="C185" s="317"/>
      <c r="D185" s="11">
        <v>105000000</v>
      </c>
      <c r="E185" s="17">
        <v>0.04</v>
      </c>
      <c r="F185" s="11">
        <f t="shared" si="10"/>
        <v>4200000</v>
      </c>
      <c r="G185" s="11">
        <v>4200000</v>
      </c>
      <c r="H185" s="11" t="s">
        <v>508</v>
      </c>
      <c r="I185" s="20" t="s">
        <v>538</v>
      </c>
      <c r="J185" s="18" t="s">
        <v>539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11</v>
      </c>
      <c r="C186" s="317"/>
      <c r="D186" s="11">
        <v>50000000</v>
      </c>
      <c r="E186" s="17">
        <v>4.4999999999999998E-2</v>
      </c>
      <c r="F186" s="11">
        <f t="shared" si="10"/>
        <v>2250000</v>
      </c>
      <c r="G186" s="11">
        <v>2250000</v>
      </c>
      <c r="H186" s="11" t="s">
        <v>508</v>
      </c>
      <c r="I186" s="20" t="s">
        <v>540</v>
      </c>
      <c r="J186" s="21" t="s">
        <v>541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12</v>
      </c>
      <c r="C187" s="317" t="s">
        <v>1295</v>
      </c>
      <c r="D187" s="11">
        <v>30000000</v>
      </c>
      <c r="E187" s="17">
        <v>0.04</v>
      </c>
      <c r="F187" s="11">
        <f t="shared" si="10"/>
        <v>1200000</v>
      </c>
      <c r="G187" s="11">
        <v>1200000</v>
      </c>
      <c r="H187" s="11" t="s">
        <v>508</v>
      </c>
      <c r="I187" s="20" t="s">
        <v>511</v>
      </c>
      <c r="J187" s="26" t="s">
        <v>512</v>
      </c>
      <c r="K187" s="11">
        <f t="shared" si="11"/>
        <v>1200000</v>
      </c>
      <c r="L187" s="11">
        <f t="shared" si="12"/>
        <v>0</v>
      </c>
      <c r="M187" s="76" t="s">
        <v>513</v>
      </c>
    </row>
    <row r="188" spans="1:13" ht="30" customHeight="1" x14ac:dyDescent="0.2">
      <c r="A188" s="4">
        <v>146</v>
      </c>
      <c r="B188" s="3" t="s">
        <v>13</v>
      </c>
      <c r="C188" s="317"/>
      <c r="D188" s="11">
        <v>55000000</v>
      </c>
      <c r="E188" s="17">
        <v>0.05</v>
      </c>
      <c r="F188" s="11">
        <f t="shared" si="10"/>
        <v>2750000</v>
      </c>
      <c r="G188" s="11">
        <v>2750000</v>
      </c>
      <c r="H188" s="11" t="s">
        <v>379</v>
      </c>
      <c r="I188" s="20" t="s">
        <v>385</v>
      </c>
      <c r="J188" s="21" t="s">
        <v>386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14</v>
      </c>
      <c r="C189" s="317" t="s">
        <v>1291</v>
      </c>
      <c r="D189" s="11">
        <v>80000000</v>
      </c>
      <c r="E189" s="17">
        <v>0.05</v>
      </c>
      <c r="F189" s="11">
        <f t="shared" si="10"/>
        <v>4000000</v>
      </c>
      <c r="G189" s="11">
        <v>4000000</v>
      </c>
      <c r="H189" s="11" t="s">
        <v>443</v>
      </c>
      <c r="I189" s="20" t="s">
        <v>473</v>
      </c>
      <c r="J189" s="68" t="s">
        <v>474</v>
      </c>
      <c r="K189" s="11">
        <f t="shared" si="11"/>
        <v>4000000</v>
      </c>
      <c r="L189" s="11">
        <f t="shared" si="12"/>
        <v>0</v>
      </c>
      <c r="M189" s="35" t="s">
        <v>357</v>
      </c>
    </row>
    <row r="190" spans="1:13" ht="30" customHeight="1" x14ac:dyDescent="0.2">
      <c r="A190" s="4">
        <v>148</v>
      </c>
      <c r="B190" s="3" t="s">
        <v>15</v>
      </c>
      <c r="C190" s="317"/>
      <c r="D190" s="72"/>
      <c r="E190" s="40"/>
      <c r="F190" s="72">
        <f t="shared" si="10"/>
        <v>0</v>
      </c>
      <c r="G190" s="11">
        <v>6400000</v>
      </c>
      <c r="H190" s="11" t="s">
        <v>544</v>
      </c>
      <c r="I190" s="20" t="s">
        <v>563</v>
      </c>
      <c r="J190" s="21" t="s">
        <v>564</v>
      </c>
      <c r="K190" s="11">
        <f t="shared" si="11"/>
        <v>6400000</v>
      </c>
      <c r="L190" s="72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16</v>
      </c>
      <c r="C191" s="317" t="s">
        <v>1107</v>
      </c>
      <c r="D191" s="11">
        <v>180000000</v>
      </c>
      <c r="E191" s="17">
        <v>0.05</v>
      </c>
      <c r="F191" s="11">
        <f t="shared" si="10"/>
        <v>9000000</v>
      </c>
      <c r="G191" s="11">
        <v>9000000</v>
      </c>
      <c r="H191" s="11" t="s">
        <v>904</v>
      </c>
      <c r="I191" s="32" t="s">
        <v>909</v>
      </c>
      <c r="J191" s="21" t="s">
        <v>910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1115</v>
      </c>
      <c r="C192" s="317"/>
      <c r="D192" s="11">
        <v>35000000</v>
      </c>
      <c r="E192" s="17">
        <v>4.7E-2</v>
      </c>
      <c r="F192" s="11">
        <v>1650000</v>
      </c>
      <c r="G192" s="11">
        <v>1650000</v>
      </c>
      <c r="H192" s="11" t="s">
        <v>1101</v>
      </c>
      <c r="I192" s="20" t="s">
        <v>1116</v>
      </c>
      <c r="J192" s="21" t="s">
        <v>1117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17</v>
      </c>
      <c r="C193" s="317"/>
      <c r="D193" s="11">
        <v>30000000</v>
      </c>
      <c r="E193" s="17">
        <v>0.04</v>
      </c>
      <c r="F193" s="11">
        <f t="shared" si="10"/>
        <v>1200000</v>
      </c>
      <c r="G193" s="11">
        <v>1200000</v>
      </c>
      <c r="H193" s="11" t="s">
        <v>1139</v>
      </c>
      <c r="I193" s="20" t="s">
        <v>1142</v>
      </c>
      <c r="J193" s="21" t="s">
        <v>1143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18</v>
      </c>
      <c r="C194" s="317"/>
      <c r="D194" s="11">
        <v>15000000</v>
      </c>
      <c r="E194" s="17">
        <v>7.0000000000000007E-2</v>
      </c>
      <c r="F194" s="11">
        <f t="shared" si="10"/>
        <v>1050000</v>
      </c>
      <c r="G194" s="11">
        <v>1050000</v>
      </c>
      <c r="H194" s="11" t="s">
        <v>1266</v>
      </c>
      <c r="I194" s="20" t="s">
        <v>1277</v>
      </c>
      <c r="J194" s="21" t="s">
        <v>1278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19</v>
      </c>
      <c r="C195" s="317"/>
      <c r="D195" s="102"/>
      <c r="E195" s="40"/>
      <c r="F195" s="102">
        <f t="shared" si="10"/>
        <v>0</v>
      </c>
      <c r="G195" s="11">
        <v>10400000</v>
      </c>
      <c r="H195" s="11" t="s">
        <v>660</v>
      </c>
      <c r="I195" s="32" t="s">
        <v>695</v>
      </c>
      <c r="J195" s="21" t="s">
        <v>696</v>
      </c>
      <c r="K195" s="11">
        <f t="shared" si="11"/>
        <v>10400000</v>
      </c>
      <c r="L195" s="102">
        <f t="shared" si="12"/>
        <v>-10400000</v>
      </c>
      <c r="M195" s="3"/>
    </row>
    <row r="196" spans="1:13" ht="30" customHeight="1" x14ac:dyDescent="0.2">
      <c r="A196" s="4459">
        <v>154</v>
      </c>
      <c r="B196" s="4474" t="s">
        <v>20</v>
      </c>
      <c r="C196" s="4537"/>
      <c r="D196" s="4413">
        <v>50000000</v>
      </c>
      <c r="E196" s="4476">
        <v>0.04</v>
      </c>
      <c r="F196" s="4413">
        <f t="shared" si="10"/>
        <v>2000000</v>
      </c>
      <c r="G196" s="11">
        <v>1500000</v>
      </c>
      <c r="H196" s="11" t="s">
        <v>443</v>
      </c>
      <c r="I196" s="20" t="s">
        <v>461</v>
      </c>
      <c r="J196" s="18" t="s">
        <v>462</v>
      </c>
      <c r="K196" s="4322">
        <f>G196+G198</f>
        <v>2000000</v>
      </c>
      <c r="L196" s="4539">
        <f t="shared" si="12"/>
        <v>0</v>
      </c>
      <c r="M196" s="4459"/>
    </row>
    <row r="197" spans="1:13" ht="30" customHeight="1" x14ac:dyDescent="0.2">
      <c r="A197" s="4464"/>
      <c r="B197" s="4487"/>
      <c r="C197" s="4540"/>
      <c r="D197" s="4414"/>
      <c r="E197" s="4516"/>
      <c r="F197" s="4414"/>
      <c r="G197" s="417">
        <v>500000</v>
      </c>
      <c r="H197" s="417" t="s">
        <v>463</v>
      </c>
      <c r="I197" s="428" t="s">
        <v>464</v>
      </c>
      <c r="J197" s="18" t="s">
        <v>462</v>
      </c>
      <c r="K197" s="4322"/>
      <c r="L197" s="4539"/>
      <c r="M197" s="4464"/>
    </row>
    <row r="198" spans="1:13" ht="30" customHeight="1" x14ac:dyDescent="0.2">
      <c r="A198" s="4460"/>
      <c r="B198" s="4475"/>
      <c r="C198" s="4538"/>
      <c r="D198" s="4415"/>
      <c r="E198" s="4477"/>
      <c r="F198" s="4415"/>
      <c r="G198" s="417">
        <v>500000</v>
      </c>
      <c r="H198" s="417" t="s">
        <v>984</v>
      </c>
      <c r="I198" s="428" t="s">
        <v>998</v>
      </c>
      <c r="J198" s="18" t="s">
        <v>462</v>
      </c>
      <c r="K198" s="4303" t="s">
        <v>1518</v>
      </c>
      <c r="L198" s="4355"/>
      <c r="M198" s="4460"/>
    </row>
    <row r="199" spans="1:13" ht="30" customHeight="1" x14ac:dyDescent="0.2">
      <c r="A199" s="4">
        <v>155</v>
      </c>
      <c r="B199" s="3" t="s">
        <v>21</v>
      </c>
      <c r="C199" s="317" t="s">
        <v>1294</v>
      </c>
      <c r="D199" s="11">
        <v>20000000</v>
      </c>
      <c r="E199" s="17">
        <v>0.05</v>
      </c>
      <c r="F199" s="11">
        <f t="shared" si="10"/>
        <v>1000000</v>
      </c>
      <c r="G199" s="11">
        <v>1000000</v>
      </c>
      <c r="H199" s="11" t="s">
        <v>660</v>
      </c>
      <c r="I199" s="20" t="s">
        <v>689</v>
      </c>
      <c r="J199" s="21" t="s">
        <v>690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4459">
        <v>156</v>
      </c>
      <c r="B200" s="4459" t="s">
        <v>822</v>
      </c>
      <c r="C200" s="317"/>
      <c r="D200" s="11">
        <v>120000000</v>
      </c>
      <c r="E200" s="17"/>
      <c r="F200" s="11">
        <v>5400000</v>
      </c>
      <c r="G200" s="4413">
        <v>6600000</v>
      </c>
      <c r="H200" s="4413" t="s">
        <v>813</v>
      </c>
      <c r="I200" s="4555" t="s">
        <v>823</v>
      </c>
      <c r="J200" s="4478" t="s">
        <v>824</v>
      </c>
      <c r="K200" s="4413">
        <f t="shared" si="11"/>
        <v>6600000</v>
      </c>
      <c r="L200" s="4413">
        <f>(F200+F201)-K200</f>
        <v>0</v>
      </c>
      <c r="M200" s="3"/>
    </row>
    <row r="201" spans="1:13" ht="30" customHeight="1" x14ac:dyDescent="0.2">
      <c r="A201" s="4460"/>
      <c r="B201" s="4460"/>
      <c r="C201" s="317"/>
      <c r="D201" s="122">
        <v>22000000</v>
      </c>
      <c r="E201" s="17"/>
      <c r="F201" s="122">
        <v>1200000</v>
      </c>
      <c r="G201" s="4415"/>
      <c r="H201" s="4415"/>
      <c r="I201" s="4557"/>
      <c r="J201" s="4479"/>
      <c r="K201" s="4415"/>
      <c r="L201" s="4415"/>
      <c r="M201" s="3"/>
    </row>
    <row r="202" spans="1:13" ht="30" customHeight="1" x14ac:dyDescent="0.2">
      <c r="A202" s="4">
        <v>157</v>
      </c>
      <c r="B202" s="3" t="s">
        <v>22</v>
      </c>
      <c r="C202" s="317"/>
      <c r="D202" s="11">
        <v>25000000</v>
      </c>
      <c r="E202" s="17">
        <v>0.05</v>
      </c>
      <c r="F202" s="11">
        <f t="shared" si="10"/>
        <v>1250000</v>
      </c>
      <c r="G202" s="11">
        <v>1250000</v>
      </c>
      <c r="H202" s="11" t="s">
        <v>443</v>
      </c>
      <c r="I202" s="20" t="s">
        <v>471</v>
      </c>
      <c r="J202" s="21" t="s">
        <v>472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23</v>
      </c>
      <c r="C203" s="317"/>
      <c r="D203" s="11">
        <v>55000000</v>
      </c>
      <c r="E203" s="17">
        <v>0.05</v>
      </c>
      <c r="F203" s="11">
        <f t="shared" si="10"/>
        <v>2750000</v>
      </c>
      <c r="G203" s="11">
        <v>2750000</v>
      </c>
      <c r="H203" s="11" t="s">
        <v>904</v>
      </c>
      <c r="I203" s="20" t="s">
        <v>978</v>
      </c>
      <c r="J203" s="21" t="s">
        <v>979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24</v>
      </c>
      <c r="C204" s="317"/>
      <c r="D204" s="11">
        <v>20000000</v>
      </c>
      <c r="E204" s="17">
        <v>4.4999999999999998E-2</v>
      </c>
      <c r="F204" s="11">
        <f t="shared" ref="F204:F258" si="13">D204*E204</f>
        <v>900000</v>
      </c>
      <c r="G204" s="11">
        <v>900000</v>
      </c>
      <c r="H204" s="11" t="s">
        <v>708</v>
      </c>
      <c r="I204" s="20" t="s">
        <v>720</v>
      </c>
      <c r="J204" s="21" t="s">
        <v>721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25</v>
      </c>
      <c r="C205" s="317"/>
      <c r="D205" s="11">
        <v>180000000</v>
      </c>
      <c r="E205" s="17">
        <v>0.05</v>
      </c>
      <c r="F205" s="11">
        <f t="shared" si="13"/>
        <v>9000000</v>
      </c>
      <c r="G205" s="122">
        <v>9000000</v>
      </c>
      <c r="H205" s="122" t="s">
        <v>813</v>
      </c>
      <c r="I205" s="125" t="s">
        <v>831</v>
      </c>
      <c r="J205" s="21" t="s">
        <v>832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828</v>
      </c>
      <c r="C206" s="317"/>
      <c r="D206" s="11">
        <v>200000000</v>
      </c>
      <c r="E206" s="17">
        <v>0.05</v>
      </c>
      <c r="F206" s="11">
        <f t="shared" si="13"/>
        <v>10000000</v>
      </c>
      <c r="G206" s="11">
        <v>10000000</v>
      </c>
      <c r="H206" s="11" t="s">
        <v>813</v>
      </c>
      <c r="I206" s="20" t="s">
        <v>829</v>
      </c>
      <c r="J206" s="21" t="s">
        <v>830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26</v>
      </c>
      <c r="C207" s="317"/>
      <c r="D207" s="11">
        <v>50000000</v>
      </c>
      <c r="E207" s="17">
        <v>0.05</v>
      </c>
      <c r="F207" s="11">
        <f t="shared" si="13"/>
        <v>2500000</v>
      </c>
      <c r="G207" s="11">
        <v>2500000</v>
      </c>
      <c r="H207" s="11" t="s">
        <v>734</v>
      </c>
      <c r="I207" s="20" t="s">
        <v>740</v>
      </c>
      <c r="J207" s="21" t="s">
        <v>741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27</v>
      </c>
      <c r="C208" s="317" t="s">
        <v>681</v>
      </c>
      <c r="D208" s="11">
        <v>20000000</v>
      </c>
      <c r="E208" s="17">
        <v>0.04</v>
      </c>
      <c r="F208" s="11">
        <f t="shared" si="13"/>
        <v>800000</v>
      </c>
      <c r="G208" s="11">
        <v>800000</v>
      </c>
      <c r="H208" s="11" t="s">
        <v>734</v>
      </c>
      <c r="I208" s="20" t="s">
        <v>742</v>
      </c>
      <c r="J208" s="21" t="s">
        <v>743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28</v>
      </c>
      <c r="C209" s="317" t="s">
        <v>551</v>
      </c>
      <c r="D209" s="11">
        <v>100000000</v>
      </c>
      <c r="E209" s="17">
        <v>0.05</v>
      </c>
      <c r="F209" s="11">
        <f t="shared" si="13"/>
        <v>5000000</v>
      </c>
      <c r="G209" s="11">
        <v>5000000</v>
      </c>
      <c r="H209" s="11" t="s">
        <v>544</v>
      </c>
      <c r="I209" s="20" t="s">
        <v>552</v>
      </c>
      <c r="J209" s="26" t="s">
        <v>553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737</v>
      </c>
      <c r="C210" s="317"/>
      <c r="D210" s="11">
        <v>50000000</v>
      </c>
      <c r="E210" s="17">
        <v>0.05</v>
      </c>
      <c r="F210" s="11">
        <f t="shared" si="13"/>
        <v>2500000</v>
      </c>
      <c r="G210" s="11">
        <v>2500000</v>
      </c>
      <c r="H210" s="11" t="s">
        <v>734</v>
      </c>
      <c r="I210" s="20" t="s">
        <v>738</v>
      </c>
      <c r="J210" s="21" t="s">
        <v>739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818</v>
      </c>
      <c r="C211" s="317"/>
      <c r="D211" s="11">
        <v>50000000</v>
      </c>
      <c r="E211" s="17">
        <v>7.0000000000000007E-2</v>
      </c>
      <c r="F211" s="11">
        <f t="shared" si="13"/>
        <v>3500000.0000000005</v>
      </c>
      <c r="G211" s="11">
        <v>3500000</v>
      </c>
      <c r="H211" s="11" t="s">
        <v>813</v>
      </c>
      <c r="I211" s="20" t="s">
        <v>816</v>
      </c>
      <c r="J211" s="21" t="s">
        <v>817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29</v>
      </c>
      <c r="C212" s="317"/>
      <c r="D212" s="11">
        <v>18000000</v>
      </c>
      <c r="E212" s="17">
        <v>4.4999999999999998E-2</v>
      </c>
      <c r="F212" s="11">
        <f t="shared" si="13"/>
        <v>810000</v>
      </c>
      <c r="G212" s="11">
        <v>810000</v>
      </c>
      <c r="H212" s="11" t="s">
        <v>813</v>
      </c>
      <c r="I212" s="20" t="s">
        <v>847</v>
      </c>
      <c r="J212" s="6" t="s">
        <v>848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30</v>
      </c>
      <c r="C213" s="317" t="s">
        <v>1107</v>
      </c>
      <c r="D213" s="11">
        <v>70000000</v>
      </c>
      <c r="E213" s="17">
        <v>0.05</v>
      </c>
      <c r="F213" s="11">
        <f t="shared" si="13"/>
        <v>3500000</v>
      </c>
      <c r="G213" s="11">
        <v>3500000</v>
      </c>
      <c r="H213" s="11" t="s">
        <v>1101</v>
      </c>
      <c r="I213" s="20" t="s">
        <v>1126</v>
      </c>
      <c r="J213" s="21" t="s">
        <v>1127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31</v>
      </c>
      <c r="C214" s="317" t="s">
        <v>1293</v>
      </c>
      <c r="D214" s="95"/>
      <c r="E214" s="40"/>
      <c r="F214" s="11">
        <v>400000</v>
      </c>
      <c r="G214" s="11">
        <v>800000</v>
      </c>
      <c r="H214" s="11" t="s">
        <v>660</v>
      </c>
      <c r="I214" s="20" t="s">
        <v>669</v>
      </c>
      <c r="J214" s="21" t="s">
        <v>670</v>
      </c>
      <c r="K214" s="11">
        <f t="shared" si="14"/>
        <v>800000</v>
      </c>
      <c r="L214" s="92">
        <f t="shared" si="15"/>
        <v>-400000</v>
      </c>
      <c r="M214" s="97" t="s">
        <v>671</v>
      </c>
    </row>
    <row r="215" spans="1:13" ht="30" customHeight="1" x14ac:dyDescent="0.2">
      <c r="A215" s="4459">
        <v>170</v>
      </c>
      <c r="B215" s="4461" t="s">
        <v>32</v>
      </c>
      <c r="C215" s="4537"/>
      <c r="D215" s="102">
        <v>5000000</v>
      </c>
      <c r="E215" s="40">
        <v>0.05</v>
      </c>
      <c r="F215" s="102">
        <f t="shared" si="13"/>
        <v>250000</v>
      </c>
      <c r="G215" s="102">
        <v>250000</v>
      </c>
      <c r="H215" s="102" t="s">
        <v>544</v>
      </c>
      <c r="I215" s="55" t="s">
        <v>631</v>
      </c>
      <c r="J215" s="56" t="s">
        <v>632</v>
      </c>
      <c r="K215" s="102">
        <f t="shared" si="14"/>
        <v>250000</v>
      </c>
      <c r="L215" s="102">
        <f t="shared" si="15"/>
        <v>0</v>
      </c>
      <c r="M215" s="110"/>
    </row>
    <row r="216" spans="1:13" ht="30" customHeight="1" x14ac:dyDescent="0.2">
      <c r="A216" s="4464"/>
      <c r="B216" s="4462"/>
      <c r="C216" s="4540"/>
      <c r="D216" s="102"/>
      <c r="E216" s="40"/>
      <c r="F216" s="102"/>
      <c r="G216" s="102">
        <v>1200000</v>
      </c>
      <c r="H216" s="102" t="s">
        <v>660</v>
      </c>
      <c r="I216" s="55" t="s">
        <v>697</v>
      </c>
      <c r="J216" s="56" t="s">
        <v>632</v>
      </c>
      <c r="K216" s="102">
        <f>G215+G216</f>
        <v>1450000</v>
      </c>
      <c r="L216" s="102"/>
      <c r="M216" s="110"/>
    </row>
    <row r="217" spans="1:13" ht="30" customHeight="1" x14ac:dyDescent="0.2">
      <c r="A217" s="4460"/>
      <c r="B217" s="4463"/>
      <c r="C217" s="4538"/>
      <c r="D217" s="102"/>
      <c r="E217" s="40"/>
      <c r="F217" s="102"/>
      <c r="G217" s="102">
        <v>1000000</v>
      </c>
      <c r="H217" s="102" t="s">
        <v>708</v>
      </c>
      <c r="I217" s="55" t="s">
        <v>733</v>
      </c>
      <c r="J217" s="56" t="s">
        <v>632</v>
      </c>
      <c r="K217" s="102"/>
      <c r="L217" s="102"/>
      <c r="M217" s="110"/>
    </row>
    <row r="218" spans="1:13" ht="30" customHeight="1" x14ac:dyDescent="0.2">
      <c r="A218" s="4">
        <v>171</v>
      </c>
      <c r="B218" s="3" t="s">
        <v>33</v>
      </c>
      <c r="C218" s="317"/>
      <c r="D218" s="11">
        <v>40000000</v>
      </c>
      <c r="E218" s="17">
        <v>0.05</v>
      </c>
      <c r="F218" s="11">
        <f t="shared" si="13"/>
        <v>2000000</v>
      </c>
      <c r="G218" s="11">
        <v>2000000</v>
      </c>
      <c r="H218" s="11" t="s">
        <v>813</v>
      </c>
      <c r="I218" s="20" t="s">
        <v>837</v>
      </c>
      <c r="J218" s="21" t="s">
        <v>838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4459">
        <v>172</v>
      </c>
      <c r="B219" s="4474" t="s">
        <v>34</v>
      </c>
      <c r="C219" s="4537"/>
      <c r="D219" s="4506"/>
      <c r="E219" s="4512"/>
      <c r="F219" s="4506">
        <f t="shared" si="13"/>
        <v>0</v>
      </c>
      <c r="G219" s="11">
        <v>30000000</v>
      </c>
      <c r="H219" s="11" t="s">
        <v>490</v>
      </c>
      <c r="I219" s="20" t="s">
        <v>640</v>
      </c>
      <c r="J219" s="21" t="s">
        <v>641</v>
      </c>
      <c r="K219" s="4413">
        <f>G219+G220+G221</f>
        <v>111000000</v>
      </c>
      <c r="L219" s="4506">
        <f t="shared" si="15"/>
        <v>-111000000</v>
      </c>
      <c r="M219" s="3"/>
    </row>
    <row r="220" spans="1:13" ht="30" customHeight="1" x14ac:dyDescent="0.2">
      <c r="A220" s="4464"/>
      <c r="B220" s="4487"/>
      <c r="C220" s="4540"/>
      <c r="D220" s="4507"/>
      <c r="E220" s="4513"/>
      <c r="F220" s="4507"/>
      <c r="G220" s="89">
        <v>50000000</v>
      </c>
      <c r="H220" s="89" t="s">
        <v>323</v>
      </c>
      <c r="I220" s="20" t="s">
        <v>642</v>
      </c>
      <c r="J220" s="21" t="s">
        <v>643</v>
      </c>
      <c r="K220" s="4414"/>
      <c r="L220" s="4507"/>
      <c r="M220" s="3"/>
    </row>
    <row r="221" spans="1:13" ht="30" customHeight="1" x14ac:dyDescent="0.2">
      <c r="A221" s="4460"/>
      <c r="B221" s="4475"/>
      <c r="C221" s="4538"/>
      <c r="D221" s="4508"/>
      <c r="E221" s="4514"/>
      <c r="F221" s="4508"/>
      <c r="G221" s="128">
        <v>31000000</v>
      </c>
      <c r="H221" s="128" t="s">
        <v>813</v>
      </c>
      <c r="I221" s="135" t="s">
        <v>858</v>
      </c>
      <c r="J221" s="21" t="s">
        <v>859</v>
      </c>
      <c r="K221" s="4415"/>
      <c r="L221" s="4508"/>
      <c r="M221" s="3"/>
    </row>
    <row r="222" spans="1:13" ht="30" customHeight="1" x14ac:dyDescent="0.2">
      <c r="A222" s="4">
        <v>173</v>
      </c>
      <c r="B222" s="3" t="s">
        <v>36</v>
      </c>
      <c r="C222" s="317"/>
      <c r="D222" s="11">
        <v>200000000</v>
      </c>
      <c r="E222" s="17">
        <v>0.05</v>
      </c>
      <c r="F222" s="11">
        <f t="shared" si="13"/>
        <v>10000000</v>
      </c>
      <c r="G222" s="11">
        <v>10000000</v>
      </c>
      <c r="H222" s="11" t="s">
        <v>1002</v>
      </c>
      <c r="I222" s="176" t="s">
        <v>1007</v>
      </c>
      <c r="J222" s="21" t="s">
        <v>1008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37</v>
      </c>
      <c r="C223" s="317"/>
      <c r="D223" s="11">
        <v>150000000</v>
      </c>
      <c r="E223" s="17">
        <v>7.0000000000000007E-2</v>
      </c>
      <c r="F223" s="11">
        <f t="shared" si="13"/>
        <v>10500000.000000002</v>
      </c>
      <c r="G223" s="11">
        <v>10500000</v>
      </c>
      <c r="H223" s="11" t="s">
        <v>904</v>
      </c>
      <c r="I223" s="145" t="s">
        <v>907</v>
      </c>
      <c r="J223" s="21" t="s">
        <v>908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38</v>
      </c>
      <c r="C224" s="317"/>
      <c r="D224" s="11">
        <v>25000000</v>
      </c>
      <c r="E224" s="17">
        <v>0.04</v>
      </c>
      <c r="F224" s="11">
        <f t="shared" si="13"/>
        <v>1000000</v>
      </c>
      <c r="G224" s="11">
        <v>1000000</v>
      </c>
      <c r="H224" s="11" t="s">
        <v>734</v>
      </c>
      <c r="I224" s="20" t="s">
        <v>745</v>
      </c>
      <c r="J224" s="18" t="s">
        <v>746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39</v>
      </c>
      <c r="C225" s="317"/>
      <c r="D225" s="11">
        <v>90000000</v>
      </c>
      <c r="E225" s="17">
        <v>4.4999999999999998E-2</v>
      </c>
      <c r="F225" s="11">
        <v>4000000</v>
      </c>
      <c r="G225" s="11">
        <v>4000000</v>
      </c>
      <c r="H225" s="11" t="s">
        <v>708</v>
      </c>
      <c r="I225" s="20" t="s">
        <v>714</v>
      </c>
      <c r="J225" s="21" t="s">
        <v>715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40</v>
      </c>
      <c r="C226" s="317"/>
      <c r="D226" s="221"/>
      <c r="E226" s="40"/>
      <c r="F226" s="221">
        <f t="shared" si="13"/>
        <v>0</v>
      </c>
      <c r="G226" s="11">
        <v>16000000</v>
      </c>
      <c r="H226" s="11" t="s">
        <v>1002</v>
      </c>
      <c r="I226" s="32" t="s">
        <v>1089</v>
      </c>
      <c r="J226" s="21" t="s">
        <v>1090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41</v>
      </c>
      <c r="C227" s="317"/>
      <c r="D227" s="219">
        <v>300000000</v>
      </c>
      <c r="E227" s="17">
        <v>5.7000000000000002E-2</v>
      </c>
      <c r="F227" s="219">
        <v>17000000</v>
      </c>
      <c r="G227" s="11">
        <v>17000000</v>
      </c>
      <c r="H227" s="11" t="s">
        <v>1101</v>
      </c>
      <c r="I227" s="32" t="s">
        <v>1122</v>
      </c>
      <c r="J227" s="21" t="s">
        <v>1123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42</v>
      </c>
      <c r="C228" s="317" t="s">
        <v>989</v>
      </c>
      <c r="D228" s="11">
        <v>50000000</v>
      </c>
      <c r="E228" s="17">
        <v>0.05</v>
      </c>
      <c r="F228" s="11">
        <f t="shared" si="13"/>
        <v>2500000</v>
      </c>
      <c r="G228" s="11">
        <v>2500000</v>
      </c>
      <c r="H228" s="11" t="s">
        <v>984</v>
      </c>
      <c r="I228" s="20" t="s">
        <v>987</v>
      </c>
      <c r="J228" s="21" t="s">
        <v>988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43</v>
      </c>
      <c r="C229" s="317"/>
      <c r="D229" s="11">
        <v>25000000</v>
      </c>
      <c r="E229" s="17">
        <v>0.05</v>
      </c>
      <c r="F229" s="11">
        <f t="shared" si="13"/>
        <v>1250000</v>
      </c>
      <c r="G229" s="11">
        <v>1250000</v>
      </c>
      <c r="H229" s="11" t="s">
        <v>1002</v>
      </c>
      <c r="I229" s="20" t="s">
        <v>1005</v>
      </c>
      <c r="J229" s="21" t="s">
        <v>1006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44</v>
      </c>
      <c r="C230" s="317" t="s">
        <v>1100</v>
      </c>
      <c r="D230" s="11">
        <v>50000000</v>
      </c>
      <c r="E230" s="17">
        <v>0.05</v>
      </c>
      <c r="F230" s="11">
        <f t="shared" si="13"/>
        <v>2500000</v>
      </c>
      <c r="G230" s="11">
        <v>2500000</v>
      </c>
      <c r="H230" s="11" t="s">
        <v>1139</v>
      </c>
      <c r="I230" s="20" t="s">
        <v>1147</v>
      </c>
      <c r="J230" s="21" t="s">
        <v>1148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45</v>
      </c>
      <c r="C231" s="317" t="s">
        <v>989</v>
      </c>
      <c r="D231" s="11">
        <v>20000000</v>
      </c>
      <c r="E231" s="17">
        <v>0.05</v>
      </c>
      <c r="F231" s="11">
        <f t="shared" si="13"/>
        <v>1000000</v>
      </c>
      <c r="G231" s="11">
        <v>1000000</v>
      </c>
      <c r="H231" s="11" t="s">
        <v>1002</v>
      </c>
      <c r="I231" s="20" t="s">
        <v>1093</v>
      </c>
      <c r="J231" s="21" t="s">
        <v>1094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46</v>
      </c>
      <c r="C232" s="317"/>
      <c r="D232" s="11">
        <v>70000000</v>
      </c>
      <c r="E232" s="17">
        <v>0.05</v>
      </c>
      <c r="F232" s="11">
        <f t="shared" si="13"/>
        <v>3500000</v>
      </c>
      <c r="G232" s="11">
        <v>3500000</v>
      </c>
      <c r="H232" s="11" t="s">
        <v>1002</v>
      </c>
      <c r="I232" s="20" t="s">
        <v>1085</v>
      </c>
      <c r="J232" s="21" t="s">
        <v>1086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47</v>
      </c>
      <c r="C233" s="317"/>
      <c r="D233" s="11">
        <v>8000000</v>
      </c>
      <c r="E233" s="17">
        <v>0.04</v>
      </c>
      <c r="F233" s="11">
        <f t="shared" si="13"/>
        <v>320000</v>
      </c>
      <c r="G233" s="11">
        <v>320000</v>
      </c>
      <c r="H233" s="11" t="s">
        <v>813</v>
      </c>
      <c r="I233" s="20" t="s">
        <v>835</v>
      </c>
      <c r="J233" s="21" t="s">
        <v>836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48</v>
      </c>
      <c r="C234" s="317"/>
      <c r="D234" s="11">
        <v>200000000</v>
      </c>
      <c r="E234" s="17">
        <v>0.05</v>
      </c>
      <c r="F234" s="11">
        <f t="shared" si="13"/>
        <v>10000000</v>
      </c>
      <c r="G234" s="11">
        <v>10000000</v>
      </c>
      <c r="H234" s="11" t="s">
        <v>1167</v>
      </c>
      <c r="I234" s="20" t="s">
        <v>1168</v>
      </c>
      <c r="J234" s="21" t="s">
        <v>1169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49</v>
      </c>
      <c r="C235" s="317"/>
      <c r="D235" s="11">
        <v>200000000</v>
      </c>
      <c r="E235" s="17">
        <v>0.05</v>
      </c>
      <c r="F235" s="11">
        <f t="shared" si="13"/>
        <v>10000000</v>
      </c>
      <c r="G235" s="11">
        <v>10000000</v>
      </c>
      <c r="H235" s="11" t="s">
        <v>904</v>
      </c>
      <c r="I235" s="20" t="s">
        <v>905</v>
      </c>
      <c r="J235" s="21" t="s">
        <v>906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50</v>
      </c>
      <c r="C236" s="317" t="s">
        <v>681</v>
      </c>
      <c r="D236" s="11">
        <v>15000000</v>
      </c>
      <c r="E236" s="17">
        <v>0.05</v>
      </c>
      <c r="F236" s="11">
        <f t="shared" si="13"/>
        <v>750000</v>
      </c>
      <c r="G236" s="11">
        <v>750000</v>
      </c>
      <c r="H236" s="11" t="s">
        <v>813</v>
      </c>
      <c r="I236" s="20" t="s">
        <v>833</v>
      </c>
      <c r="J236" s="21" t="s">
        <v>834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4459">
        <v>188</v>
      </c>
      <c r="B237" s="4474" t="s">
        <v>51</v>
      </c>
      <c r="C237" s="317" t="s">
        <v>1100</v>
      </c>
      <c r="D237" s="253">
        <v>80000000</v>
      </c>
      <c r="E237" s="17">
        <v>0.05</v>
      </c>
      <c r="F237" s="253">
        <f t="shared" si="13"/>
        <v>4000000</v>
      </c>
      <c r="G237" s="11">
        <v>4000000</v>
      </c>
      <c r="H237" s="11" t="s">
        <v>1101</v>
      </c>
      <c r="I237" s="20" t="s">
        <v>1132</v>
      </c>
      <c r="J237" s="21" t="s">
        <v>1133</v>
      </c>
      <c r="K237" s="11">
        <f t="shared" si="14"/>
        <v>4000000</v>
      </c>
      <c r="L237" s="253">
        <f t="shared" si="15"/>
        <v>0</v>
      </c>
      <c r="M237" s="3"/>
    </row>
    <row r="238" spans="1:13" ht="30" customHeight="1" x14ac:dyDescent="0.2">
      <c r="A238" s="4460"/>
      <c r="B238" s="4475"/>
      <c r="C238" s="317" t="s">
        <v>1100</v>
      </c>
      <c r="D238" s="253">
        <v>200000000</v>
      </c>
      <c r="E238" s="17">
        <v>0.05</v>
      </c>
      <c r="F238" s="253">
        <f t="shared" si="13"/>
        <v>10000000</v>
      </c>
      <c r="G238" s="253">
        <v>10000000</v>
      </c>
      <c r="H238" s="253" t="s">
        <v>1167</v>
      </c>
      <c r="I238" s="256" t="s">
        <v>1204</v>
      </c>
      <c r="J238" s="21" t="s">
        <v>1133</v>
      </c>
      <c r="K238" s="253">
        <f t="shared" si="14"/>
        <v>10000000</v>
      </c>
      <c r="L238" s="253">
        <f t="shared" si="15"/>
        <v>0</v>
      </c>
      <c r="M238" s="3"/>
    </row>
    <row r="239" spans="1:13" ht="30" customHeight="1" x14ac:dyDescent="0.2">
      <c r="A239" s="4459">
        <v>189</v>
      </c>
      <c r="B239" s="4461" t="s">
        <v>52</v>
      </c>
      <c r="C239" s="317" t="s">
        <v>990</v>
      </c>
      <c r="D239" s="303">
        <v>100000000</v>
      </c>
      <c r="E239" s="17">
        <v>0.06</v>
      </c>
      <c r="F239" s="303">
        <f t="shared" si="13"/>
        <v>6000000</v>
      </c>
      <c r="G239" s="11">
        <v>6000000</v>
      </c>
      <c r="H239" s="11" t="s">
        <v>1139</v>
      </c>
      <c r="I239" s="32" t="s">
        <v>1149</v>
      </c>
      <c r="J239" s="21" t="s">
        <v>688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4460"/>
      <c r="B240" s="4463"/>
      <c r="C240" s="317" t="s">
        <v>372</v>
      </c>
      <c r="D240" s="303">
        <v>300000000</v>
      </c>
      <c r="E240" s="17">
        <v>0.04</v>
      </c>
      <c r="F240" s="303">
        <f>D240*E240</f>
        <v>12000000</v>
      </c>
      <c r="G240" s="236"/>
      <c r="H240" s="236"/>
      <c r="I240" s="32"/>
      <c r="J240" s="21"/>
      <c r="K240" s="236"/>
      <c r="L240" s="30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53</v>
      </c>
      <c r="C241" s="317"/>
      <c r="D241" s="130"/>
      <c r="E241" s="40"/>
      <c r="F241" s="130">
        <f t="shared" si="13"/>
        <v>0</v>
      </c>
      <c r="G241" s="11">
        <v>36600000</v>
      </c>
      <c r="H241" s="11" t="s">
        <v>813</v>
      </c>
      <c r="I241" s="20" t="s">
        <v>860</v>
      </c>
      <c r="J241" s="21" t="s">
        <v>861</v>
      </c>
      <c r="K241" s="11">
        <f t="shared" si="14"/>
        <v>36600000</v>
      </c>
      <c r="L241" s="130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54</v>
      </c>
      <c r="C242" s="317"/>
      <c r="D242" s="11">
        <v>45000000</v>
      </c>
      <c r="E242" s="17">
        <v>0.04</v>
      </c>
      <c r="F242" s="11">
        <f t="shared" si="13"/>
        <v>1800000</v>
      </c>
      <c r="G242" s="11">
        <v>1800000</v>
      </c>
      <c r="H242" s="11" t="s">
        <v>984</v>
      </c>
      <c r="I242" s="20" t="s">
        <v>996</v>
      </c>
      <c r="J242" s="6" t="s">
        <v>997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4459">
        <v>192</v>
      </c>
      <c r="B243" s="4474" t="s">
        <v>55</v>
      </c>
      <c r="C243" s="4537"/>
      <c r="D243" s="4506"/>
      <c r="E243" s="4576"/>
      <c r="F243" s="4506">
        <f t="shared" si="13"/>
        <v>0</v>
      </c>
      <c r="G243" s="11">
        <v>6000000</v>
      </c>
      <c r="H243" s="11" t="s">
        <v>1101</v>
      </c>
      <c r="I243" s="20" t="s">
        <v>1124</v>
      </c>
      <c r="J243" s="21" t="s">
        <v>1125</v>
      </c>
      <c r="K243" s="4413">
        <f>G243+G244</f>
        <v>6500000</v>
      </c>
      <c r="L243" s="4506">
        <f t="shared" si="15"/>
        <v>-6500000</v>
      </c>
      <c r="M243" s="3"/>
    </row>
    <row r="244" spans="1:13" ht="30" customHeight="1" x14ac:dyDescent="0.2">
      <c r="A244" s="4460"/>
      <c r="B244" s="4475"/>
      <c r="C244" s="4538"/>
      <c r="D244" s="4508"/>
      <c r="E244" s="4577"/>
      <c r="F244" s="4508"/>
      <c r="G244" s="219">
        <v>500000</v>
      </c>
      <c r="H244" s="219" t="s">
        <v>1101</v>
      </c>
      <c r="I244" s="222" t="s">
        <v>1128</v>
      </c>
      <c r="J244" s="6" t="s">
        <v>1129</v>
      </c>
      <c r="K244" s="4415"/>
      <c r="L244" s="4508"/>
      <c r="M244" s="3"/>
    </row>
    <row r="245" spans="1:13" ht="30" customHeight="1" x14ac:dyDescent="0.2">
      <c r="A245" s="4">
        <v>193</v>
      </c>
      <c r="B245" s="3" t="s">
        <v>56</v>
      </c>
      <c r="C245" s="317" t="s">
        <v>990</v>
      </c>
      <c r="D245" s="11">
        <v>10000000</v>
      </c>
      <c r="E245" s="17">
        <v>0.05</v>
      </c>
      <c r="F245" s="11">
        <f t="shared" si="13"/>
        <v>500000</v>
      </c>
      <c r="G245" s="11">
        <v>500000</v>
      </c>
      <c r="H245" s="11" t="s">
        <v>1101</v>
      </c>
      <c r="I245" s="20" t="s">
        <v>1120</v>
      </c>
      <c r="J245" s="21" t="s">
        <v>1121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57</v>
      </c>
      <c r="C246" s="317" t="s">
        <v>1107</v>
      </c>
      <c r="D246" s="11">
        <v>20000000</v>
      </c>
      <c r="E246" s="17">
        <v>0.04</v>
      </c>
      <c r="F246" s="11">
        <f t="shared" si="13"/>
        <v>800000</v>
      </c>
      <c r="G246" s="11">
        <v>800000</v>
      </c>
      <c r="H246" s="11" t="s">
        <v>1101</v>
      </c>
      <c r="I246" s="20" t="s">
        <v>1105</v>
      </c>
      <c r="J246" s="21" t="s">
        <v>1106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58</v>
      </c>
      <c r="C247" s="317"/>
      <c r="D247" s="11">
        <v>150000000</v>
      </c>
      <c r="E247" s="17">
        <v>0.04</v>
      </c>
      <c r="F247" s="11">
        <f t="shared" si="13"/>
        <v>6000000</v>
      </c>
      <c r="G247" s="11">
        <v>6000000</v>
      </c>
      <c r="H247" s="11" t="s">
        <v>1101</v>
      </c>
      <c r="I247" s="20" t="s">
        <v>1113</v>
      </c>
      <c r="J247" s="6" t="s">
        <v>1114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59</v>
      </c>
      <c r="C248" s="317"/>
      <c r="D248" s="11">
        <v>30000000</v>
      </c>
      <c r="E248" s="17">
        <v>8.5000000000000006E-2</v>
      </c>
      <c r="F248" s="243">
        <v>2500000</v>
      </c>
      <c r="G248" s="11">
        <v>2500000</v>
      </c>
      <c r="H248" s="11" t="s">
        <v>1139</v>
      </c>
      <c r="I248" s="20" t="s">
        <v>1163</v>
      </c>
      <c r="J248" s="6" t="s">
        <v>1164</v>
      </c>
      <c r="K248" s="11">
        <f t="shared" si="14"/>
        <v>2500000</v>
      </c>
      <c r="L248" s="238">
        <f t="shared" si="15"/>
        <v>0</v>
      </c>
      <c r="M248" s="3"/>
    </row>
    <row r="249" spans="1:13" ht="30" customHeight="1" x14ac:dyDescent="0.2">
      <c r="A249" s="4">
        <v>197</v>
      </c>
      <c r="B249" s="3" t="s">
        <v>60</v>
      </c>
      <c r="C249" s="317" t="s">
        <v>1100</v>
      </c>
      <c r="D249" s="11">
        <v>50000000</v>
      </c>
      <c r="E249" s="17">
        <v>0.05</v>
      </c>
      <c r="F249" s="11">
        <f t="shared" si="13"/>
        <v>2500000</v>
      </c>
      <c r="G249" s="11">
        <v>2500000</v>
      </c>
      <c r="H249" s="11" t="s">
        <v>1101</v>
      </c>
      <c r="I249" s="20" t="s">
        <v>1136</v>
      </c>
      <c r="J249" s="6" t="s">
        <v>1137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61</v>
      </c>
      <c r="C250" s="317"/>
      <c r="D250" s="11">
        <v>350000000</v>
      </c>
      <c r="E250" s="17">
        <v>7.0000000000000007E-2</v>
      </c>
      <c r="F250" s="11">
        <f t="shared" si="13"/>
        <v>24500000.000000004</v>
      </c>
      <c r="G250" s="11">
        <v>24500000</v>
      </c>
      <c r="H250" s="11" t="s">
        <v>1167</v>
      </c>
      <c r="I250" s="260" t="s">
        <v>1206</v>
      </c>
      <c r="J250" s="21" t="s">
        <v>1207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62</v>
      </c>
      <c r="C251" s="317"/>
      <c r="D251" s="255"/>
      <c r="E251" s="40"/>
      <c r="F251" s="255">
        <f t="shared" si="13"/>
        <v>0</v>
      </c>
      <c r="G251" s="11">
        <v>4000000</v>
      </c>
      <c r="H251" s="11" t="s">
        <v>1167</v>
      </c>
      <c r="I251" s="20" t="s">
        <v>1210</v>
      </c>
      <c r="J251" s="257" t="s">
        <v>1211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63</v>
      </c>
      <c r="C252" s="317"/>
      <c r="D252" s="11">
        <v>100000000</v>
      </c>
      <c r="E252" s="17">
        <v>4.4999999999999998E-2</v>
      </c>
      <c r="F252" s="11">
        <f t="shared" si="13"/>
        <v>4500000</v>
      </c>
      <c r="G252" s="11">
        <v>4500000</v>
      </c>
      <c r="H252" s="11" t="s">
        <v>1249</v>
      </c>
      <c r="I252" s="20" t="s">
        <v>1260</v>
      </c>
      <c r="J252" s="21" t="s">
        <v>1261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1244</v>
      </c>
      <c r="C253" s="317" t="s">
        <v>1081</v>
      </c>
      <c r="D253" s="11">
        <v>60000000</v>
      </c>
      <c r="E253" s="17">
        <v>0.05</v>
      </c>
      <c r="F253" s="11">
        <f t="shared" si="13"/>
        <v>3000000</v>
      </c>
      <c r="G253" s="11">
        <v>3000000</v>
      </c>
      <c r="H253" s="11" t="s">
        <v>1139</v>
      </c>
      <c r="I253" s="20" t="s">
        <v>1153</v>
      </c>
      <c r="J253" s="21" t="s">
        <v>1154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64</v>
      </c>
      <c r="C254" s="317"/>
      <c r="D254" s="11">
        <v>30000000</v>
      </c>
      <c r="E254" s="17">
        <v>4.4999999999999998E-2</v>
      </c>
      <c r="F254" s="11">
        <f t="shared" si="13"/>
        <v>1350000</v>
      </c>
      <c r="G254" s="11">
        <v>1350000</v>
      </c>
      <c r="H254" s="11" t="s">
        <v>1216</v>
      </c>
      <c r="I254" s="20" t="s">
        <v>1224</v>
      </c>
      <c r="J254" s="21" t="s">
        <v>1225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65</v>
      </c>
      <c r="C255" s="317"/>
      <c r="D255" s="221"/>
      <c r="E255" s="40"/>
      <c r="F255" s="221">
        <f t="shared" si="13"/>
        <v>0</v>
      </c>
      <c r="G255" s="11">
        <v>1000000</v>
      </c>
      <c r="H255" s="11" t="s">
        <v>1101</v>
      </c>
      <c r="I255" s="20" t="s">
        <v>1103</v>
      </c>
      <c r="J255" s="21" t="s">
        <v>1104</v>
      </c>
      <c r="K255" s="11">
        <f t="shared" si="14"/>
        <v>1000000</v>
      </c>
      <c r="L255" s="221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66</v>
      </c>
      <c r="C256" s="317" t="s">
        <v>990</v>
      </c>
      <c r="D256" s="11">
        <v>150000000</v>
      </c>
      <c r="E256" s="17">
        <v>0.04</v>
      </c>
      <c r="F256" s="11">
        <f t="shared" si="13"/>
        <v>6000000</v>
      </c>
      <c r="G256" s="11">
        <v>6000000</v>
      </c>
      <c r="H256" s="11" t="s">
        <v>984</v>
      </c>
      <c r="I256" s="20" t="s">
        <v>985</v>
      </c>
      <c r="J256" s="21" t="s">
        <v>986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4459">
        <v>205</v>
      </c>
      <c r="B257" s="4474" t="s">
        <v>68</v>
      </c>
      <c r="C257" s="4537" t="s">
        <v>681</v>
      </c>
      <c r="D257" s="11">
        <v>45000000</v>
      </c>
      <c r="E257" s="17">
        <v>0.04</v>
      </c>
      <c r="F257" s="11">
        <f t="shared" si="13"/>
        <v>1800000</v>
      </c>
      <c r="G257" s="11">
        <v>1800000</v>
      </c>
      <c r="H257" s="11" t="s">
        <v>1101</v>
      </c>
      <c r="I257" s="20" t="s">
        <v>1118</v>
      </c>
      <c r="J257" s="4478" t="s">
        <v>1119</v>
      </c>
      <c r="K257" s="4413">
        <f>G257+G258</f>
        <v>3800000</v>
      </c>
      <c r="L257" s="4413">
        <f>(F257+F258)-K257</f>
        <v>0</v>
      </c>
      <c r="M257" s="4459"/>
    </row>
    <row r="258" spans="1:13" ht="30" customHeight="1" x14ac:dyDescent="0.2">
      <c r="A258" s="4460"/>
      <c r="B258" s="4475"/>
      <c r="C258" s="4538"/>
      <c r="D258" s="236">
        <v>50000000</v>
      </c>
      <c r="E258" s="17">
        <v>0.04</v>
      </c>
      <c r="F258" s="236">
        <f t="shared" si="13"/>
        <v>2000000</v>
      </c>
      <c r="G258" s="236">
        <v>2000000</v>
      </c>
      <c r="H258" s="236" t="s">
        <v>1139</v>
      </c>
      <c r="I258" s="240" t="s">
        <v>1162</v>
      </c>
      <c r="J258" s="4479"/>
      <c r="K258" s="4415"/>
      <c r="L258" s="4415"/>
      <c r="M258" s="4460"/>
    </row>
    <row r="259" spans="1:13" ht="30" customHeight="1" x14ac:dyDescent="0.2">
      <c r="A259" s="4">
        <v>206</v>
      </c>
      <c r="B259" s="3" t="s">
        <v>69</v>
      </c>
      <c r="C259" s="317" t="s">
        <v>1100</v>
      </c>
      <c r="D259" s="11">
        <v>15000000</v>
      </c>
      <c r="E259" s="17">
        <v>0.04</v>
      </c>
      <c r="F259" s="11">
        <f t="shared" ref="F259:F306" si="16">D259*E259</f>
        <v>600000</v>
      </c>
      <c r="G259" s="11">
        <v>600000</v>
      </c>
      <c r="H259" s="11" t="s">
        <v>1002</v>
      </c>
      <c r="I259" s="20" t="s">
        <v>1098</v>
      </c>
      <c r="J259" s="21" t="s">
        <v>1099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70</v>
      </c>
      <c r="C260" s="317"/>
      <c r="D260" s="11">
        <v>10000000</v>
      </c>
      <c r="E260" s="17">
        <v>0.05</v>
      </c>
      <c r="F260" s="11">
        <f t="shared" si="16"/>
        <v>500000</v>
      </c>
      <c r="G260" s="11">
        <v>500000</v>
      </c>
      <c r="H260" s="11" t="s">
        <v>1216</v>
      </c>
      <c r="I260" s="20" t="s">
        <v>1228</v>
      </c>
      <c r="J260" s="83" t="s">
        <v>1229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72</v>
      </c>
      <c r="C261" s="317"/>
      <c r="D261" s="102"/>
      <c r="E261" s="40"/>
      <c r="F261" s="102">
        <f t="shared" si="16"/>
        <v>0</v>
      </c>
      <c r="G261" s="11">
        <v>4000000</v>
      </c>
      <c r="H261" s="11" t="s">
        <v>660</v>
      </c>
      <c r="I261" s="20" t="s">
        <v>700</v>
      </c>
      <c r="J261" s="21" t="s">
        <v>701</v>
      </c>
      <c r="K261" s="11">
        <f t="shared" si="17"/>
        <v>4000000</v>
      </c>
      <c r="L261" s="102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73</v>
      </c>
      <c r="C262" s="317"/>
      <c r="D262" s="11">
        <v>100000000</v>
      </c>
      <c r="E262" s="17">
        <v>0.05</v>
      </c>
      <c r="F262" s="11">
        <f t="shared" si="16"/>
        <v>5000000</v>
      </c>
      <c r="G262" s="11">
        <v>5000000</v>
      </c>
      <c r="H262" s="11" t="s">
        <v>423</v>
      </c>
      <c r="I262" s="20" t="s">
        <v>426</v>
      </c>
      <c r="J262" s="21" t="s">
        <v>427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74</v>
      </c>
      <c r="C263" s="317"/>
      <c r="D263" s="11">
        <v>30000000</v>
      </c>
      <c r="E263" s="17">
        <v>0.05</v>
      </c>
      <c r="F263" s="11">
        <f t="shared" si="16"/>
        <v>1500000</v>
      </c>
      <c r="G263" s="11">
        <v>1500000</v>
      </c>
      <c r="H263" s="11" t="s">
        <v>1273</v>
      </c>
      <c r="I263" s="20" t="s">
        <v>1274</v>
      </c>
      <c r="J263" s="21" t="s">
        <v>1275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75</v>
      </c>
      <c r="C264" s="317"/>
      <c r="D264" s="11">
        <v>15000000</v>
      </c>
      <c r="E264" s="17">
        <v>4.7E-2</v>
      </c>
      <c r="F264" s="11">
        <v>700000</v>
      </c>
      <c r="G264" s="11">
        <v>700000</v>
      </c>
      <c r="H264" s="11" t="s">
        <v>323</v>
      </c>
      <c r="I264" s="20" t="s">
        <v>324</v>
      </c>
      <c r="J264" s="21" t="s">
        <v>325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937</v>
      </c>
      <c r="C265" s="317"/>
      <c r="D265" s="11">
        <v>200000000</v>
      </c>
      <c r="E265" s="17">
        <v>5.5E-2</v>
      </c>
      <c r="F265" s="11">
        <f t="shared" si="16"/>
        <v>11000000</v>
      </c>
      <c r="G265" s="11">
        <v>11000000</v>
      </c>
      <c r="H265" s="11" t="s">
        <v>683</v>
      </c>
      <c r="I265" s="145" t="s">
        <v>917</v>
      </c>
      <c r="J265" s="21" t="s">
        <v>918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76</v>
      </c>
      <c r="C266" s="317"/>
      <c r="D266" s="11">
        <v>70000000</v>
      </c>
      <c r="E266" s="17">
        <v>0.05</v>
      </c>
      <c r="F266" s="11">
        <f t="shared" si="16"/>
        <v>3500000</v>
      </c>
      <c r="G266" s="11">
        <v>3500000</v>
      </c>
      <c r="H266" s="11" t="s">
        <v>423</v>
      </c>
      <c r="I266" s="20" t="s">
        <v>424</v>
      </c>
      <c r="J266" s="21" t="s">
        <v>425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77</v>
      </c>
      <c r="C267" s="317"/>
      <c r="D267" s="79"/>
      <c r="E267" s="40"/>
      <c r="F267" s="79">
        <f t="shared" si="16"/>
        <v>0</v>
      </c>
      <c r="G267" s="11">
        <v>11250000</v>
      </c>
      <c r="H267" s="11" t="s">
        <v>573</v>
      </c>
      <c r="I267" s="20" t="s">
        <v>593</v>
      </c>
      <c r="J267" s="18" t="s">
        <v>594</v>
      </c>
      <c r="K267" s="11">
        <f t="shared" si="17"/>
        <v>11250000</v>
      </c>
      <c r="L267" s="79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79</v>
      </c>
      <c r="C268" s="317"/>
      <c r="D268" s="205">
        <v>160000000</v>
      </c>
      <c r="E268" s="17">
        <v>0.05</v>
      </c>
      <c r="F268" s="205">
        <f t="shared" si="16"/>
        <v>8000000</v>
      </c>
      <c r="G268" s="11">
        <v>8000000</v>
      </c>
      <c r="H268" s="11" t="s">
        <v>684</v>
      </c>
      <c r="I268" s="20" t="s">
        <v>1045</v>
      </c>
      <c r="J268" s="83" t="s">
        <v>1046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80</v>
      </c>
      <c r="C269" s="317"/>
      <c r="D269" s="11">
        <v>45000000</v>
      </c>
      <c r="E269" s="17">
        <v>0.04</v>
      </c>
      <c r="F269" s="11">
        <f t="shared" si="16"/>
        <v>1800000</v>
      </c>
      <c r="G269" s="11">
        <v>1800000</v>
      </c>
      <c r="H269" s="11" t="s">
        <v>289</v>
      </c>
      <c r="I269" s="20" t="s">
        <v>302</v>
      </c>
      <c r="J269" s="21" t="s">
        <v>303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1789</v>
      </c>
      <c r="C270" s="317"/>
      <c r="D270" s="25"/>
      <c r="E270" s="40"/>
      <c r="F270" s="25">
        <f t="shared" si="16"/>
        <v>0</v>
      </c>
      <c r="G270" s="11">
        <v>100000</v>
      </c>
      <c r="H270" s="11" t="s">
        <v>379</v>
      </c>
      <c r="I270" s="20" t="s">
        <v>397</v>
      </c>
      <c r="J270" s="21" t="s">
        <v>398</v>
      </c>
      <c r="K270" s="11">
        <f t="shared" si="17"/>
        <v>100000</v>
      </c>
      <c r="L270" s="25">
        <f t="shared" si="18"/>
        <v>-100000</v>
      </c>
      <c r="M270" s="3"/>
    </row>
    <row r="271" spans="1:13" ht="30" customHeight="1" x14ac:dyDescent="0.2">
      <c r="A271" s="4459">
        <v>218</v>
      </c>
      <c r="B271" s="4474" t="s">
        <v>81</v>
      </c>
      <c r="C271" s="4537"/>
      <c r="D271" s="4413">
        <v>203000000</v>
      </c>
      <c r="E271" s="4476">
        <v>0.05</v>
      </c>
      <c r="F271" s="4413">
        <f t="shared" si="16"/>
        <v>10150000</v>
      </c>
      <c r="G271" s="11">
        <v>150000</v>
      </c>
      <c r="H271" s="11" t="s">
        <v>289</v>
      </c>
      <c r="I271" s="20" t="s">
        <v>292</v>
      </c>
      <c r="J271" s="21" t="s">
        <v>293</v>
      </c>
      <c r="K271" s="4413">
        <f>G271+G272</f>
        <v>10150000</v>
      </c>
      <c r="L271" s="4413">
        <f t="shared" si="18"/>
        <v>0</v>
      </c>
      <c r="M271" s="3"/>
    </row>
    <row r="272" spans="1:13" ht="30" customHeight="1" x14ac:dyDescent="0.2">
      <c r="A272" s="4460"/>
      <c r="B272" s="4475"/>
      <c r="C272" s="4538"/>
      <c r="D272" s="4415"/>
      <c r="E272" s="4477"/>
      <c r="F272" s="4415"/>
      <c r="G272" s="11">
        <v>10000000</v>
      </c>
      <c r="H272" s="11" t="s">
        <v>289</v>
      </c>
      <c r="I272" s="20" t="s">
        <v>294</v>
      </c>
      <c r="J272" s="21" t="s">
        <v>293</v>
      </c>
      <c r="K272" s="4415"/>
      <c r="L272" s="4415"/>
      <c r="M272" s="3"/>
    </row>
    <row r="273" spans="1:13" ht="30" customHeight="1" x14ac:dyDescent="0.2">
      <c r="A273" s="4459">
        <v>219</v>
      </c>
      <c r="B273" s="4474" t="s">
        <v>326</v>
      </c>
      <c r="C273" s="4537"/>
      <c r="D273" s="4413">
        <v>275000000</v>
      </c>
      <c r="E273" s="4476">
        <v>4.2000000000000003E-2</v>
      </c>
      <c r="F273" s="4413">
        <f>D273*E273</f>
        <v>11550000</v>
      </c>
      <c r="G273" s="16">
        <v>10000000</v>
      </c>
      <c r="H273" s="11" t="s">
        <v>323</v>
      </c>
      <c r="I273" s="20" t="s">
        <v>327</v>
      </c>
      <c r="J273" s="21" t="s">
        <v>329</v>
      </c>
      <c r="K273" s="4413">
        <f>G273+G274</f>
        <v>11550000</v>
      </c>
      <c r="L273" s="4413">
        <f t="shared" si="18"/>
        <v>0</v>
      </c>
      <c r="M273" s="4459"/>
    </row>
    <row r="274" spans="1:13" ht="30" customHeight="1" x14ac:dyDescent="0.2">
      <c r="A274" s="4460"/>
      <c r="B274" s="4475"/>
      <c r="C274" s="4538"/>
      <c r="D274" s="4415"/>
      <c r="E274" s="4477"/>
      <c r="F274" s="4415"/>
      <c r="G274" s="16">
        <v>1550000</v>
      </c>
      <c r="H274" s="16" t="s">
        <v>323</v>
      </c>
      <c r="I274" s="20" t="s">
        <v>328</v>
      </c>
      <c r="J274" s="21" t="s">
        <v>329</v>
      </c>
      <c r="K274" s="4415"/>
      <c r="L274" s="4415"/>
      <c r="M274" s="4460"/>
    </row>
    <row r="275" spans="1:13" ht="30" customHeight="1" x14ac:dyDescent="0.2">
      <c r="A275" s="4459">
        <v>220</v>
      </c>
      <c r="B275" s="4474" t="s">
        <v>82</v>
      </c>
      <c r="C275" s="4537" t="s">
        <v>1287</v>
      </c>
      <c r="D275" s="4322">
        <v>730000000</v>
      </c>
      <c r="E275" s="4322" t="s">
        <v>1208</v>
      </c>
      <c r="F275" s="4322"/>
      <c r="G275" s="11">
        <v>25000000</v>
      </c>
      <c r="H275" s="11" t="s">
        <v>379</v>
      </c>
      <c r="I275" s="32" t="s">
        <v>415</v>
      </c>
      <c r="J275" s="21" t="s">
        <v>1345</v>
      </c>
      <c r="K275" s="4413">
        <f>G275+G276</f>
        <v>30000000</v>
      </c>
      <c r="L275" s="4413"/>
      <c r="M275" s="4459"/>
    </row>
    <row r="276" spans="1:13" ht="30" customHeight="1" x14ac:dyDescent="0.2">
      <c r="A276" s="4464"/>
      <c r="B276" s="4487"/>
      <c r="C276" s="4540"/>
      <c r="D276" s="4322"/>
      <c r="E276" s="4322"/>
      <c r="F276" s="4322"/>
      <c r="G276" s="70">
        <v>5000000</v>
      </c>
      <c r="H276" s="70" t="s">
        <v>544</v>
      </c>
      <c r="I276" s="32" t="s">
        <v>565</v>
      </c>
      <c r="J276" s="21" t="s">
        <v>1345</v>
      </c>
      <c r="K276" s="4415"/>
      <c r="L276" s="4415"/>
      <c r="M276" s="4460"/>
    </row>
    <row r="277" spans="1:13" ht="30" customHeight="1" x14ac:dyDescent="0.2">
      <c r="A277" s="4464"/>
      <c r="B277" s="4487"/>
      <c r="C277" s="4540"/>
      <c r="D277" s="4413">
        <v>700000000</v>
      </c>
      <c r="E277" s="4476">
        <v>5.5E-2</v>
      </c>
      <c r="F277" s="4413">
        <f>D277*E277</f>
        <v>38500000</v>
      </c>
      <c r="G277" s="332">
        <v>20000000</v>
      </c>
      <c r="H277" s="332" t="s">
        <v>1167</v>
      </c>
      <c r="I277" s="32"/>
      <c r="J277" s="21"/>
      <c r="K277" s="4413">
        <f>G277+G278</f>
        <v>35000000</v>
      </c>
      <c r="L277" s="4413">
        <f>F277-K277</f>
        <v>3500000</v>
      </c>
      <c r="M277" s="4535" t="s">
        <v>1347</v>
      </c>
    </row>
    <row r="278" spans="1:13" ht="30" customHeight="1" x14ac:dyDescent="0.2">
      <c r="A278" s="4460"/>
      <c r="B278" s="4475"/>
      <c r="C278" s="4538"/>
      <c r="D278" s="4415"/>
      <c r="E278" s="4477"/>
      <c r="F278" s="4415"/>
      <c r="G278" s="253">
        <v>15000000</v>
      </c>
      <c r="H278" s="253" t="s">
        <v>1249</v>
      </c>
      <c r="I278" s="32" t="s">
        <v>1257</v>
      </c>
      <c r="J278" s="21" t="s">
        <v>1345</v>
      </c>
      <c r="K278" s="4415"/>
      <c r="L278" s="4415"/>
      <c r="M278" s="4536"/>
    </row>
    <row r="279" spans="1:13" ht="30" customHeight="1" x14ac:dyDescent="0.2">
      <c r="A279" s="4">
        <v>221</v>
      </c>
      <c r="B279" s="3" t="s">
        <v>83</v>
      </c>
      <c r="C279" s="317" t="s">
        <v>1652</v>
      </c>
      <c r="D279" s="465">
        <v>100000000</v>
      </c>
      <c r="E279" s="474">
        <v>0.05</v>
      </c>
      <c r="F279" s="465">
        <f t="shared" si="16"/>
        <v>5000000</v>
      </c>
      <c r="G279" s="11">
        <v>10000000</v>
      </c>
      <c r="H279" s="11" t="s">
        <v>323</v>
      </c>
      <c r="I279" s="20" t="s">
        <v>362</v>
      </c>
      <c r="J279" s="21" t="s">
        <v>363</v>
      </c>
      <c r="K279" s="11">
        <f t="shared" si="17"/>
        <v>10000000</v>
      </c>
      <c r="L279" s="465">
        <f t="shared" si="18"/>
        <v>-5000000</v>
      </c>
      <c r="M279" s="77" t="s">
        <v>1651</v>
      </c>
    </row>
    <row r="280" spans="1:13" ht="30" customHeight="1" x14ac:dyDescent="0.2">
      <c r="A280" s="4">
        <v>222</v>
      </c>
      <c r="B280" s="3" t="s">
        <v>84</v>
      </c>
      <c r="C280" s="317"/>
      <c r="D280" s="11">
        <v>10000000</v>
      </c>
      <c r="E280" s="17">
        <v>0.05</v>
      </c>
      <c r="F280" s="11">
        <f t="shared" si="16"/>
        <v>500000</v>
      </c>
      <c r="G280" s="11">
        <v>500000</v>
      </c>
      <c r="H280" s="11" t="s">
        <v>323</v>
      </c>
      <c r="I280" s="20" t="s">
        <v>354</v>
      </c>
      <c r="J280" s="21" t="s">
        <v>355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85</v>
      </c>
      <c r="C281" s="317"/>
      <c r="D281" s="102"/>
      <c r="E281" s="40"/>
      <c r="F281" s="102">
        <f t="shared" si="16"/>
        <v>0</v>
      </c>
      <c r="G281" s="11">
        <v>1000000</v>
      </c>
      <c r="H281" s="11" t="s">
        <v>708</v>
      </c>
      <c r="I281" s="20" t="s">
        <v>712</v>
      </c>
      <c r="J281" s="18" t="s">
        <v>711</v>
      </c>
      <c r="K281" s="11">
        <f t="shared" si="17"/>
        <v>1000000</v>
      </c>
      <c r="L281" s="102">
        <f t="shared" si="18"/>
        <v>-1000000</v>
      </c>
      <c r="M281" s="77" t="s">
        <v>713</v>
      </c>
    </row>
    <row r="282" spans="1:13" ht="30" customHeight="1" x14ac:dyDescent="0.2">
      <c r="A282" s="4459">
        <v>224</v>
      </c>
      <c r="B282" s="4474" t="s">
        <v>86</v>
      </c>
      <c r="C282" s="4537"/>
      <c r="D282" s="165"/>
      <c r="E282" s="4541" t="s">
        <v>1236</v>
      </c>
      <c r="F282" s="4542"/>
      <c r="G282" s="11">
        <v>40000000</v>
      </c>
      <c r="H282" s="11" t="s">
        <v>323</v>
      </c>
      <c r="I282" s="20" t="s">
        <v>644</v>
      </c>
      <c r="J282" s="21" t="s">
        <v>645</v>
      </c>
      <c r="K282" s="11">
        <f t="shared" si="17"/>
        <v>40000000</v>
      </c>
      <c r="L282" s="91">
        <f t="shared" si="18"/>
        <v>-40000000</v>
      </c>
      <c r="M282" s="3"/>
    </row>
    <row r="283" spans="1:13" ht="30" customHeight="1" x14ac:dyDescent="0.2">
      <c r="A283" s="4460"/>
      <c r="B283" s="4475"/>
      <c r="C283" s="4538"/>
      <c r="D283" s="264">
        <v>500000000</v>
      </c>
      <c r="E283" s="17">
        <v>0.06</v>
      </c>
      <c r="F283" s="17">
        <f>D283*E283</f>
        <v>30000000</v>
      </c>
      <c r="G283" s="4303" t="s">
        <v>1237</v>
      </c>
      <c r="H283" s="4324"/>
      <c r="I283" s="4324"/>
      <c r="J283" s="4324"/>
      <c r="K283" s="4355"/>
      <c r="L283" s="262"/>
      <c r="M283" s="3"/>
    </row>
    <row r="284" spans="1:13" ht="30" customHeight="1" x14ac:dyDescent="0.2">
      <c r="A284" s="4">
        <v>225</v>
      </c>
      <c r="B284" s="3" t="s">
        <v>87</v>
      </c>
      <c r="C284" s="317"/>
      <c r="D284" s="11">
        <v>20000000</v>
      </c>
      <c r="E284" s="17">
        <v>0.05</v>
      </c>
      <c r="F284" s="11">
        <f>D284*E284</f>
        <v>1000000</v>
      </c>
      <c r="G284" s="11">
        <v>1000000</v>
      </c>
      <c r="H284" s="11" t="s">
        <v>323</v>
      </c>
      <c r="I284" s="20" t="s">
        <v>360</v>
      </c>
      <c r="J284" s="18" t="s">
        <v>361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88</v>
      </c>
      <c r="C285" s="317"/>
      <c r="D285" s="49"/>
      <c r="E285" s="40"/>
      <c r="F285" s="49">
        <f t="shared" si="16"/>
        <v>0</v>
      </c>
      <c r="G285" s="11">
        <v>800000</v>
      </c>
      <c r="H285" s="11" t="s">
        <v>379</v>
      </c>
      <c r="I285" s="20" t="s">
        <v>416</v>
      </c>
      <c r="J285" s="26" t="s">
        <v>417</v>
      </c>
      <c r="K285" s="11">
        <f t="shared" si="17"/>
        <v>800000</v>
      </c>
      <c r="L285" s="49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89</v>
      </c>
      <c r="C286" s="317"/>
      <c r="D286" s="25"/>
      <c r="E286" s="40"/>
      <c r="F286" s="25">
        <f t="shared" si="16"/>
        <v>0</v>
      </c>
      <c r="G286" s="11">
        <v>2600000</v>
      </c>
      <c r="H286" s="11" t="s">
        <v>379</v>
      </c>
      <c r="I286" s="20" t="s">
        <v>380</v>
      </c>
      <c r="J286" s="21" t="s">
        <v>381</v>
      </c>
      <c r="K286" s="11">
        <f t="shared" si="17"/>
        <v>2600000</v>
      </c>
      <c r="L286" s="25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90</v>
      </c>
      <c r="C287" s="317"/>
      <c r="D287" s="11">
        <v>20000000</v>
      </c>
      <c r="E287" s="17">
        <v>0.05</v>
      </c>
      <c r="F287" s="11">
        <f t="shared" si="16"/>
        <v>1000000</v>
      </c>
      <c r="G287" s="11">
        <v>1000000</v>
      </c>
      <c r="H287" s="11" t="s">
        <v>443</v>
      </c>
      <c r="I287" s="20" t="s">
        <v>448</v>
      </c>
      <c r="J287" s="21" t="s">
        <v>449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91</v>
      </c>
      <c r="C288" s="317"/>
      <c r="D288" s="11">
        <v>30000000</v>
      </c>
      <c r="E288" s="17">
        <v>4.4999999999999998E-2</v>
      </c>
      <c r="F288" s="11">
        <f t="shared" si="16"/>
        <v>1350000</v>
      </c>
      <c r="G288" s="11">
        <v>1350000</v>
      </c>
      <c r="H288" s="11" t="s">
        <v>289</v>
      </c>
      <c r="I288" s="20" t="s">
        <v>297</v>
      </c>
      <c r="J288" s="26" t="s">
        <v>298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92</v>
      </c>
      <c r="C289" s="317"/>
      <c r="D289" s="11">
        <v>55000000</v>
      </c>
      <c r="E289" s="17">
        <v>0.04</v>
      </c>
      <c r="F289" s="11">
        <f t="shared" si="16"/>
        <v>2200000</v>
      </c>
      <c r="G289" s="11">
        <v>2200000</v>
      </c>
      <c r="H289" s="11" t="s">
        <v>323</v>
      </c>
      <c r="I289" s="20" t="s">
        <v>373</v>
      </c>
      <c r="J289" s="21" t="s">
        <v>374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275</v>
      </c>
      <c r="C290" s="317"/>
      <c r="D290" s="11">
        <v>50000000</v>
      </c>
      <c r="E290" s="17">
        <v>0.05</v>
      </c>
      <c r="F290" s="11">
        <f t="shared" si="16"/>
        <v>2500000</v>
      </c>
      <c r="G290" s="11">
        <v>2500000</v>
      </c>
      <c r="H290" s="11" t="s">
        <v>265</v>
      </c>
      <c r="I290" s="20">
        <v>875357457</v>
      </c>
      <c r="J290" s="21" t="s">
        <v>273</v>
      </c>
      <c r="K290" s="11">
        <f t="shared" si="17"/>
        <v>2500000</v>
      </c>
      <c r="L290" s="11">
        <f t="shared" si="18"/>
        <v>0</v>
      </c>
      <c r="M290" s="15" t="s">
        <v>274</v>
      </c>
    </row>
    <row r="291" spans="1:13" ht="30" customHeight="1" x14ac:dyDescent="0.2">
      <c r="A291" s="4459">
        <v>232</v>
      </c>
      <c r="B291" s="4474" t="s">
        <v>93</v>
      </c>
      <c r="C291" s="4537"/>
      <c r="D291" s="4506"/>
      <c r="E291" s="4512"/>
      <c r="F291" s="4413">
        <v>21000000</v>
      </c>
      <c r="G291" s="11">
        <v>15000000</v>
      </c>
      <c r="H291" s="11" t="s">
        <v>490</v>
      </c>
      <c r="I291" s="32" t="s">
        <v>505</v>
      </c>
      <c r="J291" s="21" t="s">
        <v>506</v>
      </c>
      <c r="K291" s="4413">
        <f>G291+G292+G293</f>
        <v>42000000</v>
      </c>
      <c r="L291" s="4413">
        <f>(F291+F293)-K291</f>
        <v>0</v>
      </c>
      <c r="M291" s="4550" t="s">
        <v>651</v>
      </c>
    </row>
    <row r="292" spans="1:13" ht="30" customHeight="1" x14ac:dyDescent="0.2">
      <c r="A292" s="4464"/>
      <c r="B292" s="4487"/>
      <c r="C292" s="4540"/>
      <c r="D292" s="4507"/>
      <c r="E292" s="4513"/>
      <c r="F292" s="4415"/>
      <c r="G292" s="67">
        <v>20000000</v>
      </c>
      <c r="H292" s="67" t="s">
        <v>633</v>
      </c>
      <c r="I292" s="32" t="s">
        <v>649</v>
      </c>
      <c r="J292" s="21" t="s">
        <v>650</v>
      </c>
      <c r="K292" s="4414"/>
      <c r="L292" s="4414"/>
      <c r="M292" s="4551"/>
    </row>
    <row r="293" spans="1:13" ht="30" customHeight="1" x14ac:dyDescent="0.2">
      <c r="A293" s="4460"/>
      <c r="B293" s="4475"/>
      <c r="C293" s="4538"/>
      <c r="D293" s="4508"/>
      <c r="E293" s="4514"/>
      <c r="F293" s="92">
        <v>21000000</v>
      </c>
      <c r="G293" s="92">
        <v>7000000</v>
      </c>
      <c r="H293" s="92" t="s">
        <v>813</v>
      </c>
      <c r="I293" s="32" t="s">
        <v>845</v>
      </c>
      <c r="J293" s="21" t="s">
        <v>846</v>
      </c>
      <c r="K293" s="4415"/>
      <c r="L293" s="4415"/>
      <c r="M293" s="4552"/>
    </row>
    <row r="294" spans="1:13" ht="30" customHeight="1" x14ac:dyDescent="0.2">
      <c r="A294" s="4">
        <v>233</v>
      </c>
      <c r="B294" s="3" t="s">
        <v>94</v>
      </c>
      <c r="C294" s="317"/>
      <c r="D294" s="11">
        <v>50000000</v>
      </c>
      <c r="E294" s="17">
        <v>0.04</v>
      </c>
      <c r="F294" s="11">
        <f t="shared" si="16"/>
        <v>2000000</v>
      </c>
      <c r="G294" s="11">
        <v>2000000</v>
      </c>
      <c r="H294" s="11" t="s">
        <v>289</v>
      </c>
      <c r="I294" s="20" t="s">
        <v>315</v>
      </c>
      <c r="J294" s="21" t="s">
        <v>316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95</v>
      </c>
      <c r="C295" s="317"/>
      <c r="D295" s="11">
        <v>37000000</v>
      </c>
      <c r="E295" s="17">
        <v>4.1000000000000002E-2</v>
      </c>
      <c r="F295" s="11">
        <v>1500000</v>
      </c>
      <c r="G295" s="11">
        <v>1500000</v>
      </c>
      <c r="H295" s="11" t="s">
        <v>323</v>
      </c>
      <c r="I295" s="20" t="s">
        <v>333</v>
      </c>
      <c r="J295" s="31" t="s">
        <v>334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96</v>
      </c>
      <c r="C296" s="317"/>
      <c r="D296" s="11">
        <v>62500000</v>
      </c>
      <c r="E296" s="17">
        <v>4.8000000000000001E-2</v>
      </c>
      <c r="F296" s="11">
        <f t="shared" si="16"/>
        <v>3000000</v>
      </c>
      <c r="G296" s="11">
        <v>3000000</v>
      </c>
      <c r="H296" s="11" t="s">
        <v>265</v>
      </c>
      <c r="I296" s="20" t="s">
        <v>299</v>
      </c>
      <c r="J296" s="21" t="s">
        <v>300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97</v>
      </c>
      <c r="C297" s="317"/>
      <c r="D297" s="11">
        <v>100000000</v>
      </c>
      <c r="E297" s="17">
        <v>0.05</v>
      </c>
      <c r="F297" s="11">
        <f t="shared" si="16"/>
        <v>5000000</v>
      </c>
      <c r="G297" s="11">
        <v>5000000</v>
      </c>
      <c r="H297" s="11" t="s">
        <v>289</v>
      </c>
      <c r="I297" s="18">
        <v>112453</v>
      </c>
      <c r="J297" s="18" t="s">
        <v>301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98</v>
      </c>
      <c r="C298" s="317" t="s">
        <v>372</v>
      </c>
      <c r="D298" s="11">
        <v>50000000</v>
      </c>
      <c r="E298" s="17">
        <v>0.05</v>
      </c>
      <c r="F298" s="11">
        <f t="shared" si="16"/>
        <v>2500000</v>
      </c>
      <c r="G298" s="11">
        <v>2500000</v>
      </c>
      <c r="H298" s="11" t="s">
        <v>323</v>
      </c>
      <c r="I298" s="20" t="s">
        <v>347</v>
      </c>
      <c r="J298" s="21" t="s">
        <v>348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99</v>
      </c>
      <c r="C299" s="317"/>
      <c r="D299" s="11">
        <v>100000000</v>
      </c>
      <c r="E299" s="17">
        <v>0.04</v>
      </c>
      <c r="F299" s="11">
        <f t="shared" si="16"/>
        <v>4000000</v>
      </c>
      <c r="G299" s="11">
        <v>4000000</v>
      </c>
      <c r="H299" s="11" t="s">
        <v>323</v>
      </c>
      <c r="I299" s="20" t="s">
        <v>345</v>
      </c>
      <c r="J299" s="21" t="s">
        <v>346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4459">
        <v>239</v>
      </c>
      <c r="B300" s="4474" t="s">
        <v>559</v>
      </c>
      <c r="C300" s="4537"/>
      <c r="D300" s="4413">
        <v>30000000</v>
      </c>
      <c r="E300" s="4512"/>
      <c r="F300" s="4413">
        <v>2350000</v>
      </c>
      <c r="G300" s="11">
        <v>1000000</v>
      </c>
      <c r="H300" s="11" t="s">
        <v>544</v>
      </c>
      <c r="I300" s="20" t="s">
        <v>558</v>
      </c>
      <c r="J300" s="18" t="s">
        <v>557</v>
      </c>
      <c r="K300" s="4413">
        <f>G300+G301</f>
        <v>2400000</v>
      </c>
      <c r="L300" s="4413">
        <f>F300-K300</f>
        <v>-50000</v>
      </c>
      <c r="M300" s="4571" t="s">
        <v>657</v>
      </c>
    </row>
    <row r="301" spans="1:13" ht="30" customHeight="1" x14ac:dyDescent="0.2">
      <c r="A301" s="4460"/>
      <c r="B301" s="4475"/>
      <c r="C301" s="4538"/>
      <c r="D301" s="4415"/>
      <c r="E301" s="4514"/>
      <c r="F301" s="4415"/>
      <c r="G301" s="92">
        <v>1400000</v>
      </c>
      <c r="H301" s="92" t="s">
        <v>633</v>
      </c>
      <c r="I301" s="20" t="s">
        <v>655</v>
      </c>
      <c r="J301" s="96" t="s">
        <v>656</v>
      </c>
      <c r="K301" s="4415"/>
      <c r="L301" s="4415"/>
      <c r="M301" s="4572"/>
    </row>
    <row r="302" spans="1:13" ht="30" customHeight="1" x14ac:dyDescent="0.2">
      <c r="A302" s="4">
        <v>240</v>
      </c>
      <c r="B302" s="3" t="s">
        <v>100</v>
      </c>
      <c r="C302" s="317"/>
      <c r="D302" s="11">
        <v>100000000</v>
      </c>
      <c r="E302" s="17">
        <v>4.4999999999999998E-2</v>
      </c>
      <c r="F302" s="11">
        <f t="shared" si="16"/>
        <v>4500000</v>
      </c>
      <c r="G302" s="11">
        <v>4500000</v>
      </c>
      <c r="H302" s="11" t="s">
        <v>323</v>
      </c>
      <c r="I302" s="20" t="s">
        <v>352</v>
      </c>
      <c r="J302" s="21" t="s">
        <v>353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4459">
        <v>241</v>
      </c>
      <c r="B303" s="4474" t="s">
        <v>507</v>
      </c>
      <c r="C303" s="4537" t="s">
        <v>371</v>
      </c>
      <c r="D303" s="6">
        <v>25000000</v>
      </c>
      <c r="E303" s="17">
        <v>0.04</v>
      </c>
      <c r="F303" s="6">
        <f t="shared" si="16"/>
        <v>1000000</v>
      </c>
      <c r="G303" s="243">
        <v>1000000</v>
      </c>
      <c r="H303" s="243" t="s">
        <v>323</v>
      </c>
      <c r="I303" s="245" t="s">
        <v>375</v>
      </c>
      <c r="J303" s="21" t="s">
        <v>376</v>
      </c>
      <c r="K303" s="227">
        <f>G303</f>
        <v>1000000</v>
      </c>
      <c r="L303" s="242">
        <f t="shared" si="18"/>
        <v>0</v>
      </c>
      <c r="M303" s="3"/>
    </row>
    <row r="304" spans="1:13" ht="30" customHeight="1" x14ac:dyDescent="0.2">
      <c r="A304" s="4464"/>
      <c r="B304" s="4487"/>
      <c r="C304" s="4540"/>
      <c r="D304" s="4303" t="s">
        <v>1173</v>
      </c>
      <c r="E304" s="4324"/>
      <c r="F304" s="4355"/>
      <c r="G304" s="36">
        <v>5000000</v>
      </c>
      <c r="H304" s="36" t="s">
        <v>289</v>
      </c>
      <c r="I304" s="20" t="s">
        <v>295</v>
      </c>
      <c r="J304" s="21" t="s">
        <v>296</v>
      </c>
      <c r="K304" s="233"/>
      <c r="L304" s="233"/>
      <c r="M304" s="3"/>
    </row>
    <row r="305" spans="1:13" ht="30" customHeight="1" x14ac:dyDescent="0.2">
      <c r="A305" s="4460"/>
      <c r="B305" s="4475"/>
      <c r="C305" s="4538"/>
      <c r="D305" s="6">
        <v>20000000</v>
      </c>
      <c r="E305" s="17">
        <v>0.04</v>
      </c>
      <c r="F305" s="6">
        <f>D305*E305</f>
        <v>800000</v>
      </c>
      <c r="G305" s="4303" t="s">
        <v>1174</v>
      </c>
      <c r="H305" s="4324"/>
      <c r="I305" s="4324"/>
      <c r="J305" s="4324"/>
      <c r="K305" s="4324"/>
      <c r="L305" s="4355"/>
      <c r="M305" s="3"/>
    </row>
    <row r="306" spans="1:13" ht="30" customHeight="1" x14ac:dyDescent="0.2">
      <c r="A306" s="4">
        <v>242</v>
      </c>
      <c r="B306" s="3" t="s">
        <v>101</v>
      </c>
      <c r="C306" s="317"/>
      <c r="D306" s="11">
        <v>50000000</v>
      </c>
      <c r="E306" s="17">
        <v>0.05</v>
      </c>
      <c r="F306" s="11">
        <f t="shared" si="16"/>
        <v>2500000</v>
      </c>
      <c r="G306" s="11">
        <v>2500000</v>
      </c>
      <c r="H306" s="11" t="s">
        <v>289</v>
      </c>
      <c r="I306" s="20" t="s">
        <v>304</v>
      </c>
      <c r="J306" s="21" t="s">
        <v>305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4059</v>
      </c>
      <c r="C307" s="317"/>
      <c r="D307" s="11">
        <v>60000000</v>
      </c>
      <c r="E307" s="17">
        <v>0.05</v>
      </c>
      <c r="F307" s="11">
        <f t="shared" ref="F307:F365" si="19">D307*E307</f>
        <v>3000000</v>
      </c>
      <c r="G307" s="11">
        <v>3000000</v>
      </c>
      <c r="H307" s="11" t="s">
        <v>289</v>
      </c>
      <c r="I307" s="20" t="s">
        <v>314</v>
      </c>
      <c r="J307" s="28" t="s">
        <v>313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103</v>
      </c>
      <c r="C308" s="317"/>
      <c r="D308" s="11">
        <v>85000000</v>
      </c>
      <c r="E308" s="17">
        <v>5.0999999999999997E-2</v>
      </c>
      <c r="F308" s="11">
        <v>4300000</v>
      </c>
      <c r="G308" s="11">
        <v>4300000</v>
      </c>
      <c r="H308" s="11" t="s">
        <v>289</v>
      </c>
      <c r="I308" s="20" t="s">
        <v>308</v>
      </c>
      <c r="J308" s="27" t="s">
        <v>309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104</v>
      </c>
      <c r="C309" s="317"/>
      <c r="D309" s="11">
        <v>220000000</v>
      </c>
      <c r="E309" s="17">
        <v>7.0000000000000007E-2</v>
      </c>
      <c r="F309" s="11">
        <f t="shared" si="19"/>
        <v>15400000.000000002</v>
      </c>
      <c r="G309" s="11">
        <v>15400000</v>
      </c>
      <c r="H309" s="11" t="s">
        <v>323</v>
      </c>
      <c r="I309" s="120" t="s">
        <v>337</v>
      </c>
      <c r="J309" s="21" t="s">
        <v>338</v>
      </c>
      <c r="K309" s="11">
        <f t="shared" si="20"/>
        <v>15400000</v>
      </c>
      <c r="L309" s="11">
        <f t="shared" si="21"/>
        <v>0</v>
      </c>
      <c r="M309" s="3" t="s">
        <v>340</v>
      </c>
    </row>
    <row r="310" spans="1:13" ht="30" customHeight="1" x14ac:dyDescent="0.2">
      <c r="A310" s="4">
        <v>246</v>
      </c>
      <c r="B310" s="3" t="s">
        <v>105</v>
      </c>
      <c r="C310" s="317"/>
      <c r="D310" s="25"/>
      <c r="E310" s="40"/>
      <c r="F310" s="25">
        <f t="shared" si="19"/>
        <v>0</v>
      </c>
      <c r="G310" s="11">
        <v>4000000</v>
      </c>
      <c r="H310" s="11" t="s">
        <v>323</v>
      </c>
      <c r="I310" s="20" t="s">
        <v>368</v>
      </c>
      <c r="J310" s="21" t="s">
        <v>369</v>
      </c>
      <c r="K310" s="11">
        <f t="shared" si="20"/>
        <v>4000000</v>
      </c>
      <c r="L310" s="25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106</v>
      </c>
      <c r="C311" s="317" t="s">
        <v>262</v>
      </c>
      <c r="D311" s="11">
        <v>10000000</v>
      </c>
      <c r="E311" s="17">
        <v>0.05</v>
      </c>
      <c r="F311" s="11">
        <f t="shared" si="19"/>
        <v>500000</v>
      </c>
      <c r="G311" s="11">
        <v>500000</v>
      </c>
      <c r="H311" s="11" t="s">
        <v>379</v>
      </c>
      <c r="I311" s="20" t="s">
        <v>403</v>
      </c>
      <c r="J311" s="26" t="s">
        <v>404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107</v>
      </c>
      <c r="C312" s="317"/>
      <c r="D312" s="11">
        <v>200000000</v>
      </c>
      <c r="E312" s="17">
        <v>0.04</v>
      </c>
      <c r="F312" s="11">
        <f t="shared" si="19"/>
        <v>8000000</v>
      </c>
      <c r="G312" s="11">
        <v>8000000</v>
      </c>
      <c r="H312" s="11" t="s">
        <v>708</v>
      </c>
      <c r="I312" s="32" t="s">
        <v>731</v>
      </c>
      <c r="J312" s="21" t="s">
        <v>732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108</v>
      </c>
      <c r="C313" s="317" t="s">
        <v>371</v>
      </c>
      <c r="D313" s="2599">
        <v>90000000</v>
      </c>
      <c r="E313" s="2608">
        <v>0.06</v>
      </c>
      <c r="F313" s="2599">
        <f t="shared" si="19"/>
        <v>5400000</v>
      </c>
      <c r="G313" s="2599">
        <v>5400000</v>
      </c>
      <c r="H313" s="2599" t="s">
        <v>423</v>
      </c>
      <c r="I313" s="2603" t="s">
        <v>433</v>
      </c>
      <c r="J313" s="21" t="s">
        <v>434</v>
      </c>
      <c r="K313" s="2599">
        <f t="shared" si="20"/>
        <v>5400000</v>
      </c>
      <c r="L313" s="2599">
        <f t="shared" si="21"/>
        <v>0</v>
      </c>
      <c r="M313" s="3" t="s">
        <v>435</v>
      </c>
    </row>
    <row r="314" spans="1:13" ht="30" customHeight="1" x14ac:dyDescent="0.2">
      <c r="A314" s="4">
        <v>250</v>
      </c>
      <c r="B314" s="3" t="s">
        <v>109</v>
      </c>
      <c r="C314" s="317"/>
      <c r="D314" s="11">
        <v>265000000</v>
      </c>
      <c r="E314" s="17">
        <v>0.05</v>
      </c>
      <c r="F314" s="11">
        <f>D314*E314</f>
        <v>13250000</v>
      </c>
      <c r="G314" s="11">
        <v>13250000</v>
      </c>
      <c r="H314" s="11" t="s">
        <v>323</v>
      </c>
      <c r="I314" s="127" t="s">
        <v>335</v>
      </c>
      <c r="J314" s="21" t="s">
        <v>336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110</v>
      </c>
      <c r="C315" s="317"/>
      <c r="D315" s="11">
        <v>20000000</v>
      </c>
      <c r="E315" s="17">
        <v>0.05</v>
      </c>
      <c r="F315" s="11">
        <f t="shared" si="19"/>
        <v>1000000</v>
      </c>
      <c r="G315" s="11">
        <v>1000000</v>
      </c>
      <c r="H315" s="11" t="s">
        <v>734</v>
      </c>
      <c r="I315" s="20" t="s">
        <v>809</v>
      </c>
      <c r="J315" s="83" t="s">
        <v>810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111</v>
      </c>
      <c r="C316" s="317" t="s">
        <v>372</v>
      </c>
      <c r="D316" s="11">
        <v>180000000</v>
      </c>
      <c r="E316" s="17">
        <v>0.05</v>
      </c>
      <c r="F316" s="11">
        <f t="shared" si="19"/>
        <v>9000000</v>
      </c>
      <c r="G316" s="11"/>
      <c r="H316" s="11"/>
      <c r="I316" s="20"/>
      <c r="J316" s="21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4459">
        <v>253</v>
      </c>
      <c r="B317" s="4474" t="s">
        <v>1893</v>
      </c>
      <c r="C317" s="4537"/>
      <c r="D317" s="45">
        <v>275000000</v>
      </c>
      <c r="E317" s="17">
        <v>0.05</v>
      </c>
      <c r="F317" s="45">
        <f t="shared" si="19"/>
        <v>13750000</v>
      </c>
      <c r="G317" s="11">
        <v>13750000</v>
      </c>
      <c r="H317" s="11" t="s">
        <v>423</v>
      </c>
      <c r="I317" s="32" t="s">
        <v>439</v>
      </c>
      <c r="J317" s="21" t="s">
        <v>440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4460"/>
      <c r="B318" s="4475"/>
      <c r="C318" s="4538"/>
      <c r="D318" s="549">
        <v>295000000</v>
      </c>
      <c r="E318" s="560">
        <v>0.05</v>
      </c>
      <c r="F318" s="549">
        <f t="shared" si="19"/>
        <v>14750000</v>
      </c>
      <c r="G318" s="4469" t="s">
        <v>1895</v>
      </c>
      <c r="H318" s="4470"/>
      <c r="I318" s="4470"/>
      <c r="J318" s="4470"/>
      <c r="K318" s="4471"/>
      <c r="L318" s="549"/>
      <c r="M318" s="3" t="s">
        <v>1896</v>
      </c>
    </row>
    <row r="319" spans="1:13" ht="30" customHeight="1" x14ac:dyDescent="0.2">
      <c r="A319" s="4">
        <v>254</v>
      </c>
      <c r="B319" s="3" t="s">
        <v>112</v>
      </c>
      <c r="C319" s="317"/>
      <c r="D319" s="11">
        <v>40000000</v>
      </c>
      <c r="E319" s="17">
        <v>0.05</v>
      </c>
      <c r="F319" s="11">
        <f t="shared" si="19"/>
        <v>2000000</v>
      </c>
      <c r="G319" s="11">
        <v>2000000</v>
      </c>
      <c r="H319" s="11" t="s">
        <v>323</v>
      </c>
      <c r="I319" s="20" t="s">
        <v>341</v>
      </c>
      <c r="J319" s="18" t="s">
        <v>342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113</v>
      </c>
      <c r="C320" s="317"/>
      <c r="D320" s="11">
        <v>100000000</v>
      </c>
      <c r="E320" s="17">
        <v>0.05</v>
      </c>
      <c r="F320" s="11">
        <f t="shared" si="19"/>
        <v>5000000</v>
      </c>
      <c r="G320" s="11">
        <v>5000000</v>
      </c>
      <c r="H320" s="11" t="s">
        <v>323</v>
      </c>
      <c r="I320" s="20" t="s">
        <v>330</v>
      </c>
      <c r="J320" s="18" t="s">
        <v>331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114</v>
      </c>
      <c r="C321" s="317" t="s">
        <v>1292</v>
      </c>
      <c r="D321" s="11">
        <v>30000000</v>
      </c>
      <c r="E321" s="17">
        <v>0.05</v>
      </c>
      <c r="F321" s="11">
        <f t="shared" si="19"/>
        <v>1500000</v>
      </c>
      <c r="G321" s="11">
        <v>1500000</v>
      </c>
      <c r="H321" s="11" t="s">
        <v>443</v>
      </c>
      <c r="I321" s="20" t="s">
        <v>481</v>
      </c>
      <c r="J321" s="21" t="s">
        <v>482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849</v>
      </c>
      <c r="C322" s="317"/>
      <c r="D322" s="128">
        <v>12000000</v>
      </c>
      <c r="E322" s="17">
        <v>0.05</v>
      </c>
      <c r="F322" s="128">
        <f t="shared" si="19"/>
        <v>600000</v>
      </c>
      <c r="G322" s="4413">
        <v>1600000</v>
      </c>
      <c r="H322" s="4413" t="s">
        <v>443</v>
      </c>
      <c r="I322" s="4555" t="s">
        <v>476</v>
      </c>
      <c r="J322" s="4553" t="s">
        <v>475</v>
      </c>
      <c r="K322" s="4413">
        <f t="shared" si="20"/>
        <v>1600000</v>
      </c>
      <c r="L322" s="4413">
        <f>(F322+F323)-K322</f>
        <v>0</v>
      </c>
      <c r="M322" s="3"/>
    </row>
    <row r="323" spans="1:13" ht="30" customHeight="1" x14ac:dyDescent="0.2">
      <c r="A323" s="4">
        <v>258</v>
      </c>
      <c r="B323" s="3" t="s">
        <v>156</v>
      </c>
      <c r="C323" s="317"/>
      <c r="D323" s="128">
        <v>20000000</v>
      </c>
      <c r="E323" s="17">
        <v>0.05</v>
      </c>
      <c r="F323" s="128">
        <f>D323*E323</f>
        <v>1000000</v>
      </c>
      <c r="G323" s="4415"/>
      <c r="H323" s="4415"/>
      <c r="I323" s="4557"/>
      <c r="J323" s="4554"/>
      <c r="K323" s="4415"/>
      <c r="L323" s="4415"/>
      <c r="M323" s="3"/>
    </row>
    <row r="324" spans="1:13" ht="30" customHeight="1" x14ac:dyDescent="0.2">
      <c r="A324" s="4">
        <v>259</v>
      </c>
      <c r="B324" s="3" t="s">
        <v>116</v>
      </c>
      <c r="C324" s="317" t="s">
        <v>262</v>
      </c>
      <c r="D324" s="647">
        <v>50000000</v>
      </c>
      <c r="E324" s="651">
        <v>0.05</v>
      </c>
      <c r="F324" s="647">
        <f t="shared" si="19"/>
        <v>2500000</v>
      </c>
      <c r="G324" s="647">
        <v>2500000</v>
      </c>
      <c r="H324" s="647" t="s">
        <v>443</v>
      </c>
      <c r="I324" s="649" t="s">
        <v>455</v>
      </c>
      <c r="J324" s="21" t="s">
        <v>456</v>
      </c>
      <c r="K324" s="647">
        <f t="shared" si="20"/>
        <v>2500000</v>
      </c>
      <c r="L324" s="647">
        <f t="shared" si="21"/>
        <v>0</v>
      </c>
      <c r="M324" s="3" t="s">
        <v>457</v>
      </c>
    </row>
    <row r="325" spans="1:13" ht="30" customHeight="1" x14ac:dyDescent="0.2">
      <c r="A325" s="4">
        <v>260</v>
      </c>
      <c r="B325" s="3" t="s">
        <v>117</v>
      </c>
      <c r="C325" s="317"/>
      <c r="D325" s="49"/>
      <c r="E325" s="40"/>
      <c r="F325" s="49">
        <f t="shared" si="19"/>
        <v>0</v>
      </c>
      <c r="G325" s="11">
        <v>575000</v>
      </c>
      <c r="H325" s="11" t="s">
        <v>379</v>
      </c>
      <c r="I325" s="20" t="s">
        <v>413</v>
      </c>
      <c r="J325" s="18" t="s">
        <v>414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118</v>
      </c>
      <c r="C326" s="317"/>
      <c r="D326" s="11">
        <v>7000000</v>
      </c>
      <c r="E326" s="17">
        <v>0.04</v>
      </c>
      <c r="F326" s="11">
        <f t="shared" si="19"/>
        <v>280000</v>
      </c>
      <c r="G326" s="11">
        <v>280000</v>
      </c>
      <c r="H326" s="11" t="s">
        <v>423</v>
      </c>
      <c r="I326" s="20" t="s">
        <v>441</v>
      </c>
      <c r="J326" s="21" t="s">
        <v>442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572</v>
      </c>
      <c r="C327" s="317"/>
      <c r="D327" s="49"/>
      <c r="E327" s="40"/>
      <c r="F327" s="49">
        <f t="shared" si="19"/>
        <v>0</v>
      </c>
      <c r="G327" s="11">
        <v>2806000</v>
      </c>
      <c r="H327" s="11" t="s">
        <v>443</v>
      </c>
      <c r="I327" s="20" t="s">
        <v>450</v>
      </c>
      <c r="J327" s="21" t="s">
        <v>451</v>
      </c>
      <c r="K327" s="11">
        <f t="shared" si="20"/>
        <v>2806000</v>
      </c>
      <c r="L327" s="49">
        <f t="shared" si="21"/>
        <v>-2806000</v>
      </c>
      <c r="M327" s="66" t="s">
        <v>452</v>
      </c>
    </row>
    <row r="328" spans="1:13" ht="30" customHeight="1" x14ac:dyDescent="0.2">
      <c r="A328" s="4">
        <v>263</v>
      </c>
      <c r="B328" s="3" t="s">
        <v>119</v>
      </c>
      <c r="C328" s="317"/>
      <c r="D328" s="49"/>
      <c r="E328" s="40"/>
      <c r="F328" s="49">
        <f t="shared" si="19"/>
        <v>0</v>
      </c>
      <c r="G328" s="11">
        <v>2000000</v>
      </c>
      <c r="H328" s="11" t="s">
        <v>379</v>
      </c>
      <c r="I328" s="20" t="s">
        <v>410</v>
      </c>
      <c r="J328" s="24" t="s">
        <v>411</v>
      </c>
      <c r="K328" s="11">
        <f t="shared" si="20"/>
        <v>2000000</v>
      </c>
      <c r="L328" s="11">
        <f t="shared" si="21"/>
        <v>-2000000</v>
      </c>
      <c r="M328" s="63" t="s">
        <v>412</v>
      </c>
    </row>
    <row r="329" spans="1:13" ht="30" customHeight="1" x14ac:dyDescent="0.2">
      <c r="A329" s="4459">
        <v>264</v>
      </c>
      <c r="B329" s="4474" t="s">
        <v>120</v>
      </c>
      <c r="C329" s="4537"/>
      <c r="D329" s="11">
        <v>190000000</v>
      </c>
      <c r="E329" s="17">
        <v>5.5E-2</v>
      </c>
      <c r="F329" s="11">
        <f t="shared" si="19"/>
        <v>10450000</v>
      </c>
      <c r="G329" s="11">
        <v>10450000</v>
      </c>
      <c r="H329" s="11" t="s">
        <v>490</v>
      </c>
      <c r="I329" s="224" t="s">
        <v>493</v>
      </c>
      <c r="J329" s="21" t="s">
        <v>494</v>
      </c>
      <c r="K329" s="11">
        <f t="shared" si="20"/>
        <v>10450000</v>
      </c>
      <c r="L329" s="11">
        <f t="shared" si="21"/>
        <v>0</v>
      </c>
      <c r="M329" s="4459"/>
    </row>
    <row r="330" spans="1:13" ht="30" customHeight="1" x14ac:dyDescent="0.2">
      <c r="A330" s="4464"/>
      <c r="B330" s="4487"/>
      <c r="C330" s="4540"/>
      <c r="D330" s="4413">
        <v>190000000</v>
      </c>
      <c r="E330" s="4541" t="s">
        <v>857</v>
      </c>
      <c r="F330" s="4542"/>
      <c r="G330" s="92">
        <v>8000000</v>
      </c>
      <c r="H330" s="92" t="s">
        <v>633</v>
      </c>
      <c r="I330" s="20" t="s">
        <v>653</v>
      </c>
      <c r="J330" s="26" t="s">
        <v>654</v>
      </c>
      <c r="K330" s="4413">
        <f>G330+G331+G332+G333+G334+G335+G336</f>
        <v>190000000</v>
      </c>
      <c r="L330" s="4413">
        <f>D330-K330</f>
        <v>0</v>
      </c>
      <c r="M330" s="4460"/>
    </row>
    <row r="331" spans="1:13" ht="30" customHeight="1" x14ac:dyDescent="0.2">
      <c r="A331" s="4464"/>
      <c r="B331" s="4487"/>
      <c r="C331" s="4540"/>
      <c r="D331" s="4414"/>
      <c r="E331" s="4578"/>
      <c r="F331" s="4579"/>
      <c r="G331" s="92">
        <v>20000000</v>
      </c>
      <c r="H331" s="92" t="s">
        <v>660</v>
      </c>
      <c r="I331" s="32" t="s">
        <v>665</v>
      </c>
      <c r="J331" s="52" t="s">
        <v>666</v>
      </c>
      <c r="K331" s="4414"/>
      <c r="L331" s="4414"/>
      <c r="M331" s="93"/>
    </row>
    <row r="332" spans="1:13" ht="30" customHeight="1" x14ac:dyDescent="0.2">
      <c r="A332" s="4464"/>
      <c r="B332" s="4487"/>
      <c r="C332" s="4540"/>
      <c r="D332" s="4414"/>
      <c r="E332" s="4578"/>
      <c r="F332" s="4579"/>
      <c r="G332" s="137">
        <v>80000000</v>
      </c>
      <c r="H332" s="140"/>
      <c r="I332" s="111"/>
      <c r="J332" s="163"/>
      <c r="K332" s="4414"/>
      <c r="L332" s="4414"/>
      <c r="M332" s="138"/>
    </row>
    <row r="333" spans="1:13" ht="30" customHeight="1" x14ac:dyDescent="0.2">
      <c r="A333" s="4464"/>
      <c r="B333" s="4487"/>
      <c r="C333" s="4540"/>
      <c r="D333" s="4414"/>
      <c r="E333" s="4578"/>
      <c r="F333" s="4579"/>
      <c r="G333" s="205">
        <v>40000000</v>
      </c>
      <c r="H333" s="229" t="s">
        <v>984</v>
      </c>
      <c r="I333" s="231" t="s">
        <v>1078</v>
      </c>
      <c r="J333" s="232" t="s">
        <v>666</v>
      </c>
      <c r="K333" s="4414"/>
      <c r="L333" s="4414"/>
      <c r="M333" s="204"/>
    </row>
    <row r="334" spans="1:13" ht="30" customHeight="1" x14ac:dyDescent="0.2">
      <c r="A334" s="4464"/>
      <c r="B334" s="4487"/>
      <c r="C334" s="4540"/>
      <c r="D334" s="4414"/>
      <c r="E334" s="4578"/>
      <c r="F334" s="4579"/>
      <c r="G334" s="219">
        <v>9000000</v>
      </c>
      <c r="H334" s="229" t="s">
        <v>1002</v>
      </c>
      <c r="I334" s="231" t="s">
        <v>1091</v>
      </c>
      <c r="J334" s="232" t="s">
        <v>666</v>
      </c>
      <c r="K334" s="4414"/>
      <c r="L334" s="4414"/>
      <c r="M334" s="216"/>
    </row>
    <row r="335" spans="1:13" ht="30" customHeight="1" x14ac:dyDescent="0.2">
      <c r="A335" s="4464"/>
      <c r="B335" s="4487"/>
      <c r="C335" s="4540"/>
      <c r="D335" s="4414"/>
      <c r="E335" s="4578"/>
      <c r="F335" s="4579"/>
      <c r="G335" s="219">
        <v>25000000</v>
      </c>
      <c r="H335" s="229" t="s">
        <v>1101</v>
      </c>
      <c r="I335" s="231" t="s">
        <v>1102</v>
      </c>
      <c r="J335" s="232" t="s">
        <v>666</v>
      </c>
      <c r="K335" s="4414"/>
      <c r="L335" s="4414"/>
      <c r="M335" s="216"/>
    </row>
    <row r="336" spans="1:13" ht="30" customHeight="1" x14ac:dyDescent="0.2">
      <c r="A336" s="4460"/>
      <c r="B336" s="4475"/>
      <c r="C336" s="4538"/>
      <c r="D336" s="4415"/>
      <c r="E336" s="4543"/>
      <c r="F336" s="4544"/>
      <c r="G336" s="290">
        <v>8000000</v>
      </c>
      <c r="H336" s="229" t="s">
        <v>1266</v>
      </c>
      <c r="I336" s="315" t="s">
        <v>1270</v>
      </c>
      <c r="J336" s="232" t="s">
        <v>666</v>
      </c>
      <c r="K336" s="4415"/>
      <c r="L336" s="4415"/>
      <c r="M336" s="289"/>
    </row>
    <row r="337" spans="1:13" ht="30" customHeight="1" x14ac:dyDescent="0.2">
      <c r="A337" s="4">
        <v>265</v>
      </c>
      <c r="B337" s="3" t="s">
        <v>121</v>
      </c>
      <c r="C337" s="317"/>
      <c r="D337" s="59"/>
      <c r="E337" s="40"/>
      <c r="F337" s="59">
        <f t="shared" si="19"/>
        <v>0</v>
      </c>
      <c r="G337" s="11">
        <v>57000000</v>
      </c>
      <c r="H337" s="11" t="s">
        <v>490</v>
      </c>
      <c r="I337" s="32" t="s">
        <v>500</v>
      </c>
      <c r="J337" s="21" t="s">
        <v>501</v>
      </c>
      <c r="K337" s="11">
        <f t="shared" si="20"/>
        <v>57000000</v>
      </c>
      <c r="L337" s="59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122</v>
      </c>
      <c r="C338" s="317"/>
      <c r="D338" s="11">
        <v>80000000</v>
      </c>
      <c r="E338" s="17">
        <v>4.4999999999999998E-2</v>
      </c>
      <c r="F338" s="11">
        <f t="shared" si="19"/>
        <v>3600000</v>
      </c>
      <c r="G338" s="11">
        <v>3600000</v>
      </c>
      <c r="H338" s="11" t="s">
        <v>544</v>
      </c>
      <c r="I338" s="20" t="s">
        <v>570</v>
      </c>
      <c r="J338" s="18" t="s">
        <v>571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497</v>
      </c>
      <c r="C339" s="317"/>
      <c r="D339" s="11">
        <v>250000000</v>
      </c>
      <c r="E339" s="17">
        <v>0.04</v>
      </c>
      <c r="F339" s="11">
        <f t="shared" si="19"/>
        <v>10000000</v>
      </c>
      <c r="G339" s="11">
        <v>10000000</v>
      </c>
      <c r="H339" s="11" t="s">
        <v>490</v>
      </c>
      <c r="I339" s="20" t="s">
        <v>498</v>
      </c>
      <c r="J339" s="18" t="s">
        <v>499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391</v>
      </c>
      <c r="C340" s="317" t="s">
        <v>392</v>
      </c>
      <c r="D340" s="11">
        <v>130000000</v>
      </c>
      <c r="E340" s="17">
        <v>4.4999999999999998E-2</v>
      </c>
      <c r="F340" s="11">
        <f t="shared" si="19"/>
        <v>5850000</v>
      </c>
      <c r="G340" s="11">
        <v>5850000</v>
      </c>
      <c r="H340" s="11" t="s">
        <v>379</v>
      </c>
      <c r="I340" s="20" t="s">
        <v>389</v>
      </c>
      <c r="J340" s="18" t="s">
        <v>390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1" t="s">
        <v>123</v>
      </c>
      <c r="C341" s="317"/>
      <c r="D341" s="11">
        <v>200000000</v>
      </c>
      <c r="E341" s="17">
        <v>0.05</v>
      </c>
      <c r="F341" s="11">
        <f t="shared" si="19"/>
        <v>10000000</v>
      </c>
      <c r="G341" s="11">
        <v>10000000</v>
      </c>
      <c r="H341" s="11" t="s">
        <v>265</v>
      </c>
      <c r="I341" s="20">
        <v>875355683</v>
      </c>
      <c r="J341" s="21" t="s">
        <v>276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124</v>
      </c>
      <c r="C342" s="317"/>
      <c r="D342" s="11">
        <v>20000000</v>
      </c>
      <c r="E342" s="17">
        <v>5.5E-2</v>
      </c>
      <c r="F342" s="11">
        <f t="shared" si="19"/>
        <v>1100000</v>
      </c>
      <c r="G342" s="11">
        <v>1100000</v>
      </c>
      <c r="H342" s="11" t="s">
        <v>490</v>
      </c>
      <c r="I342" s="20" t="s">
        <v>491</v>
      </c>
      <c r="J342" s="21" t="s">
        <v>492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4459">
        <v>271</v>
      </c>
      <c r="B343" s="4474" t="s">
        <v>125</v>
      </c>
      <c r="C343" s="4537" t="s">
        <v>359</v>
      </c>
      <c r="D343" s="4413">
        <v>40000000</v>
      </c>
      <c r="E343" s="4476">
        <v>5.5E-2</v>
      </c>
      <c r="F343" s="4413">
        <f t="shared" si="19"/>
        <v>2200000</v>
      </c>
      <c r="G343" s="11">
        <v>1800000</v>
      </c>
      <c r="H343" s="11" t="s">
        <v>490</v>
      </c>
      <c r="I343" s="20" t="s">
        <v>502</v>
      </c>
      <c r="J343" s="18" t="s">
        <v>503</v>
      </c>
      <c r="K343" s="4413">
        <f>G343+G344</f>
        <v>2200000</v>
      </c>
      <c r="L343" s="4413">
        <f t="shared" si="21"/>
        <v>0</v>
      </c>
      <c r="M343" s="3"/>
    </row>
    <row r="344" spans="1:13" ht="30" customHeight="1" x14ac:dyDescent="0.2">
      <c r="A344" s="4460"/>
      <c r="B344" s="4475"/>
      <c r="C344" s="4538"/>
      <c r="D344" s="4415"/>
      <c r="E344" s="4477"/>
      <c r="F344" s="4415"/>
      <c r="G344" s="57">
        <v>400000</v>
      </c>
      <c r="H344" s="57" t="s">
        <v>490</v>
      </c>
      <c r="I344" s="20" t="s">
        <v>504</v>
      </c>
      <c r="J344" s="18" t="s">
        <v>503</v>
      </c>
      <c r="K344" s="4415"/>
      <c r="L344" s="4415"/>
      <c r="M344" s="3"/>
    </row>
    <row r="345" spans="1:13" ht="30" customHeight="1" x14ac:dyDescent="0.2">
      <c r="A345" s="4459">
        <v>272</v>
      </c>
      <c r="B345" s="4474" t="s">
        <v>126</v>
      </c>
      <c r="C345" s="4537"/>
      <c r="D345" s="89">
        <v>560000000</v>
      </c>
      <c r="E345" s="17">
        <v>5.5E-2</v>
      </c>
      <c r="F345" s="89">
        <f t="shared" si="19"/>
        <v>30800000</v>
      </c>
      <c r="G345" s="11">
        <v>20000000</v>
      </c>
      <c r="H345" s="11" t="s">
        <v>423</v>
      </c>
      <c r="I345" s="32" t="s">
        <v>431</v>
      </c>
      <c r="J345" s="21" t="s">
        <v>432</v>
      </c>
      <c r="K345" s="4413">
        <f>G345+G346</f>
        <v>37100000</v>
      </c>
      <c r="L345" s="4413">
        <f>(F345+F346)-K345</f>
        <v>0</v>
      </c>
      <c r="M345" s="4459"/>
    </row>
    <row r="346" spans="1:13" ht="30" customHeight="1" x14ac:dyDescent="0.2">
      <c r="A346" s="4460"/>
      <c r="B346" s="4475"/>
      <c r="C346" s="4538"/>
      <c r="D346" s="92">
        <v>105000000</v>
      </c>
      <c r="E346" s="94">
        <v>0.06</v>
      </c>
      <c r="F346" s="89">
        <f>D346*E346</f>
        <v>6300000</v>
      </c>
      <c r="G346" s="45">
        <v>17100000</v>
      </c>
      <c r="H346" s="45" t="s">
        <v>490</v>
      </c>
      <c r="I346" s="20" t="s">
        <v>647</v>
      </c>
      <c r="J346" s="20" t="s">
        <v>646</v>
      </c>
      <c r="K346" s="4415"/>
      <c r="L346" s="4415"/>
      <c r="M346" s="4460"/>
    </row>
    <row r="347" spans="1:13" ht="30" customHeight="1" x14ac:dyDescent="0.2">
      <c r="A347" s="4">
        <v>273</v>
      </c>
      <c r="B347" s="3" t="s">
        <v>127</v>
      </c>
      <c r="C347" s="317" t="s">
        <v>1291</v>
      </c>
      <c r="D347" s="11">
        <v>20000000</v>
      </c>
      <c r="E347" s="17">
        <v>0.05</v>
      </c>
      <c r="F347" s="11">
        <f t="shared" si="19"/>
        <v>1000000</v>
      </c>
      <c r="G347" s="11">
        <v>1000000</v>
      </c>
      <c r="H347" s="11" t="s">
        <v>443</v>
      </c>
      <c r="I347" s="20" t="s">
        <v>479</v>
      </c>
      <c r="J347" s="21" t="s">
        <v>480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128</v>
      </c>
      <c r="C348" s="317"/>
      <c r="D348" s="11">
        <v>8000000</v>
      </c>
      <c r="E348" s="17">
        <v>0.05</v>
      </c>
      <c r="F348" s="11">
        <f t="shared" si="19"/>
        <v>400000</v>
      </c>
      <c r="G348" s="11">
        <v>400000</v>
      </c>
      <c r="H348" s="11" t="s">
        <v>379</v>
      </c>
      <c r="I348" s="20" t="s">
        <v>387</v>
      </c>
      <c r="J348" s="21" t="s">
        <v>388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129</v>
      </c>
      <c r="C349" s="317" t="s">
        <v>1291</v>
      </c>
      <c r="D349" s="11">
        <v>130000000</v>
      </c>
      <c r="E349" s="17">
        <v>0.05</v>
      </c>
      <c r="F349" s="11">
        <f t="shared" si="19"/>
        <v>6500000</v>
      </c>
      <c r="G349" s="11">
        <v>6500000</v>
      </c>
      <c r="H349" s="11" t="s">
        <v>1002</v>
      </c>
      <c r="I349" s="20" t="s">
        <v>1003</v>
      </c>
      <c r="J349" s="21" t="s">
        <v>1004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130</v>
      </c>
      <c r="C350" s="317"/>
      <c r="D350" s="11">
        <v>95000000</v>
      </c>
      <c r="E350" s="17">
        <v>5.2999999999999999E-2</v>
      </c>
      <c r="F350" s="11">
        <v>5000000</v>
      </c>
      <c r="G350" s="11">
        <v>5000000</v>
      </c>
      <c r="H350" s="11" t="s">
        <v>443</v>
      </c>
      <c r="I350" s="20" t="s">
        <v>467</v>
      </c>
      <c r="J350" s="21" t="s">
        <v>468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131</v>
      </c>
      <c r="C351" s="317"/>
      <c r="D351" s="11">
        <v>200000000</v>
      </c>
      <c r="E351" s="17">
        <v>0.05</v>
      </c>
      <c r="F351" s="11">
        <f t="shared" si="19"/>
        <v>10000000</v>
      </c>
      <c r="G351" s="11">
        <v>10000000</v>
      </c>
      <c r="H351" s="11" t="s">
        <v>660</v>
      </c>
      <c r="I351" s="20" t="s">
        <v>679</v>
      </c>
      <c r="J351" s="21" t="s">
        <v>680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620</v>
      </c>
      <c r="C352" s="317"/>
      <c r="D352" s="117">
        <v>40000000</v>
      </c>
      <c r="E352" s="40">
        <v>4.2999999999999997E-2</v>
      </c>
      <c r="F352" s="117">
        <v>1750000</v>
      </c>
      <c r="G352" s="11">
        <v>1750000</v>
      </c>
      <c r="H352" s="11" t="s">
        <v>544</v>
      </c>
      <c r="I352" s="20" t="s">
        <v>621</v>
      </c>
      <c r="J352" s="21" t="s">
        <v>622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132</v>
      </c>
      <c r="C353" s="317"/>
      <c r="D353" s="11">
        <v>11000000</v>
      </c>
      <c r="E353" s="17">
        <v>4.4999999999999998E-2</v>
      </c>
      <c r="F353" s="11">
        <v>500000</v>
      </c>
      <c r="G353" s="11">
        <v>500000</v>
      </c>
      <c r="H353" s="11" t="s">
        <v>708</v>
      </c>
      <c r="I353" s="20" t="s">
        <v>729</v>
      </c>
      <c r="J353" s="21" t="s">
        <v>730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458</v>
      </c>
      <c r="C354" s="317"/>
      <c r="D354" s="59"/>
      <c r="E354" s="40"/>
      <c r="F354" s="59">
        <f t="shared" si="19"/>
        <v>0</v>
      </c>
      <c r="G354" s="11">
        <v>585000</v>
      </c>
      <c r="H354" s="11" t="s">
        <v>443</v>
      </c>
      <c r="I354" s="20" t="s">
        <v>459</v>
      </c>
      <c r="J354" s="24" t="s">
        <v>460</v>
      </c>
      <c r="K354" s="11">
        <f t="shared" si="20"/>
        <v>585000</v>
      </c>
      <c r="L354" s="59">
        <f t="shared" si="21"/>
        <v>-585000</v>
      </c>
      <c r="M354" s="3"/>
    </row>
    <row r="355" spans="1:13" ht="30" customHeight="1" x14ac:dyDescent="0.2">
      <c r="A355" s="4459">
        <v>281</v>
      </c>
      <c r="B355" s="4474" t="s">
        <v>133</v>
      </c>
      <c r="C355" s="4537" t="s">
        <v>1290</v>
      </c>
      <c r="D355" s="11">
        <v>25000000</v>
      </c>
      <c r="E355" s="17">
        <v>4.8000000000000001E-2</v>
      </c>
      <c r="F355" s="11">
        <f t="shared" si="19"/>
        <v>1200000</v>
      </c>
      <c r="G355" s="11">
        <v>1200000</v>
      </c>
      <c r="H355" s="11" t="s">
        <v>633</v>
      </c>
      <c r="I355" s="20" t="s">
        <v>634</v>
      </c>
      <c r="J355" s="21" t="s">
        <v>635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4460"/>
      <c r="B356" s="4475"/>
      <c r="C356" s="4538"/>
      <c r="D356" s="279">
        <v>40000000</v>
      </c>
      <c r="E356" s="17">
        <v>0.05</v>
      </c>
      <c r="F356" s="279">
        <f t="shared" si="19"/>
        <v>2000000</v>
      </c>
      <c r="G356" s="4469" t="s">
        <v>1248</v>
      </c>
      <c r="H356" s="4470"/>
      <c r="I356" s="4470"/>
      <c r="J356" s="4470"/>
      <c r="K356" s="4471"/>
      <c r="L356" s="279"/>
      <c r="M356" s="3"/>
    </row>
    <row r="357" spans="1:13" ht="30" customHeight="1" x14ac:dyDescent="0.2">
      <c r="A357" s="4">
        <v>282</v>
      </c>
      <c r="B357" s="3" t="s">
        <v>1024</v>
      </c>
      <c r="C357" s="317"/>
      <c r="D357" s="11">
        <v>20000000</v>
      </c>
      <c r="E357" s="17">
        <v>0.04</v>
      </c>
      <c r="F357" s="11">
        <f t="shared" si="19"/>
        <v>800000</v>
      </c>
      <c r="G357" s="11">
        <v>800000</v>
      </c>
      <c r="H357" s="11" t="s">
        <v>443</v>
      </c>
      <c r="I357" s="20" t="s">
        <v>470</v>
      </c>
      <c r="J357" s="32" t="s">
        <v>469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4459">
        <v>283</v>
      </c>
      <c r="B358" s="4474" t="s">
        <v>134</v>
      </c>
      <c r="C358" s="4537"/>
      <c r="D358" s="4506"/>
      <c r="E358" s="4512"/>
      <c r="F358" s="4413">
        <v>1550000</v>
      </c>
      <c r="G358" s="11">
        <v>1505000</v>
      </c>
      <c r="H358" s="11" t="s">
        <v>544</v>
      </c>
      <c r="I358" s="20" t="s">
        <v>624</v>
      </c>
      <c r="J358" s="21" t="s">
        <v>625</v>
      </c>
      <c r="K358" s="4413">
        <f>G358+G359</f>
        <v>1550000</v>
      </c>
      <c r="L358" s="4413">
        <f>F358-K358</f>
        <v>0</v>
      </c>
      <c r="M358" s="4589" t="s">
        <v>626</v>
      </c>
    </row>
    <row r="359" spans="1:13" ht="30" customHeight="1" x14ac:dyDescent="0.2">
      <c r="A359" s="4460"/>
      <c r="B359" s="4475"/>
      <c r="C359" s="4538"/>
      <c r="D359" s="4508"/>
      <c r="E359" s="4514"/>
      <c r="F359" s="4415"/>
      <c r="G359" s="85">
        <v>45000</v>
      </c>
      <c r="H359" s="85" t="s">
        <v>544</v>
      </c>
      <c r="I359" s="20" t="s">
        <v>629</v>
      </c>
      <c r="J359" s="21" t="s">
        <v>630</v>
      </c>
      <c r="K359" s="4415"/>
      <c r="L359" s="4415"/>
      <c r="M359" s="4590"/>
    </row>
    <row r="360" spans="1:13" ht="30" customHeight="1" x14ac:dyDescent="0.2">
      <c r="A360" s="4459">
        <v>284</v>
      </c>
      <c r="B360" s="4474" t="s">
        <v>1158</v>
      </c>
      <c r="C360" s="4537" t="s">
        <v>371</v>
      </c>
      <c r="D360" s="11">
        <v>115000000</v>
      </c>
      <c r="E360" s="17">
        <v>4.4999999999999998E-2</v>
      </c>
      <c r="F360" s="11">
        <f t="shared" si="19"/>
        <v>5175000</v>
      </c>
      <c r="G360" s="4413">
        <v>6675000</v>
      </c>
      <c r="H360" s="4413" t="s">
        <v>1139</v>
      </c>
      <c r="I360" s="4555" t="s">
        <v>1159</v>
      </c>
      <c r="J360" s="4478" t="s">
        <v>1160</v>
      </c>
      <c r="K360" s="4413">
        <f t="shared" si="20"/>
        <v>6675000</v>
      </c>
      <c r="L360" s="4413">
        <f>(F360+1500000)-K360</f>
        <v>0</v>
      </c>
      <c r="M360" s="4589" t="s">
        <v>1161</v>
      </c>
    </row>
    <row r="361" spans="1:13" ht="30" customHeight="1" x14ac:dyDescent="0.2">
      <c r="A361" s="4460"/>
      <c r="B361" s="4475"/>
      <c r="C361" s="4538"/>
      <c r="D361" s="236">
        <v>60000000</v>
      </c>
      <c r="E361" s="17">
        <v>0.05</v>
      </c>
      <c r="F361" s="236">
        <f t="shared" si="19"/>
        <v>3000000</v>
      </c>
      <c r="G361" s="4415"/>
      <c r="H361" s="4415"/>
      <c r="I361" s="4557"/>
      <c r="J361" s="4479"/>
      <c r="K361" s="4415"/>
      <c r="L361" s="4415"/>
      <c r="M361" s="4590"/>
    </row>
    <row r="362" spans="1:13" ht="30" customHeight="1" x14ac:dyDescent="0.2">
      <c r="A362" s="4">
        <v>285</v>
      </c>
      <c r="B362" s="3" t="s">
        <v>135</v>
      </c>
      <c r="C362" s="317"/>
      <c r="D362" s="11">
        <v>100000000</v>
      </c>
      <c r="E362" s="17">
        <v>7.0000000000000007E-2</v>
      </c>
      <c r="F362" s="11">
        <f t="shared" si="19"/>
        <v>7000000.0000000009</v>
      </c>
      <c r="G362" s="11">
        <v>7000000</v>
      </c>
      <c r="H362" s="11" t="s">
        <v>544</v>
      </c>
      <c r="I362" s="20" t="s">
        <v>627</v>
      </c>
      <c r="J362" s="21" t="s">
        <v>628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136</v>
      </c>
      <c r="C363" s="317"/>
      <c r="D363" s="11">
        <v>35000000</v>
      </c>
      <c r="E363" s="17">
        <v>0.04</v>
      </c>
      <c r="F363" s="11">
        <f t="shared" si="19"/>
        <v>1400000</v>
      </c>
      <c r="G363" s="11">
        <v>1400000</v>
      </c>
      <c r="H363" s="11" t="s">
        <v>289</v>
      </c>
      <c r="I363" s="20" t="s">
        <v>306</v>
      </c>
      <c r="J363" s="18" t="s">
        <v>307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137</v>
      </c>
      <c r="C364" s="317"/>
      <c r="D364" s="11">
        <v>15000000</v>
      </c>
      <c r="E364" s="17">
        <v>0.05</v>
      </c>
      <c r="F364" s="11">
        <f t="shared" si="19"/>
        <v>750000</v>
      </c>
      <c r="G364" s="11">
        <v>750000</v>
      </c>
      <c r="H364" s="11" t="s">
        <v>544</v>
      </c>
      <c r="I364" s="20" t="s">
        <v>568</v>
      </c>
      <c r="J364" s="21" t="s">
        <v>569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138</v>
      </c>
      <c r="C365" s="317" t="s">
        <v>1289</v>
      </c>
      <c r="D365" s="11">
        <v>50000000</v>
      </c>
      <c r="E365" s="17">
        <v>4.4999999999999998E-2</v>
      </c>
      <c r="F365" s="11">
        <f t="shared" si="19"/>
        <v>2250000</v>
      </c>
      <c r="G365" s="11">
        <v>2250000</v>
      </c>
      <c r="H365" s="11" t="s">
        <v>660</v>
      </c>
      <c r="I365" s="20" t="s">
        <v>672</v>
      </c>
      <c r="J365" s="21" t="s">
        <v>673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637</v>
      </c>
      <c r="C366" s="317"/>
      <c r="D366" s="88"/>
      <c r="E366" s="40"/>
      <c r="F366" s="88">
        <f t="shared" ref="F366:F410" si="22">D366*E366</f>
        <v>0</v>
      </c>
      <c r="G366" s="11">
        <v>1350000</v>
      </c>
      <c r="H366" s="11" t="s">
        <v>633</v>
      </c>
      <c r="I366" s="20" t="s">
        <v>639</v>
      </c>
      <c r="J366" s="18" t="s">
        <v>638</v>
      </c>
      <c r="K366" s="11">
        <f t="shared" si="20"/>
        <v>1350000</v>
      </c>
      <c r="L366" s="88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636</v>
      </c>
      <c r="C367" s="317" t="s">
        <v>1288</v>
      </c>
      <c r="D367" s="11">
        <v>550000000</v>
      </c>
      <c r="E367" s="17">
        <v>0.05</v>
      </c>
      <c r="F367" s="11">
        <f t="shared" si="22"/>
        <v>27500000</v>
      </c>
      <c r="G367" s="11">
        <v>27500000</v>
      </c>
      <c r="H367" s="11" t="s">
        <v>544</v>
      </c>
      <c r="I367" s="20"/>
      <c r="J367" s="21"/>
      <c r="K367" s="11">
        <f t="shared" ref="K367:K410" si="23">G367</f>
        <v>27500000</v>
      </c>
      <c r="L367" s="11">
        <f t="shared" ref="L367:L410" si="24">F367-K367</f>
        <v>0</v>
      </c>
      <c r="M367" s="87" t="s">
        <v>623</v>
      </c>
    </row>
    <row r="368" spans="1:13" ht="30" customHeight="1" x14ac:dyDescent="0.2">
      <c r="A368" s="4459">
        <v>291</v>
      </c>
      <c r="B368" s="4474" t="s">
        <v>139</v>
      </c>
      <c r="C368" s="4537"/>
      <c r="D368" s="11">
        <v>20000000</v>
      </c>
      <c r="E368" s="17">
        <v>0.05</v>
      </c>
      <c r="F368" s="11">
        <f t="shared" si="22"/>
        <v>1000000</v>
      </c>
      <c r="G368" s="11">
        <v>1000000</v>
      </c>
      <c r="H368" s="11" t="s">
        <v>443</v>
      </c>
      <c r="I368" s="20" t="s">
        <v>446</v>
      </c>
      <c r="J368" s="21" t="s">
        <v>447</v>
      </c>
      <c r="K368" s="11">
        <f t="shared" si="23"/>
        <v>1000000</v>
      </c>
      <c r="L368" s="11">
        <f t="shared" si="24"/>
        <v>0</v>
      </c>
      <c r="M368" s="4459"/>
    </row>
    <row r="369" spans="1:13" ht="30" customHeight="1" x14ac:dyDescent="0.2">
      <c r="A369" s="4464"/>
      <c r="B369" s="4487"/>
      <c r="C369" s="4540"/>
      <c r="D369" s="4413">
        <v>20000000</v>
      </c>
      <c r="E369" s="4541" t="s">
        <v>652</v>
      </c>
      <c r="F369" s="4542"/>
      <c r="G369" s="236">
        <v>3000000</v>
      </c>
      <c r="H369" s="236" t="s">
        <v>1139</v>
      </c>
      <c r="I369" s="240" t="s">
        <v>1165</v>
      </c>
      <c r="J369" s="4478" t="s">
        <v>447</v>
      </c>
      <c r="K369" s="4413">
        <f>G369+G370</f>
        <v>5000000</v>
      </c>
      <c r="L369" s="4413">
        <f>D369-K369</f>
        <v>15000000</v>
      </c>
      <c r="M369" s="4464"/>
    </row>
    <row r="370" spans="1:13" ht="30" customHeight="1" x14ac:dyDescent="0.2">
      <c r="A370" s="4460"/>
      <c r="B370" s="4475"/>
      <c r="C370" s="4538"/>
      <c r="D370" s="4415"/>
      <c r="E370" s="4543"/>
      <c r="F370" s="4544"/>
      <c r="G370" s="236">
        <v>2000000</v>
      </c>
      <c r="H370" s="236" t="s">
        <v>1139</v>
      </c>
      <c r="I370" s="240" t="s">
        <v>1166</v>
      </c>
      <c r="J370" s="4479"/>
      <c r="K370" s="4415"/>
      <c r="L370" s="4415"/>
      <c r="M370" s="4460"/>
    </row>
    <row r="371" spans="1:13" ht="30" customHeight="1" x14ac:dyDescent="0.2">
      <c r="A371" s="4">
        <v>292</v>
      </c>
      <c r="B371" s="3" t="s">
        <v>140</v>
      </c>
      <c r="C371" s="317"/>
      <c r="D371" s="95"/>
      <c r="E371" s="40"/>
      <c r="F371" s="95">
        <f t="shared" si="22"/>
        <v>0</v>
      </c>
      <c r="G371" s="11">
        <v>5000000</v>
      </c>
      <c r="H371" s="11" t="s">
        <v>660</v>
      </c>
      <c r="I371" s="20" t="s">
        <v>663</v>
      </c>
      <c r="J371" s="21" t="s">
        <v>664</v>
      </c>
      <c r="K371" s="11">
        <f t="shared" si="23"/>
        <v>5000000</v>
      </c>
      <c r="L371" s="95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141</v>
      </c>
      <c r="C372" s="317"/>
      <c r="D372" s="11">
        <v>75000000</v>
      </c>
      <c r="E372" s="17">
        <v>0.04</v>
      </c>
      <c r="F372" s="11">
        <f>D372*E372</f>
        <v>3000000</v>
      </c>
      <c r="G372" s="11">
        <v>3000000</v>
      </c>
      <c r="H372" s="11" t="s">
        <v>708</v>
      </c>
      <c r="I372" s="20" t="s">
        <v>724</v>
      </c>
      <c r="J372" s="18" t="s">
        <v>725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4459">
        <v>294</v>
      </c>
      <c r="B373" s="4474" t="s">
        <v>142</v>
      </c>
      <c r="C373" s="4537"/>
      <c r="D373" s="4413">
        <v>100000000</v>
      </c>
      <c r="E373" s="4541" t="s">
        <v>652</v>
      </c>
      <c r="F373" s="4542"/>
      <c r="G373" s="4303" t="s">
        <v>2512</v>
      </c>
      <c r="H373" s="4324"/>
      <c r="I373" s="4324"/>
      <c r="J373" s="4355"/>
      <c r="K373" s="4413" t="e">
        <f>G374+G373</f>
        <v>#VALUE!</v>
      </c>
      <c r="L373" s="4413" t="e">
        <f>D373-K373</f>
        <v>#VALUE!</v>
      </c>
      <c r="M373" s="3"/>
    </row>
    <row r="374" spans="1:13" ht="30" customHeight="1" x14ac:dyDescent="0.2">
      <c r="A374" s="4464"/>
      <c r="B374" s="4487"/>
      <c r="C374" s="4540"/>
      <c r="D374" s="4415"/>
      <c r="E374" s="4543"/>
      <c r="F374" s="4544"/>
      <c r="G374" s="6">
        <v>20000000</v>
      </c>
      <c r="H374" s="6" t="s">
        <v>1216</v>
      </c>
      <c r="I374" s="265" t="s">
        <v>1226</v>
      </c>
      <c r="J374" s="18" t="s">
        <v>1227</v>
      </c>
      <c r="K374" s="4415"/>
      <c r="L374" s="4415"/>
      <c r="M374" s="3" t="s">
        <v>2511</v>
      </c>
    </row>
    <row r="375" spans="1:13" ht="30" customHeight="1" x14ac:dyDescent="0.2">
      <c r="A375" s="4460"/>
      <c r="B375" s="4475"/>
      <c r="C375" s="4538"/>
      <c r="D375" s="11">
        <v>100000000</v>
      </c>
      <c r="E375" s="17">
        <v>0.05</v>
      </c>
      <c r="F375" s="11">
        <f t="shared" si="22"/>
        <v>5000000</v>
      </c>
      <c r="G375" s="4413">
        <v>5500000</v>
      </c>
      <c r="H375" s="4413" t="s">
        <v>708</v>
      </c>
      <c r="I375" s="4555" t="s">
        <v>709</v>
      </c>
      <c r="J375" s="4478" t="s">
        <v>710</v>
      </c>
      <c r="K375" s="4413">
        <f t="shared" si="23"/>
        <v>5500000</v>
      </c>
      <c r="L375" s="4413">
        <f>(F375+F376)-K375</f>
        <v>0</v>
      </c>
      <c r="M375" s="3"/>
    </row>
    <row r="376" spans="1:13" ht="30" customHeight="1" x14ac:dyDescent="0.2">
      <c r="A376" s="4">
        <v>295</v>
      </c>
      <c r="B376" s="3" t="s">
        <v>707</v>
      </c>
      <c r="C376" s="317"/>
      <c r="D376" s="99">
        <v>10000000</v>
      </c>
      <c r="E376" s="17">
        <v>0.05</v>
      </c>
      <c r="F376" s="99">
        <f>D376*E376</f>
        <v>500000</v>
      </c>
      <c r="G376" s="4415"/>
      <c r="H376" s="4415"/>
      <c r="I376" s="4557"/>
      <c r="J376" s="4479"/>
      <c r="K376" s="4415"/>
      <c r="L376" s="4415"/>
      <c r="M376" s="3"/>
    </row>
    <row r="377" spans="1:13" ht="30" customHeight="1" x14ac:dyDescent="0.2">
      <c r="A377" s="4">
        <v>296</v>
      </c>
      <c r="B377" s="3" t="s">
        <v>143</v>
      </c>
      <c r="C377" s="317"/>
      <c r="D377" s="11">
        <v>35000000</v>
      </c>
      <c r="E377" s="17">
        <v>0.04</v>
      </c>
      <c r="F377" s="11">
        <f t="shared" si="22"/>
        <v>1400000</v>
      </c>
      <c r="G377" s="11">
        <v>1400000</v>
      </c>
      <c r="H377" s="11" t="s">
        <v>1101</v>
      </c>
      <c r="I377" s="20" t="s">
        <v>1108</v>
      </c>
      <c r="J377" s="21" t="s">
        <v>1109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144</v>
      </c>
      <c r="C378" s="317"/>
      <c r="D378" s="11">
        <v>50000000</v>
      </c>
      <c r="E378" s="40"/>
      <c r="F378" s="281">
        <f t="shared" si="22"/>
        <v>0</v>
      </c>
      <c r="G378" s="11">
        <v>4160000</v>
      </c>
      <c r="H378" s="11" t="s">
        <v>1249</v>
      </c>
      <c r="I378" s="20" t="s">
        <v>1262</v>
      </c>
      <c r="J378" s="282" t="s">
        <v>1263</v>
      </c>
      <c r="K378" s="11">
        <f t="shared" si="23"/>
        <v>4160000</v>
      </c>
      <c r="L378" s="281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145</v>
      </c>
      <c r="C379" s="317" t="s">
        <v>1134</v>
      </c>
      <c r="D379" s="11">
        <v>38000000</v>
      </c>
      <c r="E379" s="17">
        <v>5.1999999999999998E-2</v>
      </c>
      <c r="F379" s="11">
        <v>2000000</v>
      </c>
      <c r="G379" s="11">
        <v>2000000</v>
      </c>
      <c r="H379" s="11" t="s">
        <v>904</v>
      </c>
      <c r="I379" s="20" t="s">
        <v>980</v>
      </c>
      <c r="J379" s="21" t="s">
        <v>981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4459">
        <v>299</v>
      </c>
      <c r="B380" s="4474" t="s">
        <v>825</v>
      </c>
      <c r="C380" s="4537"/>
      <c r="D380" s="4547">
        <v>200000000</v>
      </c>
      <c r="E380" s="4580" t="s">
        <v>857</v>
      </c>
      <c r="F380" s="4581"/>
      <c r="G380" s="11">
        <v>20000000</v>
      </c>
      <c r="H380" s="11" t="s">
        <v>379</v>
      </c>
      <c r="I380" s="32" t="s">
        <v>418</v>
      </c>
      <c r="J380" s="21" t="s">
        <v>419</v>
      </c>
      <c r="K380" s="4413">
        <f>G380+G381+G382+G383+G384</f>
        <v>200000000</v>
      </c>
      <c r="L380" s="4547">
        <f>D380-K380</f>
        <v>0</v>
      </c>
      <c r="M380" s="4406"/>
    </row>
    <row r="381" spans="1:13" ht="30" customHeight="1" x14ac:dyDescent="0.2">
      <c r="A381" s="4464"/>
      <c r="B381" s="4487"/>
      <c r="C381" s="4540"/>
      <c r="D381" s="4548"/>
      <c r="E381" s="4582"/>
      <c r="F381" s="4583"/>
      <c r="G381" s="70">
        <v>50000000</v>
      </c>
      <c r="H381" s="70" t="s">
        <v>544</v>
      </c>
      <c r="I381" s="32" t="s">
        <v>566</v>
      </c>
      <c r="J381" s="21" t="s">
        <v>567</v>
      </c>
      <c r="K381" s="4414"/>
      <c r="L381" s="4548"/>
      <c r="M381" s="4562"/>
    </row>
    <row r="382" spans="1:13" ht="30" customHeight="1" x14ac:dyDescent="0.2">
      <c r="A382" s="4464"/>
      <c r="B382" s="4487"/>
      <c r="C382" s="4540"/>
      <c r="D382" s="4548"/>
      <c r="E382" s="4582"/>
      <c r="F382" s="4583"/>
      <c r="G382" s="89">
        <v>50000000</v>
      </c>
      <c r="H382" s="89" t="s">
        <v>544</v>
      </c>
      <c r="I382" s="32" t="s">
        <v>648</v>
      </c>
      <c r="J382" s="21" t="s">
        <v>567</v>
      </c>
      <c r="K382" s="4414"/>
      <c r="L382" s="4548"/>
      <c r="M382" s="4562"/>
    </row>
    <row r="383" spans="1:13" ht="30" customHeight="1" x14ac:dyDescent="0.2">
      <c r="A383" s="4464"/>
      <c r="B383" s="4487"/>
      <c r="C383" s="4540"/>
      <c r="D383" s="4548"/>
      <c r="E383" s="4582"/>
      <c r="F383" s="4583"/>
      <c r="G383" s="122">
        <v>50000000</v>
      </c>
      <c r="H383" s="122" t="s">
        <v>813</v>
      </c>
      <c r="I383" s="131" t="s">
        <v>826</v>
      </c>
      <c r="J383" s="21" t="s">
        <v>827</v>
      </c>
      <c r="K383" s="4414"/>
      <c r="L383" s="4548"/>
      <c r="M383" s="4562"/>
    </row>
    <row r="384" spans="1:13" ht="30" customHeight="1" x14ac:dyDescent="0.2">
      <c r="A384" s="4460"/>
      <c r="B384" s="4475"/>
      <c r="C384" s="4538"/>
      <c r="D384" s="4549"/>
      <c r="E384" s="4584"/>
      <c r="F384" s="4585"/>
      <c r="G384" s="128">
        <v>30000000</v>
      </c>
      <c r="H384" s="128" t="s">
        <v>813</v>
      </c>
      <c r="I384" s="32" t="s">
        <v>856</v>
      </c>
      <c r="J384" s="32" t="s">
        <v>855</v>
      </c>
      <c r="K384" s="4415"/>
      <c r="L384" s="4549"/>
      <c r="M384" s="4407"/>
    </row>
    <row r="385" spans="1:13" ht="30" customHeight="1" x14ac:dyDescent="0.2">
      <c r="A385" s="4">
        <v>300</v>
      </c>
      <c r="B385" s="3" t="s">
        <v>146</v>
      </c>
      <c r="C385" s="317"/>
      <c r="D385" s="11">
        <v>10000000</v>
      </c>
      <c r="E385" s="17">
        <v>0.05</v>
      </c>
      <c r="F385" s="11">
        <f t="shared" si="22"/>
        <v>500000</v>
      </c>
      <c r="G385" s="11">
        <v>500000</v>
      </c>
      <c r="H385" s="11" t="s">
        <v>904</v>
      </c>
      <c r="I385" s="20" t="s">
        <v>976</v>
      </c>
      <c r="J385" s="21" t="s">
        <v>977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4459">
        <v>301</v>
      </c>
      <c r="B386" s="4474" t="s">
        <v>147</v>
      </c>
      <c r="C386" s="4537" t="s">
        <v>890</v>
      </c>
      <c r="D386" s="4413">
        <v>178000000</v>
      </c>
      <c r="E386" s="4476">
        <v>5.8999999999999997E-2</v>
      </c>
      <c r="F386" s="4413">
        <v>10500000</v>
      </c>
      <c r="G386" s="11">
        <v>10000000</v>
      </c>
      <c r="H386" s="11" t="s">
        <v>813</v>
      </c>
      <c r="I386" s="20" t="s">
        <v>841</v>
      </c>
      <c r="J386" s="21" t="s">
        <v>842</v>
      </c>
      <c r="K386" s="4413">
        <f>G386+G387</f>
        <v>10500000</v>
      </c>
      <c r="L386" s="4506">
        <f>F386-K386</f>
        <v>0</v>
      </c>
      <c r="M386" s="3"/>
    </row>
    <row r="387" spans="1:13" ht="30" customHeight="1" x14ac:dyDescent="0.2">
      <c r="A387" s="4460"/>
      <c r="B387" s="4475"/>
      <c r="C387" s="4538"/>
      <c r="D387" s="4415"/>
      <c r="E387" s="4477"/>
      <c r="F387" s="4415"/>
      <c r="G387" s="122">
        <v>500000</v>
      </c>
      <c r="H387" s="122" t="s">
        <v>984</v>
      </c>
      <c r="I387" s="125" t="s">
        <v>994</v>
      </c>
      <c r="J387" s="21" t="s">
        <v>842</v>
      </c>
      <c r="K387" s="4415"/>
      <c r="L387" s="4508"/>
      <c r="M387" s="3"/>
    </row>
    <row r="388" spans="1:13" ht="30" customHeight="1" x14ac:dyDescent="0.2">
      <c r="A388" s="4">
        <v>302</v>
      </c>
      <c r="B388" s="3" t="s">
        <v>148</v>
      </c>
      <c r="C388" s="317"/>
      <c r="D388" s="99">
        <v>10000000</v>
      </c>
      <c r="E388" s="17">
        <v>0.04</v>
      </c>
      <c r="F388" s="99">
        <f>D388*E388</f>
        <v>400000</v>
      </c>
      <c r="G388" s="11">
        <v>800000</v>
      </c>
      <c r="H388" s="11" t="s">
        <v>708</v>
      </c>
      <c r="I388" s="20" t="s">
        <v>722</v>
      </c>
      <c r="J388" s="21" t="s">
        <v>723</v>
      </c>
      <c r="K388" s="11">
        <f t="shared" si="23"/>
        <v>800000</v>
      </c>
      <c r="L388" s="11">
        <f t="shared" si="24"/>
        <v>-400000</v>
      </c>
      <c r="M388" s="77" t="s">
        <v>651</v>
      </c>
    </row>
    <row r="389" spans="1:13" ht="30" customHeight="1" x14ac:dyDescent="0.2">
      <c r="A389" s="4">
        <v>303</v>
      </c>
      <c r="B389" s="3" t="s">
        <v>149</v>
      </c>
      <c r="C389" s="317"/>
      <c r="D389" s="11">
        <v>60000000</v>
      </c>
      <c r="E389" s="17">
        <v>4.4999999999999998E-2</v>
      </c>
      <c r="F389" s="11">
        <f t="shared" si="22"/>
        <v>2700000</v>
      </c>
      <c r="G389" s="11">
        <v>2700000</v>
      </c>
      <c r="H389" s="11" t="s">
        <v>1101</v>
      </c>
      <c r="I389" s="20" t="s">
        <v>1130</v>
      </c>
      <c r="J389" s="21" t="s">
        <v>1131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4459">
        <v>304</v>
      </c>
      <c r="B390" s="4474" t="s">
        <v>150</v>
      </c>
      <c r="C390" s="4537"/>
      <c r="D390" s="4506"/>
      <c r="E390" s="4512"/>
      <c r="F390" s="4506">
        <f t="shared" si="22"/>
        <v>0</v>
      </c>
      <c r="G390" s="11">
        <v>50000000</v>
      </c>
      <c r="H390" s="11" t="s">
        <v>1002</v>
      </c>
      <c r="I390" s="32" t="s">
        <v>1083</v>
      </c>
      <c r="J390" s="21" t="s">
        <v>1084</v>
      </c>
      <c r="K390" s="11">
        <f t="shared" si="23"/>
        <v>50000000</v>
      </c>
      <c r="L390" s="4506">
        <f t="shared" si="24"/>
        <v>-50000000</v>
      </c>
      <c r="M390" s="3"/>
    </row>
    <row r="391" spans="1:13" ht="30" customHeight="1" x14ac:dyDescent="0.2">
      <c r="A391" s="4460"/>
      <c r="B391" s="4475"/>
      <c r="C391" s="4538"/>
      <c r="D391" s="4508"/>
      <c r="E391" s="4514"/>
      <c r="F391" s="4508"/>
      <c r="G391" s="236">
        <v>25000000</v>
      </c>
      <c r="H391" s="236" t="s">
        <v>1139</v>
      </c>
      <c r="I391" s="32" t="s">
        <v>1140</v>
      </c>
      <c r="J391" s="21" t="s">
        <v>1141</v>
      </c>
      <c r="K391" s="236">
        <f t="shared" si="23"/>
        <v>25000000</v>
      </c>
      <c r="L391" s="4508"/>
      <c r="M391" s="3"/>
    </row>
    <row r="392" spans="1:13" ht="30" customHeight="1" x14ac:dyDescent="0.2">
      <c r="A392" s="4459">
        <v>305</v>
      </c>
      <c r="B392" s="4457" t="s">
        <v>151</v>
      </c>
      <c r="C392" s="4537"/>
      <c r="D392" s="11">
        <v>10000000</v>
      </c>
      <c r="E392" s="17">
        <v>0.06</v>
      </c>
      <c r="F392" s="11">
        <f t="shared" si="22"/>
        <v>600000</v>
      </c>
      <c r="G392" s="11">
        <v>600000</v>
      </c>
      <c r="H392" s="11" t="s">
        <v>265</v>
      </c>
      <c r="I392" s="23">
        <v>121083218622</v>
      </c>
      <c r="J392" s="21" t="s">
        <v>1092</v>
      </c>
      <c r="K392" s="11">
        <f t="shared" si="23"/>
        <v>600000</v>
      </c>
      <c r="L392" s="11">
        <f t="shared" si="24"/>
        <v>0</v>
      </c>
      <c r="M392" s="97" t="s">
        <v>1095</v>
      </c>
    </row>
    <row r="393" spans="1:13" ht="30" customHeight="1" x14ac:dyDescent="0.2">
      <c r="A393" s="4460"/>
      <c r="B393" s="4458"/>
      <c r="C393" s="4538"/>
      <c r="D393" s="219">
        <v>10000000</v>
      </c>
      <c r="E393" s="17">
        <v>0.06</v>
      </c>
      <c r="F393" s="219">
        <f t="shared" si="22"/>
        <v>600000</v>
      </c>
      <c r="G393" s="219">
        <v>600000</v>
      </c>
      <c r="H393" s="219" t="s">
        <v>1002</v>
      </c>
      <c r="I393" s="225">
        <v>178284</v>
      </c>
      <c r="J393" s="21" t="s">
        <v>1092</v>
      </c>
      <c r="K393" s="219">
        <f t="shared" si="23"/>
        <v>600000</v>
      </c>
      <c r="L393" s="219">
        <f>F393-K393</f>
        <v>0</v>
      </c>
      <c r="M393" s="41"/>
    </row>
    <row r="394" spans="1:13" ht="30" customHeight="1" x14ac:dyDescent="0.2">
      <c r="A394" s="4459">
        <v>306</v>
      </c>
      <c r="B394" s="4474" t="s">
        <v>152</v>
      </c>
      <c r="C394" s="4537"/>
      <c r="D394" s="4413">
        <v>650000000</v>
      </c>
      <c r="E394" s="4541">
        <f>F394/D394</f>
        <v>5.7692307692307696E-2</v>
      </c>
      <c r="F394" s="4322">
        <v>37500000</v>
      </c>
      <c r="G394" s="11">
        <v>10000000</v>
      </c>
      <c r="H394" s="11" t="s">
        <v>423</v>
      </c>
      <c r="I394" s="292" t="s">
        <v>437</v>
      </c>
      <c r="J394" s="21" t="s">
        <v>438</v>
      </c>
      <c r="K394" s="4413">
        <f>G394+G395</f>
        <v>36000000</v>
      </c>
      <c r="L394" s="4413">
        <f t="shared" si="24"/>
        <v>1500000</v>
      </c>
      <c r="M394" s="4459"/>
    </row>
    <row r="395" spans="1:13" ht="30" customHeight="1" x14ac:dyDescent="0.2">
      <c r="A395" s="4460"/>
      <c r="B395" s="4475"/>
      <c r="C395" s="4538"/>
      <c r="D395" s="4415"/>
      <c r="E395" s="4543"/>
      <c r="F395" s="4322"/>
      <c r="G395" s="303">
        <v>26000000</v>
      </c>
      <c r="H395" s="303" t="s">
        <v>1266</v>
      </c>
      <c r="I395" s="309" t="s">
        <v>1279</v>
      </c>
      <c r="J395" s="21" t="s">
        <v>438</v>
      </c>
      <c r="K395" s="4415"/>
      <c r="L395" s="4415"/>
      <c r="M395" s="4460"/>
    </row>
    <row r="396" spans="1:13" ht="30" customHeight="1" x14ac:dyDescent="0.2">
      <c r="A396" s="4459">
        <v>307</v>
      </c>
      <c r="B396" s="4474" t="s">
        <v>153</v>
      </c>
      <c r="C396" s="4537"/>
      <c r="D396" s="4413">
        <v>70000000</v>
      </c>
      <c r="E396" s="4325" t="s">
        <v>652</v>
      </c>
      <c r="F396" s="4563"/>
      <c r="G396" s="11">
        <v>40000000</v>
      </c>
      <c r="H396" s="11" t="s">
        <v>1266</v>
      </c>
      <c r="I396" s="292" t="s">
        <v>1272</v>
      </c>
      <c r="J396" s="291" t="s">
        <v>1271</v>
      </c>
      <c r="K396" s="4413">
        <f>G396+G397</f>
        <v>40000000</v>
      </c>
      <c r="L396" s="4413">
        <f>D396-K396</f>
        <v>30000000</v>
      </c>
      <c r="M396" s="3"/>
    </row>
    <row r="397" spans="1:13" ht="30" customHeight="1" x14ac:dyDescent="0.2">
      <c r="A397" s="4460"/>
      <c r="B397" s="4475"/>
      <c r="C397" s="4538"/>
      <c r="D397" s="4415"/>
      <c r="E397" s="4564"/>
      <c r="F397" s="4565"/>
      <c r="G397" s="290"/>
      <c r="H397" s="290"/>
      <c r="I397" s="291"/>
      <c r="J397" s="21"/>
      <c r="K397" s="4415"/>
      <c r="L397" s="4415"/>
      <c r="M397" s="3"/>
    </row>
    <row r="398" spans="1:13" ht="30" customHeight="1" x14ac:dyDescent="0.2">
      <c r="A398" s="4459">
        <v>308</v>
      </c>
      <c r="B398" s="4474" t="s">
        <v>154</v>
      </c>
      <c r="C398" s="4537"/>
      <c r="D398" s="11">
        <v>100000000</v>
      </c>
      <c r="E398" s="17">
        <v>0.04</v>
      </c>
      <c r="F398" s="11">
        <f t="shared" si="22"/>
        <v>4000000</v>
      </c>
      <c r="G398" s="11">
        <v>4000000</v>
      </c>
      <c r="H398" s="11" t="s">
        <v>734</v>
      </c>
      <c r="I398" s="20" t="s">
        <v>804</v>
      </c>
      <c r="J398" s="21" t="s">
        <v>805</v>
      </c>
      <c r="K398" s="4413">
        <f>G398+G399:G399</f>
        <v>11000000</v>
      </c>
      <c r="L398" s="4413">
        <f>(G398+G399)-K398</f>
        <v>0</v>
      </c>
      <c r="M398" s="4459"/>
    </row>
    <row r="399" spans="1:13" ht="30" customHeight="1" x14ac:dyDescent="0.2">
      <c r="A399" s="4460"/>
      <c r="B399" s="4475"/>
      <c r="C399" s="4538"/>
      <c r="D399" s="757">
        <v>120000000</v>
      </c>
      <c r="E399" s="755">
        <v>0.06</v>
      </c>
      <c r="F399" s="757">
        <v>7000000</v>
      </c>
      <c r="G399" s="758">
        <v>7000000</v>
      </c>
      <c r="H399" s="758" t="s">
        <v>1216</v>
      </c>
      <c r="I399" s="4522" t="s">
        <v>2276</v>
      </c>
      <c r="J399" s="4523"/>
      <c r="K399" s="4415"/>
      <c r="L399" s="4415"/>
      <c r="M399" s="4460"/>
    </row>
    <row r="400" spans="1:13" ht="30" customHeight="1" x14ac:dyDescent="0.2">
      <c r="A400" s="4459">
        <v>309</v>
      </c>
      <c r="B400" s="4474" t="s">
        <v>155</v>
      </c>
      <c r="C400" s="4537"/>
      <c r="D400" s="4413">
        <v>300000000</v>
      </c>
      <c r="E400" s="4476">
        <v>0.05</v>
      </c>
      <c r="F400" s="4413">
        <f t="shared" si="22"/>
        <v>15000000</v>
      </c>
      <c r="G400" s="11">
        <v>3000000</v>
      </c>
      <c r="H400" s="11" t="s">
        <v>379</v>
      </c>
      <c r="I400" s="20" t="s">
        <v>405</v>
      </c>
      <c r="J400" s="18" t="s">
        <v>406</v>
      </c>
      <c r="K400" s="4413">
        <f>G400+G401</f>
        <v>3000000</v>
      </c>
      <c r="L400" s="4506">
        <f t="shared" si="24"/>
        <v>12000000</v>
      </c>
      <c r="M400" s="3"/>
    </row>
    <row r="401" spans="1:13" ht="30" customHeight="1" x14ac:dyDescent="0.2">
      <c r="A401" s="4460"/>
      <c r="B401" s="4475"/>
      <c r="C401" s="4538"/>
      <c r="D401" s="4415"/>
      <c r="E401" s="4477"/>
      <c r="F401" s="4415"/>
      <c r="G401" s="25"/>
      <c r="H401" s="25"/>
      <c r="I401" s="55"/>
      <c r="J401" s="56"/>
      <c r="K401" s="4415"/>
      <c r="L401" s="4508"/>
      <c r="M401" s="3"/>
    </row>
    <row r="402" spans="1:13" ht="30" customHeight="1" x14ac:dyDescent="0.2">
      <c r="A402" s="4">
        <v>310</v>
      </c>
      <c r="B402" s="3" t="s">
        <v>157</v>
      </c>
      <c r="C402" s="317"/>
      <c r="D402" s="25"/>
      <c r="E402" s="40"/>
      <c r="F402" s="25">
        <f t="shared" si="22"/>
        <v>0</v>
      </c>
      <c r="G402" s="11">
        <v>5000000</v>
      </c>
      <c r="H402" s="11" t="s">
        <v>323</v>
      </c>
      <c r="I402" s="32" t="s">
        <v>364</v>
      </c>
      <c r="J402" s="21" t="s">
        <v>365</v>
      </c>
      <c r="K402" s="11">
        <f t="shared" si="23"/>
        <v>5000000</v>
      </c>
      <c r="L402" s="25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158</v>
      </c>
      <c r="C403" s="317"/>
      <c r="D403" s="11">
        <v>52000000</v>
      </c>
      <c r="E403" s="17">
        <v>0.05</v>
      </c>
      <c r="F403" s="11">
        <f t="shared" si="22"/>
        <v>2600000</v>
      </c>
      <c r="G403" s="11">
        <v>2750000</v>
      </c>
      <c r="H403" s="11">
        <v>2750000</v>
      </c>
      <c r="I403" s="28" t="s">
        <v>383</v>
      </c>
      <c r="J403" s="28" t="s">
        <v>382</v>
      </c>
      <c r="K403" s="11">
        <f t="shared" si="23"/>
        <v>2750000</v>
      </c>
      <c r="L403" s="25">
        <f t="shared" si="24"/>
        <v>-150000</v>
      </c>
      <c r="M403" s="51" t="s">
        <v>384</v>
      </c>
    </row>
    <row r="404" spans="1:13" ht="30" customHeight="1" x14ac:dyDescent="0.2">
      <c r="A404" s="4">
        <v>312</v>
      </c>
      <c r="B404" s="3" t="s">
        <v>159</v>
      </c>
      <c r="C404" s="317"/>
      <c r="D404" s="102"/>
      <c r="E404" s="40"/>
      <c r="F404" s="102">
        <f t="shared" si="22"/>
        <v>0</v>
      </c>
      <c r="G404" s="11">
        <v>2000000</v>
      </c>
      <c r="H404" s="11" t="s">
        <v>660</v>
      </c>
      <c r="I404" s="20" t="s">
        <v>705</v>
      </c>
      <c r="J404" s="21" t="s">
        <v>706</v>
      </c>
      <c r="K404" s="11">
        <f t="shared" si="23"/>
        <v>2000000</v>
      </c>
      <c r="L404" s="102">
        <f t="shared" si="24"/>
        <v>-2000000</v>
      </c>
      <c r="M404" s="3"/>
    </row>
    <row r="405" spans="1:13" ht="30" customHeight="1" x14ac:dyDescent="0.2">
      <c r="A405" s="4459">
        <v>313</v>
      </c>
      <c r="B405" s="4474" t="s">
        <v>161</v>
      </c>
      <c r="C405" s="4537"/>
      <c r="D405" s="11">
        <v>152000000</v>
      </c>
      <c r="E405" s="17">
        <v>0.05</v>
      </c>
      <c r="F405" s="11">
        <f>D405*E405</f>
        <v>7600000</v>
      </c>
      <c r="G405" s="11">
        <v>7600000</v>
      </c>
      <c r="H405" s="11" t="s">
        <v>265</v>
      </c>
      <c r="I405" s="20" t="s">
        <v>321</v>
      </c>
      <c r="J405" s="21" t="s">
        <v>322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4460"/>
      <c r="B406" s="4475"/>
      <c r="C406" s="4538"/>
      <c r="D406" s="4303" t="s">
        <v>1281</v>
      </c>
      <c r="E406" s="4324"/>
      <c r="F406" s="4355"/>
      <c r="G406" s="303">
        <v>15000000</v>
      </c>
      <c r="H406" s="303" t="s">
        <v>1266</v>
      </c>
      <c r="I406" s="309" t="s">
        <v>1282</v>
      </c>
      <c r="J406" s="21" t="s">
        <v>466</v>
      </c>
      <c r="K406" s="303">
        <f>G406</f>
        <v>15000000</v>
      </c>
      <c r="L406" s="303"/>
      <c r="M406" s="3"/>
    </row>
    <row r="407" spans="1:13" ht="30" customHeight="1" x14ac:dyDescent="0.2">
      <c r="A407" s="4">
        <v>314</v>
      </c>
      <c r="B407" s="3" t="s">
        <v>162</v>
      </c>
      <c r="C407" s="317"/>
      <c r="D407" s="11">
        <v>20000000</v>
      </c>
      <c r="E407" s="17">
        <v>0.04</v>
      </c>
      <c r="F407" s="11">
        <f t="shared" si="22"/>
        <v>800000</v>
      </c>
      <c r="G407" s="11">
        <v>1600000</v>
      </c>
      <c r="H407" s="11" t="s">
        <v>708</v>
      </c>
      <c r="I407" s="20" t="s">
        <v>726</v>
      </c>
      <c r="J407" s="21" t="s">
        <v>727</v>
      </c>
      <c r="K407" s="11">
        <f t="shared" si="23"/>
        <v>1600000</v>
      </c>
      <c r="L407" s="11">
        <f t="shared" si="24"/>
        <v>-800000</v>
      </c>
      <c r="M407" s="77" t="s">
        <v>728</v>
      </c>
    </row>
    <row r="408" spans="1:13" ht="30" customHeight="1" x14ac:dyDescent="0.2">
      <c r="A408" s="4">
        <v>315</v>
      </c>
      <c r="B408" s="3" t="s">
        <v>163</v>
      </c>
      <c r="C408" s="317"/>
      <c r="D408" s="49"/>
      <c r="E408" s="40"/>
      <c r="F408" s="49">
        <f t="shared" si="22"/>
        <v>0</v>
      </c>
      <c r="G408" s="11">
        <v>22700000</v>
      </c>
      <c r="H408" s="11" t="s">
        <v>443</v>
      </c>
      <c r="I408" s="20" t="s">
        <v>444</v>
      </c>
      <c r="J408" s="21" t="s">
        <v>445</v>
      </c>
      <c r="K408" s="11">
        <f t="shared" si="23"/>
        <v>22700000</v>
      </c>
      <c r="L408" s="49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164</v>
      </c>
      <c r="C409" s="317"/>
      <c r="D409" s="11">
        <v>35000000</v>
      </c>
      <c r="E409" s="17">
        <v>0.04</v>
      </c>
      <c r="F409" s="11">
        <f>D409*E409</f>
        <v>1400000</v>
      </c>
      <c r="G409" s="11">
        <v>1400000</v>
      </c>
      <c r="H409" s="11" t="s">
        <v>289</v>
      </c>
      <c r="I409" s="20" t="s">
        <v>290</v>
      </c>
      <c r="J409" s="18" t="s">
        <v>288</v>
      </c>
      <c r="K409" s="11">
        <f t="shared" si="23"/>
        <v>1400000</v>
      </c>
      <c r="L409" s="1151">
        <f t="shared" si="24"/>
        <v>0</v>
      </c>
      <c r="M409" s="3"/>
    </row>
    <row r="410" spans="1:13" ht="28.5" customHeight="1" x14ac:dyDescent="0.2">
      <c r="A410" s="4">
        <v>317</v>
      </c>
      <c r="B410" s="3" t="s">
        <v>165</v>
      </c>
      <c r="C410" s="317"/>
      <c r="D410" s="59"/>
      <c r="E410" s="40"/>
      <c r="F410" s="59">
        <f t="shared" si="22"/>
        <v>0</v>
      </c>
      <c r="G410" s="11">
        <v>13500000</v>
      </c>
      <c r="H410" s="11" t="s">
        <v>443</v>
      </c>
      <c r="I410" s="32" t="s">
        <v>465</v>
      </c>
      <c r="J410" s="21" t="s">
        <v>466</v>
      </c>
      <c r="K410" s="11">
        <f t="shared" si="23"/>
        <v>13500000</v>
      </c>
      <c r="L410" s="59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167</v>
      </c>
      <c r="C411" s="317"/>
      <c r="D411" s="25"/>
      <c r="E411" s="40"/>
      <c r="F411" s="25">
        <f t="shared" ref="F411:F416" si="25">D411*E411</f>
        <v>0</v>
      </c>
      <c r="G411" s="11">
        <v>4000000</v>
      </c>
      <c r="H411" s="11" t="s">
        <v>323</v>
      </c>
      <c r="I411" s="20" t="s">
        <v>366</v>
      </c>
      <c r="J411" s="18" t="s">
        <v>367</v>
      </c>
      <c r="K411" s="11">
        <f t="shared" ref="K411:K416" si="26">G411</f>
        <v>4000000</v>
      </c>
      <c r="L411" s="25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4474" t="s">
        <v>168</v>
      </c>
      <c r="C412" s="4537" t="s">
        <v>1287</v>
      </c>
      <c r="D412" s="4413">
        <v>200000000</v>
      </c>
      <c r="E412" s="4476">
        <v>5.5E-2</v>
      </c>
      <c r="F412" s="4413">
        <f t="shared" si="25"/>
        <v>11000000</v>
      </c>
      <c r="G412" s="137">
        <v>11000000</v>
      </c>
      <c r="H412" s="137" t="s">
        <v>674</v>
      </c>
      <c r="I412" s="224" t="s">
        <v>675</v>
      </c>
      <c r="J412" s="21" t="s">
        <v>676</v>
      </c>
      <c r="K412" s="137">
        <f t="shared" si="26"/>
        <v>11000000</v>
      </c>
      <c r="L412" s="137">
        <f t="shared" si="27"/>
        <v>0</v>
      </c>
      <c r="M412" s="3"/>
    </row>
    <row r="413" spans="1:13" ht="30" customHeight="1" x14ac:dyDescent="0.2">
      <c r="A413" s="4"/>
      <c r="B413" s="4475"/>
      <c r="C413" s="4538"/>
      <c r="D413" s="4415"/>
      <c r="E413" s="4477"/>
      <c r="F413" s="4415"/>
      <c r="G413" s="417">
        <v>10000000</v>
      </c>
      <c r="H413" s="417" t="s">
        <v>904</v>
      </c>
      <c r="I413" s="429" t="s">
        <v>911</v>
      </c>
      <c r="J413" s="21" t="s">
        <v>676</v>
      </c>
      <c r="K413" s="417">
        <f>G413</f>
        <v>10000000</v>
      </c>
      <c r="L413" s="417"/>
      <c r="M413" s="77" t="s">
        <v>1519</v>
      </c>
    </row>
    <row r="414" spans="1:13" ht="30" customHeight="1" x14ac:dyDescent="0.2">
      <c r="A414" s="4">
        <v>320</v>
      </c>
      <c r="B414" s="3" t="s">
        <v>169</v>
      </c>
      <c r="C414" s="317"/>
      <c r="D414" s="11">
        <v>135000000</v>
      </c>
      <c r="E414" s="17">
        <v>4.8000000000000001E-2</v>
      </c>
      <c r="F414" s="70">
        <v>6500000</v>
      </c>
      <c r="G414" s="11">
        <v>6500000</v>
      </c>
      <c r="H414" s="11" t="s">
        <v>490</v>
      </c>
      <c r="I414" s="20" t="s">
        <v>542</v>
      </c>
      <c r="J414" s="21" t="s">
        <v>543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171</v>
      </c>
      <c r="C415" s="317"/>
      <c r="D415" s="219">
        <v>5000000</v>
      </c>
      <c r="E415" s="17">
        <v>0.04</v>
      </c>
      <c r="F415" s="219">
        <f t="shared" si="25"/>
        <v>200000</v>
      </c>
      <c r="G415" s="11">
        <v>200000</v>
      </c>
      <c r="H415" s="11" t="s">
        <v>1002</v>
      </c>
      <c r="I415" s="20" t="s">
        <v>1096</v>
      </c>
      <c r="J415" s="21" t="s">
        <v>1097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1379</v>
      </c>
      <c r="C416" s="317"/>
      <c r="D416" s="11">
        <v>60000000</v>
      </c>
      <c r="E416" s="17">
        <v>7.0000000000000007E-2</v>
      </c>
      <c r="F416" s="11">
        <f t="shared" si="25"/>
        <v>4200000</v>
      </c>
      <c r="G416" s="11">
        <v>4200000</v>
      </c>
      <c r="H416" s="11" t="s">
        <v>708</v>
      </c>
      <c r="I416" s="20" t="s">
        <v>716</v>
      </c>
      <c r="J416" s="21" t="s">
        <v>717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172</v>
      </c>
      <c r="C417" s="317"/>
      <c r="D417" s="11">
        <v>60000000</v>
      </c>
      <c r="E417" s="17">
        <v>4.4999999999999998E-2</v>
      </c>
      <c r="F417" s="11">
        <f t="shared" ref="F417" si="28">D417*E417</f>
        <v>2700000</v>
      </c>
      <c r="G417" s="11">
        <v>2700000</v>
      </c>
      <c r="H417" s="11" t="s">
        <v>443</v>
      </c>
      <c r="I417" s="20" t="s">
        <v>485</v>
      </c>
      <c r="J417" s="18" t="s">
        <v>486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1" t="s">
        <v>173</v>
      </c>
      <c r="C418" s="317"/>
      <c r="D418" s="11">
        <v>20000000</v>
      </c>
      <c r="E418" s="17">
        <v>0.05</v>
      </c>
      <c r="F418" s="11">
        <f>D418*E418</f>
        <v>1000000</v>
      </c>
      <c r="G418" s="11">
        <v>3000000</v>
      </c>
      <c r="H418" s="11" t="s">
        <v>265</v>
      </c>
      <c r="I418" s="23">
        <v>121086452131</v>
      </c>
      <c r="J418" s="21" t="s">
        <v>264</v>
      </c>
      <c r="K418" s="11">
        <f t="shared" si="29"/>
        <v>3000000</v>
      </c>
      <c r="L418" s="11">
        <f t="shared" si="30"/>
        <v>-2000000</v>
      </c>
      <c r="M418" s="13" t="s">
        <v>269</v>
      </c>
    </row>
    <row r="419" spans="1:13" ht="30" customHeight="1" x14ac:dyDescent="0.2">
      <c r="A419" s="4459">
        <v>325</v>
      </c>
      <c r="B419" s="4457" t="s">
        <v>270</v>
      </c>
      <c r="C419" s="4537"/>
      <c r="D419" s="34">
        <v>300000000</v>
      </c>
      <c r="E419" s="43"/>
      <c r="F419" s="34">
        <v>30750000</v>
      </c>
      <c r="G419" s="11">
        <v>40000000</v>
      </c>
      <c r="H419" s="11" t="s">
        <v>265</v>
      </c>
      <c r="I419" s="20">
        <v>4597</v>
      </c>
      <c r="J419" s="21" t="s">
        <v>267</v>
      </c>
      <c r="K419" s="4413">
        <f>G419+G420</f>
        <v>40550000</v>
      </c>
      <c r="L419" s="4413">
        <f>(F419+F420)-K419</f>
        <v>0</v>
      </c>
      <c r="M419" s="4533"/>
    </row>
    <row r="420" spans="1:13" ht="30" customHeight="1" x14ac:dyDescent="0.2">
      <c r="A420" s="4460"/>
      <c r="B420" s="4458"/>
      <c r="C420" s="4538"/>
      <c r="D420" s="34">
        <v>140000000</v>
      </c>
      <c r="E420" s="44"/>
      <c r="F420" s="34">
        <v>9800000</v>
      </c>
      <c r="G420" s="11">
        <v>550000</v>
      </c>
      <c r="H420" s="11" t="s">
        <v>265</v>
      </c>
      <c r="I420" s="20">
        <v>151736</v>
      </c>
      <c r="J420" s="21" t="s">
        <v>272</v>
      </c>
      <c r="K420" s="4415"/>
      <c r="L420" s="4415"/>
      <c r="M420" s="4534"/>
    </row>
    <row r="421" spans="1:13" ht="30" customHeight="1" x14ac:dyDescent="0.2">
      <c r="A421" s="4459">
        <v>326</v>
      </c>
      <c r="B421" s="4461" t="s">
        <v>176</v>
      </c>
      <c r="C421" s="4537"/>
      <c r="D421" s="4506"/>
      <c r="E421" s="4512"/>
      <c r="F421" s="4506">
        <v>25000000</v>
      </c>
      <c r="G421" s="102">
        <v>20000000</v>
      </c>
      <c r="H421" s="102" t="s">
        <v>490</v>
      </c>
      <c r="I421" s="111" t="s">
        <v>495</v>
      </c>
      <c r="J421" s="56" t="s">
        <v>496</v>
      </c>
      <c r="K421" s="4506">
        <f>G421+G422</f>
        <v>25000000</v>
      </c>
      <c r="L421" s="4506">
        <f>F421-K421</f>
        <v>0</v>
      </c>
      <c r="M421" s="4591" t="s">
        <v>744</v>
      </c>
    </row>
    <row r="422" spans="1:13" ht="30" customHeight="1" x14ac:dyDescent="0.2">
      <c r="A422" s="4460"/>
      <c r="B422" s="4463"/>
      <c r="C422" s="4538"/>
      <c r="D422" s="4508"/>
      <c r="E422" s="4514"/>
      <c r="F422" s="4508"/>
      <c r="G422" s="102">
        <v>5000000</v>
      </c>
      <c r="H422" s="102" t="s">
        <v>734</v>
      </c>
      <c r="I422" s="55" t="s">
        <v>735</v>
      </c>
      <c r="J422" s="56" t="s">
        <v>736</v>
      </c>
      <c r="K422" s="4508"/>
      <c r="L422" s="4508"/>
      <c r="M422" s="4592"/>
    </row>
    <row r="423" spans="1:13" ht="30" customHeight="1" x14ac:dyDescent="0.2">
      <c r="A423" s="4">
        <v>327</v>
      </c>
      <c r="B423" s="3" t="s">
        <v>1232</v>
      </c>
      <c r="C423" s="317"/>
      <c r="D423" s="11">
        <v>60000000</v>
      </c>
      <c r="E423" s="17">
        <v>0.05</v>
      </c>
      <c r="F423" s="11">
        <f t="shared" ref="F423:F426" si="31">D423*E423</f>
        <v>3000000</v>
      </c>
      <c r="G423" s="253">
        <v>6067000</v>
      </c>
      <c r="H423" s="253" t="s">
        <v>1216</v>
      </c>
      <c r="I423" s="260" t="s">
        <v>1230</v>
      </c>
      <c r="J423" s="21" t="s">
        <v>1231</v>
      </c>
      <c r="K423" s="11">
        <f t="shared" ref="K423" si="32">G423</f>
        <v>6067000</v>
      </c>
      <c r="L423" s="253">
        <f t="shared" ref="L423:L426" si="33">F423-K423</f>
        <v>-3067000</v>
      </c>
      <c r="M423" s="77" t="s">
        <v>1233</v>
      </c>
    </row>
    <row r="424" spans="1:13" ht="30" customHeight="1" x14ac:dyDescent="0.2">
      <c r="A424" s="4459">
        <v>328</v>
      </c>
      <c r="B424" s="4474" t="s">
        <v>2675</v>
      </c>
      <c r="C424" s="4537" t="s">
        <v>942</v>
      </c>
      <c r="D424" s="253">
        <v>670000000</v>
      </c>
      <c r="E424" s="17">
        <v>5.5E-2</v>
      </c>
      <c r="F424" s="253">
        <f>D424*E424</f>
        <v>36850000</v>
      </c>
      <c r="G424" s="4469" t="s">
        <v>4666</v>
      </c>
      <c r="H424" s="4470"/>
      <c r="I424" s="4470"/>
      <c r="J424" s="4470"/>
      <c r="K424" s="4471"/>
      <c r="L424" s="253"/>
      <c r="M424" s="77"/>
    </row>
    <row r="425" spans="1:13" ht="30" customHeight="1" x14ac:dyDescent="0.2">
      <c r="A425" s="4460"/>
      <c r="B425" s="4475"/>
      <c r="C425" s="4538"/>
      <c r="D425" s="2655">
        <v>685000000</v>
      </c>
      <c r="E425" s="2652">
        <v>0.06</v>
      </c>
      <c r="F425" s="2655">
        <f>D425*E425</f>
        <v>41100000</v>
      </c>
      <c r="G425" s="4469" t="s">
        <v>4667</v>
      </c>
      <c r="H425" s="4470"/>
      <c r="I425" s="4470"/>
      <c r="J425" s="4470"/>
      <c r="K425" s="4471"/>
      <c r="L425" s="2634"/>
      <c r="M425" s="2637"/>
    </row>
    <row r="426" spans="1:13" ht="30" customHeight="1" x14ac:dyDescent="0.2">
      <c r="A426" s="4459">
        <v>329</v>
      </c>
      <c r="B426" s="4474" t="s">
        <v>181</v>
      </c>
      <c r="C426" s="4537"/>
      <c r="D426" s="4506"/>
      <c r="E426" s="4512"/>
      <c r="F426" s="4506">
        <f t="shared" si="31"/>
        <v>0</v>
      </c>
      <c r="G426" s="11">
        <v>20000000</v>
      </c>
      <c r="H426" s="11" t="s">
        <v>573</v>
      </c>
      <c r="I426" s="20" t="s">
        <v>595</v>
      </c>
      <c r="J426" s="21" t="s">
        <v>596</v>
      </c>
      <c r="K426" s="4413">
        <f>G426+G427</f>
        <v>32000000</v>
      </c>
      <c r="L426" s="4506">
        <f t="shared" si="33"/>
        <v>-32000000</v>
      </c>
      <c r="M426" s="4459"/>
    </row>
    <row r="427" spans="1:13" ht="30" customHeight="1" x14ac:dyDescent="0.2">
      <c r="A427" s="4460"/>
      <c r="B427" s="4475"/>
      <c r="C427" s="4538"/>
      <c r="D427" s="4508"/>
      <c r="E427" s="4514"/>
      <c r="F427" s="4508"/>
      <c r="G427" s="92">
        <v>12000000</v>
      </c>
      <c r="H427" s="92" t="s">
        <v>660</v>
      </c>
      <c r="I427" s="20" t="s">
        <v>667</v>
      </c>
      <c r="J427" s="21" t="s">
        <v>668</v>
      </c>
      <c r="K427" s="4415"/>
      <c r="L427" s="4508"/>
      <c r="M427" s="4460"/>
    </row>
    <row r="428" spans="1:13" ht="30" customHeight="1" x14ac:dyDescent="0.2">
      <c r="A428" s="4">
        <v>330</v>
      </c>
      <c r="B428" s="3" t="s">
        <v>1170</v>
      </c>
      <c r="C428" s="317" t="s">
        <v>1138</v>
      </c>
      <c r="D428" s="236">
        <v>35000000</v>
      </c>
      <c r="E428" s="17">
        <v>4.2999999999999997E-2</v>
      </c>
      <c r="F428" s="236">
        <v>1500000</v>
      </c>
      <c r="G428" s="236"/>
      <c r="H428" s="236"/>
      <c r="I428" s="240"/>
      <c r="J428" s="21"/>
      <c r="K428" s="236"/>
      <c r="L428" s="236"/>
      <c r="M428" s="3"/>
    </row>
    <row r="429" spans="1:13" ht="30" customHeight="1" x14ac:dyDescent="0.2">
      <c r="A429" s="4">
        <v>331</v>
      </c>
      <c r="B429" s="3" t="s">
        <v>339</v>
      </c>
      <c r="C429" s="317"/>
      <c r="D429" s="30">
        <v>150000000</v>
      </c>
      <c r="E429" s="17">
        <v>0.05</v>
      </c>
      <c r="F429" s="30">
        <v>7500000</v>
      </c>
      <c r="G429" s="30"/>
      <c r="H429" s="30"/>
      <c r="I429" s="20"/>
      <c r="J429" s="21"/>
      <c r="K429" s="30"/>
      <c r="L429" s="30"/>
      <c r="M429" s="3"/>
    </row>
    <row r="430" spans="1:13" ht="30" customHeight="1" x14ac:dyDescent="0.2">
      <c r="A430" s="4">
        <v>332</v>
      </c>
      <c r="B430" s="3" t="s">
        <v>370</v>
      </c>
      <c r="C430" s="317" t="s">
        <v>371</v>
      </c>
      <c r="D430" s="36">
        <v>30000000</v>
      </c>
      <c r="E430" s="17">
        <v>0.05</v>
      </c>
      <c r="F430" s="36">
        <f>D430*E430</f>
        <v>1500000</v>
      </c>
      <c r="G430" s="36"/>
      <c r="H430" s="36"/>
      <c r="I430" s="20"/>
      <c r="J430" s="21"/>
      <c r="K430" s="36"/>
      <c r="L430" s="36"/>
      <c r="M430" s="3"/>
    </row>
    <row r="431" spans="1:13" ht="30" customHeight="1" x14ac:dyDescent="0.2">
      <c r="A431" s="4459">
        <v>333</v>
      </c>
      <c r="B431" s="4474" t="s">
        <v>888</v>
      </c>
      <c r="C431" s="317" t="s">
        <v>889</v>
      </c>
      <c r="D431" s="128">
        <v>320000000</v>
      </c>
      <c r="E431" s="17">
        <v>0.05</v>
      </c>
      <c r="F431" s="261">
        <f>D431*E431</f>
        <v>16000000</v>
      </c>
      <c r="G431" s="128"/>
      <c r="H431" s="128"/>
      <c r="I431" s="135"/>
      <c r="J431" s="21"/>
      <c r="K431" s="128"/>
      <c r="L431" s="128"/>
      <c r="M431" s="3"/>
    </row>
    <row r="432" spans="1:13" ht="30" customHeight="1" x14ac:dyDescent="0.2">
      <c r="A432" s="4460"/>
      <c r="B432" s="4475"/>
      <c r="C432" s="317" t="s">
        <v>890</v>
      </c>
      <c r="D432" s="128">
        <v>100000000</v>
      </c>
      <c r="E432" s="17">
        <v>0.05</v>
      </c>
      <c r="F432" s="261">
        <f>D432*E432</f>
        <v>5000000</v>
      </c>
      <c r="G432" s="128"/>
      <c r="H432" s="128"/>
      <c r="I432" s="135"/>
      <c r="J432" s="21"/>
      <c r="K432" s="128"/>
      <c r="L432" s="128"/>
      <c r="M432" s="3"/>
    </row>
    <row r="433" spans="1:13" ht="30" customHeight="1" x14ac:dyDescent="0.2">
      <c r="A433" s="4">
        <v>334</v>
      </c>
      <c r="B433" s="280" t="s">
        <v>1264</v>
      </c>
      <c r="C433" s="317" t="s">
        <v>889</v>
      </c>
      <c r="D433" s="279">
        <v>100000000</v>
      </c>
      <c r="E433" s="17">
        <v>0.05</v>
      </c>
      <c r="F433" s="279">
        <f>D433*E433</f>
        <v>5000000</v>
      </c>
      <c r="G433" s="279"/>
      <c r="H433" s="279"/>
      <c r="I433" s="283"/>
      <c r="J433" s="21"/>
      <c r="K433" s="279"/>
      <c r="L433" s="279"/>
      <c r="M433" s="3"/>
    </row>
    <row r="434" spans="1:13" ht="30" customHeight="1" x14ac:dyDescent="0.2">
      <c r="A434" s="4">
        <v>335</v>
      </c>
      <c r="B434" s="304" t="s">
        <v>1276</v>
      </c>
      <c r="C434" s="317" t="s">
        <v>889</v>
      </c>
      <c r="D434" s="303">
        <v>10000000</v>
      </c>
      <c r="E434" s="17">
        <v>0.05</v>
      </c>
      <c r="F434" s="303">
        <f>D434*E434</f>
        <v>500000</v>
      </c>
      <c r="G434" s="303"/>
      <c r="H434" s="303"/>
      <c r="I434" s="307"/>
      <c r="J434" s="21"/>
      <c r="K434" s="303"/>
      <c r="L434" s="303"/>
      <c r="M434" s="3"/>
    </row>
    <row r="435" spans="1:13" ht="30" customHeight="1" x14ac:dyDescent="0.2">
      <c r="A435" s="4">
        <v>336</v>
      </c>
      <c r="B435" s="304" t="s">
        <v>1286</v>
      </c>
      <c r="C435" s="317"/>
      <c r="D435" s="303"/>
      <c r="E435" s="17"/>
      <c r="F435" s="303">
        <v>10500000</v>
      </c>
      <c r="G435" s="303"/>
      <c r="H435" s="303"/>
      <c r="I435" s="307"/>
      <c r="J435" s="21"/>
      <c r="K435" s="303"/>
      <c r="L435" s="303"/>
      <c r="M435" s="3"/>
    </row>
    <row r="436" spans="1:13" ht="30" customHeight="1" x14ac:dyDescent="0.2">
      <c r="A436" s="4459"/>
      <c r="B436" s="4474" t="s">
        <v>2042</v>
      </c>
      <c r="C436" s="4537"/>
      <c r="D436" s="4413">
        <v>20000000</v>
      </c>
      <c r="E436" s="4476">
        <v>0.05</v>
      </c>
      <c r="F436" s="4413">
        <f>D436*E436</f>
        <v>1000000</v>
      </c>
      <c r="G436" s="655">
        <v>10000000</v>
      </c>
      <c r="H436" s="655" t="s">
        <v>379</v>
      </c>
      <c r="I436" s="658" t="s">
        <v>2043</v>
      </c>
      <c r="J436" s="21" t="s">
        <v>2044</v>
      </c>
      <c r="K436" s="4413">
        <f>G436+G437</f>
        <v>20000000</v>
      </c>
      <c r="L436" s="4413">
        <f>D436-K436</f>
        <v>0</v>
      </c>
      <c r="M436" s="4535" t="s">
        <v>2045</v>
      </c>
    </row>
    <row r="437" spans="1:13" ht="30" customHeight="1" x14ac:dyDescent="0.2">
      <c r="A437" s="4460"/>
      <c r="B437" s="4475"/>
      <c r="C437" s="4538"/>
      <c r="D437" s="4415"/>
      <c r="E437" s="4477"/>
      <c r="F437" s="4415"/>
      <c r="G437" s="655">
        <v>10000000</v>
      </c>
      <c r="H437" s="655" t="s">
        <v>423</v>
      </c>
      <c r="I437" s="658" t="s">
        <v>423</v>
      </c>
      <c r="J437" s="21" t="s">
        <v>2044</v>
      </c>
      <c r="K437" s="4415"/>
      <c r="L437" s="4415"/>
      <c r="M437" s="4536"/>
    </row>
    <row r="438" spans="1:13" ht="30" customHeight="1" x14ac:dyDescent="0.2">
      <c r="A438" s="4"/>
      <c r="B438" s="535" t="s">
        <v>1790</v>
      </c>
      <c r="C438" s="533"/>
      <c r="D438" s="529">
        <v>300000000</v>
      </c>
      <c r="E438" s="538">
        <v>5.1999999999999998E-2</v>
      </c>
      <c r="F438" s="529">
        <v>15500000</v>
      </c>
      <c r="G438" s="529">
        <v>15500000</v>
      </c>
      <c r="H438" s="529" t="s">
        <v>423</v>
      </c>
      <c r="I438" s="537"/>
      <c r="J438" s="21"/>
      <c r="K438" s="529">
        <f>G438</f>
        <v>15500000</v>
      </c>
      <c r="L438" s="529">
        <f>F438-K438</f>
        <v>0</v>
      </c>
      <c r="M438" s="3"/>
    </row>
    <row r="439" spans="1:13" ht="30" customHeight="1" x14ac:dyDescent="0.2">
      <c r="A439" s="4459"/>
      <c r="B439" s="4474" t="s">
        <v>1753</v>
      </c>
      <c r="C439" s="539"/>
      <c r="D439" s="529">
        <v>40000000</v>
      </c>
      <c r="E439" s="538">
        <v>0.04</v>
      </c>
      <c r="F439" s="529">
        <f t="shared" ref="F439:F445" si="34">D439*E439</f>
        <v>1600000</v>
      </c>
      <c r="G439" s="529"/>
      <c r="H439" s="529"/>
      <c r="I439" s="537"/>
      <c r="J439" s="21"/>
      <c r="K439" s="529"/>
      <c r="L439" s="529"/>
      <c r="M439" s="3"/>
    </row>
    <row r="440" spans="1:13" ht="30" customHeight="1" x14ac:dyDescent="0.2">
      <c r="A440" s="4460"/>
      <c r="B440" s="4475"/>
      <c r="C440" s="539" t="s">
        <v>1510</v>
      </c>
      <c r="D440" s="529">
        <v>10000000</v>
      </c>
      <c r="E440" s="538">
        <v>0.04</v>
      </c>
      <c r="F440" s="529">
        <f t="shared" si="34"/>
        <v>400000</v>
      </c>
      <c r="G440" s="4530" t="s">
        <v>1792</v>
      </c>
      <c r="H440" s="4531"/>
      <c r="I440" s="4531"/>
      <c r="J440" s="4531"/>
      <c r="K440" s="4531"/>
      <c r="L440" s="4532"/>
      <c r="M440" s="3"/>
    </row>
    <row r="441" spans="1:13" ht="30" customHeight="1" x14ac:dyDescent="0.2">
      <c r="A441" s="4"/>
      <c r="B441" s="321" t="s">
        <v>1304</v>
      </c>
      <c r="C441" s="325" t="s">
        <v>889</v>
      </c>
      <c r="D441" s="322">
        <v>80000000</v>
      </c>
      <c r="E441" s="17">
        <v>7.0000000000000007E-2</v>
      </c>
      <c r="F441" s="322">
        <f t="shared" si="34"/>
        <v>5600000.0000000009</v>
      </c>
      <c r="G441" s="322"/>
      <c r="H441" s="322"/>
      <c r="I441" s="323"/>
      <c r="J441" s="21"/>
      <c r="K441" s="322"/>
      <c r="L441" s="322"/>
      <c r="M441" s="3"/>
    </row>
    <row r="442" spans="1:13" ht="30" customHeight="1" x14ac:dyDescent="0.2">
      <c r="A442" s="4459"/>
      <c r="B442" s="4518" t="s">
        <v>1305</v>
      </c>
      <c r="C442" s="4525" t="s">
        <v>889</v>
      </c>
      <c r="D442" s="427">
        <v>235500000</v>
      </c>
      <c r="E442" s="436">
        <v>0.05</v>
      </c>
      <c r="F442" s="427">
        <f t="shared" si="34"/>
        <v>11775000</v>
      </c>
      <c r="G442" s="427"/>
      <c r="H442" s="427"/>
      <c r="I442" s="437"/>
      <c r="J442" s="438"/>
      <c r="K442" s="427"/>
      <c r="L442" s="427"/>
      <c r="M442" s="3"/>
    </row>
    <row r="443" spans="1:13" ht="30" customHeight="1" x14ac:dyDescent="0.2">
      <c r="A443" s="4460"/>
      <c r="B443" s="4524"/>
      <c r="C443" s="4526"/>
      <c r="D443" s="427">
        <v>300000000</v>
      </c>
      <c r="E443" s="436">
        <v>7.0000000000000007E-2</v>
      </c>
      <c r="F443" s="427">
        <f t="shared" si="34"/>
        <v>21000000.000000004</v>
      </c>
      <c r="G443" s="4527" t="s">
        <v>1475</v>
      </c>
      <c r="H443" s="4528"/>
      <c r="I443" s="4528"/>
      <c r="J443" s="4528"/>
      <c r="K443" s="4528"/>
      <c r="L443" s="4529"/>
      <c r="M443" s="3"/>
    </row>
    <row r="444" spans="1:13" ht="30" customHeight="1" x14ac:dyDescent="0.2">
      <c r="A444" s="4459"/>
      <c r="B444" s="4474" t="s">
        <v>170</v>
      </c>
      <c r="C444" s="4537" t="s">
        <v>1306</v>
      </c>
      <c r="D444" s="322">
        <v>300000000</v>
      </c>
      <c r="E444" s="17">
        <v>7.0000000000000007E-2</v>
      </c>
      <c r="F444" s="322">
        <f t="shared" si="34"/>
        <v>21000000.000000004</v>
      </c>
      <c r="G444" s="4469" t="s">
        <v>1308</v>
      </c>
      <c r="H444" s="4470"/>
      <c r="I444" s="4470"/>
      <c r="J444" s="4470"/>
      <c r="K444" s="4470"/>
      <c r="L444" s="4471"/>
      <c r="M444" s="77" t="s">
        <v>1309</v>
      </c>
    </row>
    <row r="445" spans="1:13" ht="30" customHeight="1" x14ac:dyDescent="0.2">
      <c r="A445" s="4460"/>
      <c r="B445" s="4475"/>
      <c r="C445" s="4538"/>
      <c r="D445" s="322">
        <v>200000000</v>
      </c>
      <c r="E445" s="17">
        <v>7.0000000000000007E-2</v>
      </c>
      <c r="F445" s="322">
        <f t="shared" si="34"/>
        <v>14000000.000000002</v>
      </c>
      <c r="G445" s="4586" t="s">
        <v>1307</v>
      </c>
      <c r="H445" s="4587"/>
      <c r="I445" s="4587"/>
      <c r="J445" s="4587"/>
      <c r="K445" s="4587"/>
      <c r="L445" s="4588"/>
      <c r="M445" s="3"/>
    </row>
  </sheetData>
  <mergeCells count="523">
    <mergeCell ref="A358:A359"/>
    <mergeCell ref="B368:B370"/>
    <mergeCell ref="M426:M427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6:B427"/>
    <mergeCell ref="C426:C427"/>
    <mergeCell ref="D426:D427"/>
    <mergeCell ref="K421:K422"/>
    <mergeCell ref="L421:L422"/>
    <mergeCell ref="M421:M422"/>
    <mergeCell ref="A380:A384"/>
    <mergeCell ref="B398:B399"/>
    <mergeCell ref="A398:A399"/>
    <mergeCell ref="C398:C399"/>
    <mergeCell ref="K398:K399"/>
    <mergeCell ref="G445:L445"/>
    <mergeCell ref="G444:L444"/>
    <mergeCell ref="A394:A395"/>
    <mergeCell ref="B394:B395"/>
    <mergeCell ref="C394:C395"/>
    <mergeCell ref="D394:D395"/>
    <mergeCell ref="E394:E395"/>
    <mergeCell ref="K394:K395"/>
    <mergeCell ref="F394:F395"/>
    <mergeCell ref="A426:A427"/>
    <mergeCell ref="K426:K427"/>
    <mergeCell ref="A421:A422"/>
    <mergeCell ref="B421:B422"/>
    <mergeCell ref="C421:C422"/>
    <mergeCell ref="D421:D422"/>
    <mergeCell ref="E421:E422"/>
    <mergeCell ref="F421:F422"/>
    <mergeCell ref="A419:A420"/>
    <mergeCell ref="F436:F437"/>
    <mergeCell ref="K436:K437"/>
    <mergeCell ref="L436:L437"/>
    <mergeCell ref="A442:A443"/>
    <mergeCell ref="B436:B437"/>
    <mergeCell ref="B444:B445"/>
    <mergeCell ref="B85:B86"/>
    <mergeCell ref="A85:A86"/>
    <mergeCell ref="C85:C86"/>
    <mergeCell ref="D271:D272"/>
    <mergeCell ref="E386:E387"/>
    <mergeCell ref="D436:D437"/>
    <mergeCell ref="E436:E437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C444:C445"/>
    <mergeCell ref="A444:A445"/>
    <mergeCell ref="A317:A318"/>
    <mergeCell ref="B317:B318"/>
    <mergeCell ref="C317:C318"/>
    <mergeCell ref="A390:A391"/>
    <mergeCell ref="B275:B278"/>
    <mergeCell ref="C390:C391"/>
    <mergeCell ref="C436:C437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1:A432"/>
    <mergeCell ref="A275:A278"/>
    <mergeCell ref="B282:B283"/>
    <mergeCell ref="C368:C370"/>
    <mergeCell ref="C360:C361"/>
    <mergeCell ref="B360:B361"/>
    <mergeCell ref="A291:A293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A343:A344"/>
    <mergeCell ref="C257:C258"/>
    <mergeCell ref="A300:A301"/>
    <mergeCell ref="E426:E427"/>
    <mergeCell ref="C118:C119"/>
    <mergeCell ref="C113:C114"/>
    <mergeCell ref="L426:L427"/>
    <mergeCell ref="G375:G376"/>
    <mergeCell ref="F426:F427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L398:L399"/>
    <mergeCell ref="M398:M399"/>
    <mergeCell ref="I399:J399"/>
    <mergeCell ref="B442:B443"/>
    <mergeCell ref="C442:C443"/>
    <mergeCell ref="G443:L443"/>
    <mergeCell ref="B431:B432"/>
    <mergeCell ref="A439:A440"/>
    <mergeCell ref="B439:B440"/>
    <mergeCell ref="G440:L440"/>
    <mergeCell ref="L419:L420"/>
    <mergeCell ref="M419:M420"/>
    <mergeCell ref="A436:A437"/>
    <mergeCell ref="M436:M437"/>
    <mergeCell ref="B424:B425"/>
    <mergeCell ref="A424:A425"/>
    <mergeCell ref="C424:C425"/>
    <mergeCell ref="G425:K425"/>
    <mergeCell ref="G424:K42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8"/>
  <sheetViews>
    <sheetView rightToLeft="1" topLeftCell="B1" zoomScale="60" zoomScaleNormal="60" workbookViewId="0">
      <pane ySplit="1" topLeftCell="A2" activePane="bottomLeft" state="frozen"/>
      <selection pane="bottomLeft" activeCell="B185" sqref="B185:B186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366" customWidth="1"/>
  </cols>
  <sheetData>
    <row r="1" spans="1:13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263</v>
      </c>
      <c r="J1" s="1" t="s">
        <v>261</v>
      </c>
      <c r="K1" s="1" t="s">
        <v>278</v>
      </c>
      <c r="L1" s="10" t="s">
        <v>291</v>
      </c>
      <c r="M1" s="148" t="s">
        <v>268</v>
      </c>
    </row>
    <row r="2" spans="1:13" ht="30" customHeight="1" x14ac:dyDescent="0.2">
      <c r="A2" s="4">
        <v>1</v>
      </c>
      <c r="B2" s="19" t="s">
        <v>1496</v>
      </c>
      <c r="C2" s="344" t="s">
        <v>372</v>
      </c>
      <c r="D2" s="332">
        <v>600000000</v>
      </c>
      <c r="E2" s="17">
        <v>0.06</v>
      </c>
      <c r="F2" s="332">
        <f>D2*E2</f>
        <v>36000000</v>
      </c>
      <c r="G2" s="332">
        <v>36000000</v>
      </c>
      <c r="H2" s="332" t="s">
        <v>1749</v>
      </c>
      <c r="I2" s="338" t="s">
        <v>1802</v>
      </c>
      <c r="J2" s="21" t="s">
        <v>1803</v>
      </c>
      <c r="K2" s="332">
        <f t="shared" ref="K2:K13" si="0">G2</f>
        <v>36000000</v>
      </c>
      <c r="L2" s="332">
        <f t="shared" ref="L2:L13" si="1">F2-K2</f>
        <v>0</v>
      </c>
      <c r="M2" s="22"/>
    </row>
    <row r="3" spans="1:13" ht="30" customHeight="1" x14ac:dyDescent="0.2">
      <c r="A3" s="4">
        <v>2</v>
      </c>
      <c r="B3" s="19" t="s">
        <v>282</v>
      </c>
      <c r="C3" s="344"/>
      <c r="D3" s="332">
        <v>300000000</v>
      </c>
      <c r="E3" s="17">
        <v>0.05</v>
      </c>
      <c r="F3" s="332">
        <f>D3*E3</f>
        <v>15000000</v>
      </c>
      <c r="G3" s="332">
        <v>15000000</v>
      </c>
      <c r="H3" s="332" t="s">
        <v>1749</v>
      </c>
      <c r="I3" s="338" t="s">
        <v>1775</v>
      </c>
      <c r="J3" s="21" t="s">
        <v>1776</v>
      </c>
      <c r="K3" s="332">
        <f t="shared" si="0"/>
        <v>15000000</v>
      </c>
      <c r="L3" s="332">
        <f t="shared" si="1"/>
        <v>0</v>
      </c>
      <c r="M3" s="22"/>
    </row>
    <row r="4" spans="1:13" ht="30" customHeight="1" x14ac:dyDescent="0.2">
      <c r="A4" s="4">
        <v>3</v>
      </c>
      <c r="B4" s="19" t="s">
        <v>285</v>
      </c>
      <c r="C4" s="344" t="s">
        <v>359</v>
      </c>
      <c r="D4" s="332">
        <v>36000000</v>
      </c>
      <c r="E4" s="17">
        <v>7.0000000000000007E-2</v>
      </c>
      <c r="F4" s="332">
        <v>2500000</v>
      </c>
      <c r="G4" s="332">
        <v>2500000</v>
      </c>
      <c r="H4" s="332" t="s">
        <v>1749</v>
      </c>
      <c r="I4" s="338" t="s">
        <v>1777</v>
      </c>
      <c r="J4" s="24" t="s">
        <v>1778</v>
      </c>
      <c r="K4" s="332">
        <f t="shared" si="0"/>
        <v>2500000</v>
      </c>
      <c r="L4" s="332">
        <f t="shared" si="1"/>
        <v>0</v>
      </c>
      <c r="M4" s="22"/>
    </row>
    <row r="5" spans="1:13" ht="30" customHeight="1" x14ac:dyDescent="0.2">
      <c r="A5" s="4">
        <v>4</v>
      </c>
      <c r="B5" s="19" t="s">
        <v>310</v>
      </c>
      <c r="C5" s="344" t="s">
        <v>2644</v>
      </c>
      <c r="D5" s="332">
        <v>535000000</v>
      </c>
      <c r="E5" s="17">
        <v>5.7000000000000002E-2</v>
      </c>
      <c r="F5" s="332">
        <v>30000000</v>
      </c>
      <c r="G5" s="332">
        <v>30000000</v>
      </c>
      <c r="H5" s="332" t="s">
        <v>1474</v>
      </c>
      <c r="I5" s="338" t="s">
        <v>1542</v>
      </c>
      <c r="J5" s="24" t="s">
        <v>1543</v>
      </c>
      <c r="K5" s="332">
        <f t="shared" si="0"/>
        <v>30000000</v>
      </c>
      <c r="L5" s="332">
        <f t="shared" si="1"/>
        <v>0</v>
      </c>
      <c r="M5" s="22"/>
    </row>
    <row r="6" spans="1:13" ht="30" customHeight="1" x14ac:dyDescent="0.2">
      <c r="A6" s="4">
        <v>5</v>
      </c>
      <c r="B6" s="19" t="s">
        <v>317</v>
      </c>
      <c r="C6" s="344" t="s">
        <v>372</v>
      </c>
      <c r="D6" s="332">
        <v>20000000</v>
      </c>
      <c r="E6" s="17">
        <v>7.0000000000000007E-2</v>
      </c>
      <c r="F6" s="332">
        <v>1400000</v>
      </c>
      <c r="G6" s="332">
        <v>1400000</v>
      </c>
      <c r="H6" s="332" t="s">
        <v>1782</v>
      </c>
      <c r="I6" s="338" t="s">
        <v>1837</v>
      </c>
      <c r="J6" s="24" t="s">
        <v>1838</v>
      </c>
      <c r="K6" s="332">
        <f t="shared" si="0"/>
        <v>1400000</v>
      </c>
      <c r="L6" s="332">
        <f t="shared" si="1"/>
        <v>0</v>
      </c>
      <c r="M6" s="29" t="s">
        <v>320</v>
      </c>
    </row>
    <row r="7" spans="1:13" ht="30" customHeight="1" x14ac:dyDescent="0.2">
      <c r="A7" s="4459">
        <v>6</v>
      </c>
      <c r="B7" s="4457" t="s">
        <v>407</v>
      </c>
      <c r="C7" s="4537"/>
      <c r="D7" s="332">
        <v>115000000</v>
      </c>
      <c r="E7" s="17">
        <v>0.05</v>
      </c>
      <c r="F7" s="332">
        <f>D7*E7</f>
        <v>5750000</v>
      </c>
      <c r="G7" s="332">
        <v>5000000</v>
      </c>
      <c r="H7" s="332" t="s">
        <v>1749</v>
      </c>
      <c r="I7" s="338" t="s">
        <v>1800</v>
      </c>
      <c r="J7" s="24" t="s">
        <v>1801</v>
      </c>
      <c r="K7" s="332">
        <f t="shared" si="0"/>
        <v>5000000</v>
      </c>
      <c r="L7" s="332">
        <f t="shared" si="1"/>
        <v>750000</v>
      </c>
      <c r="M7" s="638"/>
    </row>
    <row r="8" spans="1:13" ht="30" customHeight="1" x14ac:dyDescent="0.2">
      <c r="A8" s="4464"/>
      <c r="B8" s="4488"/>
      <c r="C8" s="4540"/>
      <c r="D8" s="4325" t="s">
        <v>1236</v>
      </c>
      <c r="E8" s="4326"/>
      <c r="F8" s="4563"/>
      <c r="G8" s="724">
        <v>50000000</v>
      </c>
      <c r="H8" s="724" t="s">
        <v>2072</v>
      </c>
      <c r="I8" s="729" t="s">
        <v>2087</v>
      </c>
      <c r="J8" s="52" t="s">
        <v>1720</v>
      </c>
      <c r="K8" s="4413">
        <f>G8+G9</f>
        <v>100000000</v>
      </c>
      <c r="L8" s="4413"/>
      <c r="M8" s="180" t="s">
        <v>2088</v>
      </c>
    </row>
    <row r="9" spans="1:13" ht="30" customHeight="1" x14ac:dyDescent="0.2">
      <c r="A9" s="4460"/>
      <c r="B9" s="4458"/>
      <c r="C9" s="4538"/>
      <c r="D9" s="4564"/>
      <c r="E9" s="4596"/>
      <c r="F9" s="4565"/>
      <c r="G9" s="758">
        <v>50000000</v>
      </c>
      <c r="H9" s="758" t="s">
        <v>2165</v>
      </c>
      <c r="I9" s="761" t="s">
        <v>2280</v>
      </c>
      <c r="J9" s="52" t="s">
        <v>1720</v>
      </c>
      <c r="K9" s="4415"/>
      <c r="L9" s="4415"/>
      <c r="M9" s="180"/>
    </row>
    <row r="10" spans="1:13" ht="28.5" customHeight="1" x14ac:dyDescent="0.2">
      <c r="A10" s="722">
        <v>7</v>
      </c>
      <c r="B10" s="179" t="s">
        <v>102</v>
      </c>
      <c r="C10" s="725" t="s">
        <v>889</v>
      </c>
      <c r="D10" s="332">
        <v>45000000</v>
      </c>
      <c r="E10" s="17">
        <v>0.05</v>
      </c>
      <c r="F10" s="332">
        <f>D10*E10</f>
        <v>2250000</v>
      </c>
      <c r="G10" s="332">
        <v>2250000</v>
      </c>
      <c r="H10" s="332" t="s">
        <v>1881</v>
      </c>
      <c r="I10" s="338" t="s">
        <v>1890</v>
      </c>
      <c r="J10" s="26" t="s">
        <v>409</v>
      </c>
      <c r="K10" s="332">
        <f t="shared" si="0"/>
        <v>2250000</v>
      </c>
      <c r="L10" s="332">
        <f t="shared" si="1"/>
        <v>0</v>
      </c>
      <c r="M10" s="737"/>
    </row>
    <row r="11" spans="1:13" ht="30" customHeight="1" x14ac:dyDescent="0.2">
      <c r="A11" s="4459">
        <v>8</v>
      </c>
      <c r="B11" s="4457" t="s">
        <v>349</v>
      </c>
      <c r="C11" s="4537" t="s">
        <v>1291</v>
      </c>
      <c r="D11" s="4413">
        <v>400000000</v>
      </c>
      <c r="E11" s="4476">
        <v>4.4999999999999998E-2</v>
      </c>
      <c r="F11" s="4413">
        <f>D11*E11</f>
        <v>18000000</v>
      </c>
      <c r="G11" s="332">
        <v>15000000</v>
      </c>
      <c r="H11" s="332" t="s">
        <v>2005</v>
      </c>
      <c r="I11" s="32" t="s">
        <v>2034</v>
      </c>
      <c r="J11" s="24" t="s">
        <v>2035</v>
      </c>
      <c r="K11" s="4413">
        <f>G11+G12</f>
        <v>18000000</v>
      </c>
      <c r="L11" s="4413">
        <f t="shared" si="1"/>
        <v>0</v>
      </c>
      <c r="M11" s="4498"/>
    </row>
    <row r="12" spans="1:13" ht="30" customHeight="1" x14ac:dyDescent="0.2">
      <c r="A12" s="4460"/>
      <c r="B12" s="4458"/>
      <c r="C12" s="4538"/>
      <c r="D12" s="4415"/>
      <c r="E12" s="4477"/>
      <c r="F12" s="4415"/>
      <c r="G12" s="655">
        <v>3000000</v>
      </c>
      <c r="H12" s="655" t="s">
        <v>2005</v>
      </c>
      <c r="I12" s="659" t="s">
        <v>2046</v>
      </c>
      <c r="J12" s="24" t="s">
        <v>2047</v>
      </c>
      <c r="K12" s="4415"/>
      <c r="L12" s="4415"/>
      <c r="M12" s="4499"/>
    </row>
    <row r="13" spans="1:13" ht="30" customHeight="1" x14ac:dyDescent="0.2">
      <c r="A13" s="4">
        <v>9</v>
      </c>
      <c r="B13" s="19" t="s">
        <v>378</v>
      </c>
      <c r="C13" s="344" t="s">
        <v>371</v>
      </c>
      <c r="D13" s="332">
        <v>10000000</v>
      </c>
      <c r="E13" s="17">
        <v>0.05</v>
      </c>
      <c r="F13" s="332">
        <f>D13*E13</f>
        <v>500000</v>
      </c>
      <c r="G13" s="332">
        <v>500000</v>
      </c>
      <c r="H13" s="549" t="s">
        <v>1782</v>
      </c>
      <c r="I13" s="338" t="s">
        <v>1856</v>
      </c>
      <c r="J13" s="24" t="s">
        <v>1857</v>
      </c>
      <c r="K13" s="332">
        <f t="shared" si="0"/>
        <v>500000</v>
      </c>
      <c r="L13" s="332">
        <f t="shared" si="1"/>
        <v>0</v>
      </c>
      <c r="M13" s="29" t="s">
        <v>1860</v>
      </c>
    </row>
    <row r="14" spans="1:13" ht="30" customHeight="1" x14ac:dyDescent="0.2">
      <c r="A14" s="4">
        <v>10</v>
      </c>
      <c r="B14" s="179" t="s">
        <v>999</v>
      </c>
      <c r="C14" s="539" t="s">
        <v>1796</v>
      </c>
      <c r="D14" s="332">
        <v>180000000</v>
      </c>
      <c r="E14" s="17">
        <v>5.5E-2</v>
      </c>
      <c r="F14" s="332">
        <v>10000000</v>
      </c>
      <c r="G14" s="332">
        <v>10000000</v>
      </c>
      <c r="H14" s="332" t="s">
        <v>2368</v>
      </c>
      <c r="I14" s="338" t="s">
        <v>2371</v>
      </c>
      <c r="J14" s="24" t="s">
        <v>2372</v>
      </c>
      <c r="K14" s="332">
        <f>G14</f>
        <v>10000000</v>
      </c>
      <c r="L14" s="332">
        <f>F14-K14</f>
        <v>0</v>
      </c>
      <c r="M14" s="180"/>
    </row>
    <row r="15" spans="1:13" ht="30" customHeight="1" x14ac:dyDescent="0.2">
      <c r="A15" s="4459">
        <v>11</v>
      </c>
      <c r="B15" s="4457" t="s">
        <v>393</v>
      </c>
      <c r="C15" s="416" t="s">
        <v>359</v>
      </c>
      <c r="D15" s="341">
        <v>15000000</v>
      </c>
      <c r="E15" s="17">
        <v>7.0000000000000007E-2</v>
      </c>
      <c r="F15" s="341">
        <f>D15*E15</f>
        <v>1050000</v>
      </c>
      <c r="G15" s="350">
        <v>1050000</v>
      </c>
      <c r="H15" s="350" t="s">
        <v>1782</v>
      </c>
      <c r="I15" s="361" t="s">
        <v>1820</v>
      </c>
      <c r="J15" s="26" t="s">
        <v>394</v>
      </c>
      <c r="K15" s="4413">
        <f>G15+G16</f>
        <v>1300000</v>
      </c>
      <c r="L15" s="4413">
        <f>(F15+F16)-K15</f>
        <v>0</v>
      </c>
      <c r="M15" s="4498"/>
    </row>
    <row r="16" spans="1:13" ht="30" customHeight="1" x14ac:dyDescent="0.2">
      <c r="A16" s="4464"/>
      <c r="B16" s="4488"/>
      <c r="C16" s="360" t="s">
        <v>1080</v>
      </c>
      <c r="D16" s="341">
        <v>5000000</v>
      </c>
      <c r="E16" s="17">
        <v>0.05</v>
      </c>
      <c r="F16" s="341">
        <f>D16*E16</f>
        <v>250000</v>
      </c>
      <c r="G16" s="350">
        <v>250000</v>
      </c>
      <c r="H16" s="350" t="s">
        <v>897</v>
      </c>
      <c r="I16" s="361" t="s">
        <v>1311</v>
      </c>
      <c r="J16" s="52" t="s">
        <v>394</v>
      </c>
      <c r="K16" s="4415"/>
      <c r="L16" s="4415"/>
      <c r="M16" s="4499"/>
    </row>
    <row r="17" spans="1:13" ht="30" customHeight="1" x14ac:dyDescent="0.2">
      <c r="A17" s="4460"/>
      <c r="B17" s="4458"/>
      <c r="C17" s="928" t="s">
        <v>1080</v>
      </c>
      <c r="D17" s="923">
        <v>5000000</v>
      </c>
      <c r="E17" s="926">
        <v>0.05</v>
      </c>
      <c r="F17" s="923">
        <f>D17*E17</f>
        <v>250000</v>
      </c>
      <c r="G17" s="923">
        <v>250000</v>
      </c>
      <c r="H17" s="923" t="s">
        <v>2484</v>
      </c>
      <c r="I17" s="931" t="s">
        <v>2506</v>
      </c>
      <c r="J17" s="52" t="s">
        <v>394</v>
      </c>
      <c r="K17" s="923">
        <f>G17</f>
        <v>250000</v>
      </c>
      <c r="L17" s="923">
        <f>F17-G17</f>
        <v>0</v>
      </c>
      <c r="M17" s="925" t="s">
        <v>1674</v>
      </c>
    </row>
    <row r="18" spans="1:13" ht="30" customHeight="1" x14ac:dyDescent="0.2">
      <c r="A18" s="326">
        <v>12</v>
      </c>
      <c r="B18" s="328" t="s">
        <v>399</v>
      </c>
      <c r="C18" s="344" t="s">
        <v>402</v>
      </c>
      <c r="D18" s="332">
        <v>75000000</v>
      </c>
      <c r="E18" s="331"/>
      <c r="F18" s="332">
        <v>3750000</v>
      </c>
      <c r="G18" s="332">
        <v>3750000</v>
      </c>
      <c r="H18" s="332" t="s">
        <v>1616</v>
      </c>
      <c r="I18" s="338" t="s">
        <v>1635</v>
      </c>
      <c r="J18" s="52" t="s">
        <v>1636</v>
      </c>
      <c r="K18" s="332">
        <f>G18</f>
        <v>3750000</v>
      </c>
      <c r="L18" s="332">
        <f>F18-K18</f>
        <v>0</v>
      </c>
      <c r="M18" s="333"/>
    </row>
    <row r="19" spans="1:13" ht="30" customHeight="1" x14ac:dyDescent="0.2">
      <c r="A19" s="326">
        <v>13</v>
      </c>
      <c r="B19" s="328" t="s">
        <v>420</v>
      </c>
      <c r="C19" s="344" t="s">
        <v>359</v>
      </c>
      <c r="D19" s="332">
        <v>80000000</v>
      </c>
      <c r="E19" s="339"/>
      <c r="F19" s="332">
        <v>4800000</v>
      </c>
      <c r="G19" s="332">
        <v>4800000</v>
      </c>
      <c r="H19" s="332" t="s">
        <v>1944</v>
      </c>
      <c r="I19" s="32" t="s">
        <v>1945</v>
      </c>
      <c r="J19" s="338" t="s">
        <v>1946</v>
      </c>
      <c r="K19" s="332">
        <f>G19</f>
        <v>4800000</v>
      </c>
      <c r="L19" s="332">
        <f>F19-K19</f>
        <v>0</v>
      </c>
      <c r="M19" s="333"/>
    </row>
    <row r="20" spans="1:13" ht="30" customHeight="1" x14ac:dyDescent="0.2">
      <c r="A20" s="347">
        <v>14</v>
      </c>
      <c r="B20" s="328" t="s">
        <v>428</v>
      </c>
      <c r="C20" s="344" t="s">
        <v>1300</v>
      </c>
      <c r="D20" s="332">
        <v>150000000</v>
      </c>
      <c r="E20" s="331">
        <v>0.04</v>
      </c>
      <c r="F20" s="332">
        <f>D20*E20</f>
        <v>6000000</v>
      </c>
      <c r="G20" s="332">
        <v>6000000</v>
      </c>
      <c r="H20" s="332" t="s">
        <v>2005</v>
      </c>
      <c r="I20" s="338" t="s">
        <v>2023</v>
      </c>
      <c r="J20" s="64" t="s">
        <v>430</v>
      </c>
      <c r="K20" s="332">
        <f>G20</f>
        <v>6000000</v>
      </c>
      <c r="L20" s="332">
        <f>F20-K20</f>
        <v>0</v>
      </c>
      <c r="M20" s="333"/>
    </row>
    <row r="21" spans="1:13" ht="30" customHeight="1" x14ac:dyDescent="0.2">
      <c r="A21" s="347">
        <v>15</v>
      </c>
      <c r="B21" s="328" t="s">
        <v>436</v>
      </c>
      <c r="C21" s="344"/>
      <c r="D21" s="332">
        <v>13000000</v>
      </c>
      <c r="E21" s="331">
        <v>0.05</v>
      </c>
      <c r="F21" s="332">
        <f>D21*E21</f>
        <v>650000</v>
      </c>
      <c r="G21" s="332">
        <v>650000</v>
      </c>
      <c r="H21" s="332" t="s">
        <v>2072</v>
      </c>
      <c r="I21" s="338" t="s">
        <v>2091</v>
      </c>
      <c r="J21" s="64" t="s">
        <v>2092</v>
      </c>
      <c r="K21" s="332">
        <f>G21</f>
        <v>650000</v>
      </c>
      <c r="L21" s="332">
        <f t="shared" ref="L21:L24" si="2">F21-K21</f>
        <v>0</v>
      </c>
      <c r="M21" s="333"/>
    </row>
    <row r="22" spans="1:13" ht="30" customHeight="1" x14ac:dyDescent="0.2">
      <c r="A22" s="347">
        <v>16</v>
      </c>
      <c r="B22" s="328" t="s">
        <v>487</v>
      </c>
      <c r="C22" s="344"/>
      <c r="D22" s="332">
        <v>80000000</v>
      </c>
      <c r="E22" s="331">
        <v>0.04</v>
      </c>
      <c r="F22" s="332">
        <f>D22*E22</f>
        <v>3200000</v>
      </c>
      <c r="G22" s="332"/>
      <c r="H22" s="332"/>
      <c r="I22" s="338"/>
      <c r="J22" s="64"/>
      <c r="K22" s="332"/>
      <c r="L22" s="332">
        <f t="shared" si="2"/>
        <v>3200000</v>
      </c>
      <c r="M22" s="333"/>
    </row>
    <row r="23" spans="1:13" ht="30" customHeight="1" x14ac:dyDescent="0.2">
      <c r="A23" s="347">
        <v>17</v>
      </c>
      <c r="B23" s="328" t="s">
        <v>747</v>
      </c>
      <c r="C23" s="344" t="s">
        <v>1289</v>
      </c>
      <c r="D23" s="332">
        <v>100000000</v>
      </c>
      <c r="E23" s="331">
        <v>0.06</v>
      </c>
      <c r="F23" s="332">
        <f t="shared" ref="F23:F24" si="3">D23*E23</f>
        <v>6000000</v>
      </c>
      <c r="G23" s="332">
        <v>6000000</v>
      </c>
      <c r="H23" s="332" t="s">
        <v>2214</v>
      </c>
      <c r="I23" s="338" t="s">
        <v>2224</v>
      </c>
      <c r="J23" s="64" t="s">
        <v>2225</v>
      </c>
      <c r="K23" s="332">
        <f>G23</f>
        <v>6000000</v>
      </c>
      <c r="L23" s="332">
        <f t="shared" si="2"/>
        <v>0</v>
      </c>
      <c r="M23" s="333"/>
    </row>
    <row r="24" spans="1:13" ht="30" customHeight="1" x14ac:dyDescent="0.2">
      <c r="A24" s="347">
        <v>18</v>
      </c>
      <c r="B24" s="328" t="s">
        <v>554</v>
      </c>
      <c r="C24" s="344" t="s">
        <v>1300</v>
      </c>
      <c r="D24" s="332">
        <v>50000000</v>
      </c>
      <c r="E24" s="331">
        <v>0.05</v>
      </c>
      <c r="F24" s="332">
        <f t="shared" si="3"/>
        <v>2500000</v>
      </c>
      <c r="G24" s="332">
        <v>2500000</v>
      </c>
      <c r="H24" s="332" t="s">
        <v>2262</v>
      </c>
      <c r="I24" s="338" t="s">
        <v>2263</v>
      </c>
      <c r="J24" s="64" t="s">
        <v>2264</v>
      </c>
      <c r="K24" s="332">
        <f>G24</f>
        <v>2500000</v>
      </c>
      <c r="L24" s="332">
        <f t="shared" si="2"/>
        <v>0</v>
      </c>
      <c r="M24" s="333"/>
    </row>
    <row r="25" spans="1:13" ht="30" customHeight="1" x14ac:dyDescent="0.2">
      <c r="A25" s="4459">
        <v>19</v>
      </c>
      <c r="B25" s="4599" t="s">
        <v>560</v>
      </c>
      <c r="C25" s="4537"/>
      <c r="D25" s="332">
        <v>5000000</v>
      </c>
      <c r="E25" s="339"/>
      <c r="F25" s="332">
        <v>200000</v>
      </c>
      <c r="G25" s="4413"/>
      <c r="H25" s="4413"/>
      <c r="I25" s="4555"/>
      <c r="J25" s="4568"/>
      <c r="K25" s="4413"/>
      <c r="L25" s="4413">
        <f>(F25+F26)-K25</f>
        <v>300000</v>
      </c>
      <c r="M25" s="4498" t="s">
        <v>1209</v>
      </c>
    </row>
    <row r="26" spans="1:13" ht="30" customHeight="1" x14ac:dyDescent="0.2">
      <c r="A26" s="4464"/>
      <c r="B26" s="4600"/>
      <c r="C26" s="4540"/>
      <c r="D26" s="529">
        <v>2500000</v>
      </c>
      <c r="E26" s="534"/>
      <c r="F26" s="529">
        <v>100000</v>
      </c>
      <c r="G26" s="4415"/>
      <c r="H26" s="4415"/>
      <c r="I26" s="4557"/>
      <c r="J26" s="4569"/>
      <c r="K26" s="4415"/>
      <c r="L26" s="4415"/>
      <c r="M26" s="4499"/>
    </row>
    <row r="27" spans="1:13" ht="30" customHeight="1" x14ac:dyDescent="0.2">
      <c r="A27" s="4460"/>
      <c r="B27" s="4607"/>
      <c r="C27" s="4538"/>
      <c r="D27" s="629">
        <v>50000000</v>
      </c>
      <c r="E27" s="632"/>
      <c r="F27" s="629"/>
      <c r="G27" s="4635" t="s">
        <v>1995</v>
      </c>
      <c r="H27" s="4636"/>
      <c r="I27" s="4636"/>
      <c r="J27" s="4636"/>
      <c r="K27" s="4637"/>
      <c r="L27" s="628"/>
      <c r="M27" s="631"/>
    </row>
    <row r="28" spans="1:13" ht="30" customHeight="1" x14ac:dyDescent="0.2">
      <c r="A28" s="347">
        <v>20</v>
      </c>
      <c r="B28" s="328" t="s">
        <v>607</v>
      </c>
      <c r="C28" s="344"/>
      <c r="D28" s="332">
        <v>32000000</v>
      </c>
      <c r="E28" s="419">
        <v>0.05</v>
      </c>
      <c r="F28" s="332">
        <v>1600000</v>
      </c>
      <c r="G28" s="4413">
        <v>44500000</v>
      </c>
      <c r="H28" s="4413" t="s">
        <v>1474</v>
      </c>
      <c r="I28" s="4555" t="s">
        <v>1540</v>
      </c>
      <c r="J28" s="4568" t="s">
        <v>1541</v>
      </c>
      <c r="K28" s="4413">
        <f>(D28+D29)+(F28+F29)</f>
        <v>44050000</v>
      </c>
      <c r="L28" s="4413">
        <f>G28-K28</f>
        <v>450000</v>
      </c>
      <c r="M28" s="4652" t="s">
        <v>1547</v>
      </c>
    </row>
    <row r="29" spans="1:13" ht="30" customHeight="1" x14ac:dyDescent="0.2">
      <c r="A29" s="414">
        <v>21</v>
      </c>
      <c r="B29" s="415" t="s">
        <v>1546</v>
      </c>
      <c r="C29" s="416"/>
      <c r="D29" s="417">
        <v>10000000</v>
      </c>
      <c r="E29" s="419">
        <v>4.4999999999999998E-2</v>
      </c>
      <c r="F29" s="417">
        <f>D29*E29</f>
        <v>450000</v>
      </c>
      <c r="G29" s="4415"/>
      <c r="H29" s="4415"/>
      <c r="I29" s="4557"/>
      <c r="J29" s="4569"/>
      <c r="K29" s="4415"/>
      <c r="L29" s="4415"/>
      <c r="M29" s="4653"/>
    </row>
    <row r="30" spans="1:13" ht="30" customHeight="1" x14ac:dyDescent="0.2">
      <c r="A30" s="642">
        <v>22</v>
      </c>
      <c r="B30" s="19" t="s">
        <v>658</v>
      </c>
      <c r="C30" s="378"/>
      <c r="D30" s="332">
        <v>300000000</v>
      </c>
      <c r="E30" s="331">
        <v>0.05</v>
      </c>
      <c r="F30" s="332">
        <f>D30*E30</f>
        <v>15000000</v>
      </c>
      <c r="G30" s="332">
        <v>15000000</v>
      </c>
      <c r="H30" s="332" t="s">
        <v>2147</v>
      </c>
      <c r="I30" s="338" t="s">
        <v>2167</v>
      </c>
      <c r="J30" s="64" t="s">
        <v>2168</v>
      </c>
      <c r="K30" s="699">
        <f>G30</f>
        <v>15000000</v>
      </c>
      <c r="L30" s="359">
        <f>F30-K30</f>
        <v>0</v>
      </c>
      <c r="M30" s="48"/>
    </row>
    <row r="31" spans="1:13" ht="30" customHeight="1" x14ac:dyDescent="0.2">
      <c r="A31" s="642">
        <v>23</v>
      </c>
      <c r="B31" s="41" t="s">
        <v>2121</v>
      </c>
      <c r="C31" s="379"/>
      <c r="D31" s="332">
        <v>140000000</v>
      </c>
      <c r="E31" s="331">
        <v>7.0000000000000007E-2</v>
      </c>
      <c r="F31" s="332">
        <f>D31*E31</f>
        <v>9800000.0000000019</v>
      </c>
      <c r="G31" s="332"/>
      <c r="H31" s="343"/>
      <c r="I31" s="335"/>
      <c r="J31" s="64"/>
      <c r="K31" s="359"/>
      <c r="L31" s="359">
        <f>F31-G31</f>
        <v>9800000.0000000019</v>
      </c>
      <c r="M31" s="696" t="s">
        <v>2120</v>
      </c>
    </row>
    <row r="32" spans="1:13" ht="30" customHeight="1" x14ac:dyDescent="0.2">
      <c r="A32" s="642">
        <v>24</v>
      </c>
      <c r="B32" s="328" t="s">
        <v>702</v>
      </c>
      <c r="C32" s="344"/>
      <c r="D32" s="332">
        <v>40000000</v>
      </c>
      <c r="E32" s="331">
        <v>0.05</v>
      </c>
      <c r="F32" s="332">
        <f>D32*E32</f>
        <v>2000000</v>
      </c>
      <c r="G32" s="332">
        <v>2000000</v>
      </c>
      <c r="H32" s="343" t="s">
        <v>2165</v>
      </c>
      <c r="I32" s="335">
        <v>122445770297</v>
      </c>
      <c r="J32" s="64" t="s">
        <v>2179</v>
      </c>
      <c r="K32" s="332">
        <f>G32</f>
        <v>2000000</v>
      </c>
      <c r="L32" s="332">
        <f>F32-K32</f>
        <v>0</v>
      </c>
      <c r="M32" s="336" t="s">
        <v>2461</v>
      </c>
    </row>
    <row r="33" spans="1:13" ht="30" customHeight="1" x14ac:dyDescent="0.2">
      <c r="A33" s="642">
        <v>25</v>
      </c>
      <c r="B33" s="328" t="s">
        <v>718</v>
      </c>
      <c r="C33" s="344" t="s">
        <v>1296</v>
      </c>
      <c r="D33" s="332">
        <v>35000000</v>
      </c>
      <c r="E33" s="331">
        <v>5.8000000000000003E-2</v>
      </c>
      <c r="F33" s="332">
        <v>2000000</v>
      </c>
      <c r="G33" s="332">
        <v>2000000</v>
      </c>
      <c r="H33" s="343" t="s">
        <v>2165</v>
      </c>
      <c r="I33" s="335">
        <v>469626</v>
      </c>
      <c r="J33" s="64" t="s">
        <v>2188</v>
      </c>
      <c r="K33" s="332">
        <f>G33</f>
        <v>2000000</v>
      </c>
      <c r="L33" s="332">
        <f>F33-G33</f>
        <v>0</v>
      </c>
      <c r="M33" s="336"/>
    </row>
    <row r="34" spans="1:13" ht="30" customHeight="1" x14ac:dyDescent="0.2">
      <c r="A34" s="4614">
        <v>26</v>
      </c>
      <c r="B34" s="4457" t="s">
        <v>803</v>
      </c>
      <c r="C34" s="4537" t="s">
        <v>1718</v>
      </c>
      <c r="D34" s="332">
        <v>500000000</v>
      </c>
      <c r="E34" s="331">
        <v>4.4999999999999998E-2</v>
      </c>
      <c r="F34" s="332">
        <f>D34*E34</f>
        <v>22500000</v>
      </c>
      <c r="G34" s="233">
        <v>22500000</v>
      </c>
      <c r="H34" s="616" t="s">
        <v>1944</v>
      </c>
      <c r="I34" s="639">
        <v>1.4010414054201999E+19</v>
      </c>
      <c r="J34" s="640" t="s">
        <v>1957</v>
      </c>
      <c r="K34" s="617">
        <f>G34</f>
        <v>22500000</v>
      </c>
      <c r="L34" s="616">
        <f>F34-K34</f>
        <v>0</v>
      </c>
      <c r="M34" s="638" t="s">
        <v>1979</v>
      </c>
    </row>
    <row r="35" spans="1:13" ht="30" customHeight="1" x14ac:dyDescent="0.2">
      <c r="A35" s="4614"/>
      <c r="B35" s="4488"/>
      <c r="C35" s="4540"/>
      <c r="D35" s="4322" t="s">
        <v>1978</v>
      </c>
      <c r="E35" s="4322"/>
      <c r="F35" s="4322"/>
      <c r="G35" s="233">
        <v>50000000</v>
      </c>
      <c r="H35" s="616" t="s">
        <v>1944</v>
      </c>
      <c r="I35" s="639">
        <v>1.4010414054201999E+19</v>
      </c>
      <c r="J35" s="640" t="s">
        <v>1957</v>
      </c>
      <c r="K35" s="617">
        <f>G35</f>
        <v>50000000</v>
      </c>
      <c r="L35" s="616">
        <f>500000000-K35</f>
        <v>450000000</v>
      </c>
      <c r="M35" s="29" t="s">
        <v>1980</v>
      </c>
    </row>
    <row r="36" spans="1:13" ht="30" customHeight="1" x14ac:dyDescent="0.2">
      <c r="A36" s="4459">
        <v>27</v>
      </c>
      <c r="B36" s="4457" t="s">
        <v>807</v>
      </c>
      <c r="C36" s="4537" t="s">
        <v>1299</v>
      </c>
      <c r="D36" s="4413">
        <v>500000000</v>
      </c>
      <c r="E36" s="4476">
        <v>7.0000000000000007E-2</v>
      </c>
      <c r="F36" s="4413">
        <f>D36*E36</f>
        <v>35000000</v>
      </c>
      <c r="G36" s="350">
        <v>24000000</v>
      </c>
      <c r="H36" s="355" t="s">
        <v>2262</v>
      </c>
      <c r="I36" s="364">
        <v>1.4010422018250899E+17</v>
      </c>
      <c r="J36" s="64" t="s">
        <v>2290</v>
      </c>
      <c r="K36" s="4413">
        <f>G36+G37</f>
        <v>35000000</v>
      </c>
      <c r="L36" s="4413">
        <f>(G36+G37)-K36</f>
        <v>0</v>
      </c>
      <c r="M36" s="4498"/>
    </row>
    <row r="37" spans="1:13" ht="30" customHeight="1" x14ac:dyDescent="0.2">
      <c r="A37" s="4460"/>
      <c r="B37" s="4458"/>
      <c r="C37" s="4538"/>
      <c r="D37" s="4415"/>
      <c r="E37" s="4477"/>
      <c r="F37" s="4415"/>
      <c r="G37" s="773">
        <v>11000000</v>
      </c>
      <c r="H37" s="777" t="s">
        <v>2368</v>
      </c>
      <c r="I37" s="781">
        <v>78512</v>
      </c>
      <c r="J37" s="64" t="s">
        <v>2290</v>
      </c>
      <c r="K37" s="4415"/>
      <c r="L37" s="4415"/>
      <c r="M37" s="4499"/>
    </row>
    <row r="38" spans="1:13" ht="30" customHeight="1" x14ac:dyDescent="0.2">
      <c r="A38" s="347">
        <v>28</v>
      </c>
      <c r="B38" s="19" t="s">
        <v>819</v>
      </c>
      <c r="C38" s="832" t="s">
        <v>1299</v>
      </c>
      <c r="D38" s="828">
        <v>590000000</v>
      </c>
      <c r="E38" s="17"/>
      <c r="F38" s="359">
        <v>30000000</v>
      </c>
      <c r="G38" s="332">
        <v>30000000</v>
      </c>
      <c r="H38" s="343" t="s">
        <v>2072</v>
      </c>
      <c r="I38" s="335">
        <v>804377</v>
      </c>
      <c r="J38" s="64" t="s">
        <v>820</v>
      </c>
      <c r="K38" s="359">
        <f>G38</f>
        <v>30000000</v>
      </c>
      <c r="L38" s="359">
        <f>F38-K38</f>
        <v>0</v>
      </c>
      <c r="M38" s="851" t="s">
        <v>2402</v>
      </c>
    </row>
    <row r="39" spans="1:13" ht="30" customHeight="1" x14ac:dyDescent="0.2">
      <c r="A39" s="642">
        <v>29</v>
      </c>
      <c r="B39" s="41" t="s">
        <v>839</v>
      </c>
      <c r="C39" s="379" t="s">
        <v>1306</v>
      </c>
      <c r="D39" s="332">
        <v>42000000</v>
      </c>
      <c r="E39" s="331">
        <v>7.0000000000000007E-2</v>
      </c>
      <c r="F39" s="332">
        <f>D39*E39</f>
        <v>2940000.0000000005</v>
      </c>
      <c r="G39" s="332">
        <v>2940000</v>
      </c>
      <c r="H39" s="343" t="s">
        <v>2319</v>
      </c>
      <c r="I39" s="335">
        <v>122606079002</v>
      </c>
      <c r="J39" s="64" t="s">
        <v>2334</v>
      </c>
      <c r="K39" s="332">
        <f>G39</f>
        <v>2940000</v>
      </c>
      <c r="L39" s="332">
        <f>F39-K39</f>
        <v>0</v>
      </c>
      <c r="M39" s="336"/>
    </row>
    <row r="40" spans="1:13" ht="30" customHeight="1" x14ac:dyDescent="0.2">
      <c r="A40" s="642">
        <v>30</v>
      </c>
      <c r="B40" s="328" t="s">
        <v>843</v>
      </c>
      <c r="C40" s="344"/>
      <c r="D40" s="332">
        <v>20000000</v>
      </c>
      <c r="E40" s="331">
        <v>0.04</v>
      </c>
      <c r="F40" s="332">
        <f>D40*E40</f>
        <v>800000</v>
      </c>
      <c r="G40" s="332">
        <v>800000</v>
      </c>
      <c r="H40" s="343" t="s">
        <v>2296</v>
      </c>
      <c r="I40" s="335">
        <v>657250959870</v>
      </c>
      <c r="J40" s="64" t="s">
        <v>844</v>
      </c>
      <c r="K40" s="332">
        <f>G40</f>
        <v>800000</v>
      </c>
      <c r="L40" s="332">
        <f>F40-K40</f>
        <v>0</v>
      </c>
      <c r="M40" s="336"/>
    </row>
    <row r="41" spans="1:13" ht="30" customHeight="1" x14ac:dyDescent="0.2">
      <c r="A41" s="4459">
        <v>31</v>
      </c>
      <c r="B41" s="4599" t="s">
        <v>915</v>
      </c>
      <c r="C41" s="4537"/>
      <c r="D41" s="4413">
        <v>100000000</v>
      </c>
      <c r="E41" s="4476">
        <v>7.0000000000000007E-2</v>
      </c>
      <c r="F41" s="4413">
        <f>D41*E41</f>
        <v>7000000.0000000009</v>
      </c>
      <c r="G41" s="332">
        <v>5000000</v>
      </c>
      <c r="H41" s="343" t="s">
        <v>2345</v>
      </c>
      <c r="I41" s="335">
        <v>298635</v>
      </c>
      <c r="J41" s="64" t="s">
        <v>2365</v>
      </c>
      <c r="K41" s="4413">
        <f>G41+G42</f>
        <v>7000000</v>
      </c>
      <c r="L41" s="4413">
        <f>F41-K41</f>
        <v>0</v>
      </c>
      <c r="M41" s="4498"/>
    </row>
    <row r="42" spans="1:13" ht="30" customHeight="1" x14ac:dyDescent="0.2">
      <c r="A42" s="4460"/>
      <c r="B42" s="4607"/>
      <c r="C42" s="4538"/>
      <c r="D42" s="4415"/>
      <c r="E42" s="4477"/>
      <c r="F42" s="4415"/>
      <c r="G42" s="810">
        <v>2000000</v>
      </c>
      <c r="H42" s="818" t="s">
        <v>2345</v>
      </c>
      <c r="I42" s="834">
        <v>122656557046</v>
      </c>
      <c r="J42" s="64" t="s">
        <v>2365</v>
      </c>
      <c r="K42" s="4415"/>
      <c r="L42" s="4415"/>
      <c r="M42" s="4499"/>
    </row>
    <row r="43" spans="1:13" ht="30" customHeight="1" x14ac:dyDescent="0.2">
      <c r="A43" s="4459">
        <v>32</v>
      </c>
      <c r="B43" s="4599" t="s">
        <v>982</v>
      </c>
      <c r="C43" s="4537" t="s">
        <v>1306</v>
      </c>
      <c r="D43" s="610">
        <v>100000000</v>
      </c>
      <c r="E43" s="608">
        <v>0.05</v>
      </c>
      <c r="F43" s="610">
        <f t="shared" ref="F43:F44" si="4">D43*E43</f>
        <v>5000000</v>
      </c>
      <c r="G43" s="4413">
        <v>7450000</v>
      </c>
      <c r="H43" s="4413" t="s">
        <v>2368</v>
      </c>
      <c r="I43" s="4566">
        <v>93815</v>
      </c>
      <c r="J43" s="4568" t="s">
        <v>2377</v>
      </c>
      <c r="K43" s="4413">
        <f>G43</f>
        <v>7450000</v>
      </c>
      <c r="L43" s="4413">
        <f>(F43+F44)-K43</f>
        <v>0</v>
      </c>
      <c r="M43" s="4492"/>
    </row>
    <row r="44" spans="1:13" ht="30" customHeight="1" x14ac:dyDescent="0.2">
      <c r="A44" s="4464"/>
      <c r="B44" s="4600"/>
      <c r="C44" s="4538"/>
      <c r="D44" s="610">
        <v>35000000</v>
      </c>
      <c r="E44" s="608">
        <v>7.0000000000000007E-2</v>
      </c>
      <c r="F44" s="610">
        <f t="shared" si="4"/>
        <v>2450000.0000000005</v>
      </c>
      <c r="G44" s="4415"/>
      <c r="H44" s="4415"/>
      <c r="I44" s="4567"/>
      <c r="J44" s="4569"/>
      <c r="K44" s="4415"/>
      <c r="L44" s="4415"/>
      <c r="M44" s="4493"/>
    </row>
    <row r="45" spans="1:13" ht="30" customHeight="1" x14ac:dyDescent="0.2">
      <c r="A45" s="326">
        <v>33</v>
      </c>
      <c r="B45" s="708" t="s">
        <v>993</v>
      </c>
      <c r="C45" s="344" t="s">
        <v>1287</v>
      </c>
      <c r="D45" s="332">
        <v>63580000</v>
      </c>
      <c r="E45" s="331">
        <v>7.0000000000000007E-2</v>
      </c>
      <c r="F45" s="332">
        <v>4450000</v>
      </c>
      <c r="G45" s="332">
        <v>4450000</v>
      </c>
      <c r="H45" s="332" t="s">
        <v>2147</v>
      </c>
      <c r="I45" s="338" t="s">
        <v>2159</v>
      </c>
      <c r="J45" s="64" t="s">
        <v>2160</v>
      </c>
      <c r="K45" s="332">
        <f>G45</f>
        <v>4450000</v>
      </c>
      <c r="L45" s="332">
        <f t="shared" ref="L45:L52" si="5">F45-K45</f>
        <v>0</v>
      </c>
      <c r="M45" s="336"/>
    </row>
    <row r="46" spans="1:13" ht="30" customHeight="1" x14ac:dyDescent="0.2">
      <c r="A46" s="326">
        <v>34</v>
      </c>
      <c r="B46" s="329" t="s">
        <v>1110</v>
      </c>
      <c r="C46" s="344"/>
      <c r="D46" s="332">
        <v>20000000</v>
      </c>
      <c r="E46" s="331">
        <v>0.04</v>
      </c>
      <c r="F46" s="332">
        <f>D46*E46</f>
        <v>800000</v>
      </c>
      <c r="G46" s="332">
        <v>800000</v>
      </c>
      <c r="H46" s="332" t="s">
        <v>2296</v>
      </c>
      <c r="I46" s="338" t="s">
        <v>2301</v>
      </c>
      <c r="J46" s="64" t="s">
        <v>2302</v>
      </c>
      <c r="K46" s="332">
        <f>G46</f>
        <v>800000</v>
      </c>
      <c r="L46" s="332">
        <f t="shared" si="5"/>
        <v>0</v>
      </c>
      <c r="M46" s="336"/>
    </row>
    <row r="47" spans="1:13" ht="30" customHeight="1" x14ac:dyDescent="0.2">
      <c r="A47" s="642">
        <v>35</v>
      </c>
      <c r="B47" s="41" t="s">
        <v>1150</v>
      </c>
      <c r="C47" s="344" t="s">
        <v>1138</v>
      </c>
      <c r="D47" s="332">
        <v>150000000</v>
      </c>
      <c r="E47" s="331">
        <v>0.06</v>
      </c>
      <c r="F47" s="332">
        <f>D47*E47</f>
        <v>9000000</v>
      </c>
      <c r="G47" s="332"/>
      <c r="H47" s="332"/>
      <c r="I47" s="338"/>
      <c r="J47" s="64"/>
      <c r="K47" s="332"/>
      <c r="L47" s="332">
        <f t="shared" si="5"/>
        <v>9000000</v>
      </c>
      <c r="M47" s="336"/>
    </row>
    <row r="48" spans="1:13" ht="30" customHeight="1" x14ac:dyDescent="0.2">
      <c r="A48" s="642">
        <v>36</v>
      </c>
      <c r="B48" s="327" t="s">
        <v>1155</v>
      </c>
      <c r="C48" s="344" t="s">
        <v>1081</v>
      </c>
      <c r="D48" s="332">
        <v>50000000</v>
      </c>
      <c r="E48" s="331">
        <v>7.0000000000000007E-2</v>
      </c>
      <c r="F48" s="332">
        <f>D48*E48</f>
        <v>3500000.0000000005</v>
      </c>
      <c r="G48" s="332"/>
      <c r="H48" s="332"/>
      <c r="I48" s="338"/>
      <c r="J48" s="64"/>
      <c r="K48" s="332"/>
      <c r="L48" s="332">
        <f t="shared" si="5"/>
        <v>3500000.0000000005</v>
      </c>
      <c r="M48" s="336"/>
    </row>
    <row r="49" spans="1:13" ht="30" customHeight="1" x14ac:dyDescent="0.2">
      <c r="A49" s="642">
        <v>38</v>
      </c>
      <c r="B49" s="327" t="s">
        <v>1254</v>
      </c>
      <c r="C49" s="344"/>
      <c r="D49" s="298"/>
      <c r="E49" s="299"/>
      <c r="F49" s="298"/>
      <c r="G49" s="332"/>
      <c r="H49" s="332"/>
      <c r="I49" s="338"/>
      <c r="J49" s="64"/>
      <c r="K49" s="332"/>
      <c r="L49" s="330">
        <f t="shared" si="5"/>
        <v>0</v>
      </c>
      <c r="M49" s="336"/>
    </row>
    <row r="50" spans="1:13" ht="30" customHeight="1" x14ac:dyDescent="0.2">
      <c r="A50" s="642">
        <v>39</v>
      </c>
      <c r="B50" s="327" t="s">
        <v>1213</v>
      </c>
      <c r="C50" s="344"/>
      <c r="D50" s="298"/>
      <c r="E50" s="299"/>
      <c r="F50" s="298"/>
      <c r="G50" s="332"/>
      <c r="H50" s="332"/>
      <c r="I50" s="338"/>
      <c r="J50" s="64"/>
      <c r="K50" s="332"/>
      <c r="L50" s="330">
        <f t="shared" si="5"/>
        <v>0</v>
      </c>
      <c r="M50" s="336"/>
    </row>
    <row r="51" spans="1:13" ht="30" customHeight="1" x14ac:dyDescent="0.2">
      <c r="A51" s="642">
        <v>40</v>
      </c>
      <c r="B51" s="327" t="s">
        <v>1265</v>
      </c>
      <c r="C51" s="344" t="s">
        <v>1289</v>
      </c>
      <c r="D51" s="229">
        <v>16000000</v>
      </c>
      <c r="E51" s="300">
        <v>0.05</v>
      </c>
      <c r="F51" s="229">
        <f>D51*E51</f>
        <v>800000</v>
      </c>
      <c r="G51" s="332">
        <v>800000</v>
      </c>
      <c r="H51" s="332" t="s">
        <v>2147</v>
      </c>
      <c r="I51" s="338" t="s">
        <v>2156</v>
      </c>
      <c r="J51" s="64" t="s">
        <v>1268</v>
      </c>
      <c r="K51" s="332">
        <f>G51</f>
        <v>800000</v>
      </c>
      <c r="L51" s="332">
        <f t="shared" si="5"/>
        <v>0</v>
      </c>
      <c r="M51" s="336"/>
    </row>
    <row r="52" spans="1:13" ht="30" customHeight="1" x14ac:dyDescent="0.2">
      <c r="A52" s="642">
        <v>41</v>
      </c>
      <c r="B52" s="327" t="s">
        <v>1285</v>
      </c>
      <c r="C52" s="344"/>
      <c r="D52" s="298"/>
      <c r="E52" s="299"/>
      <c r="F52" s="298"/>
      <c r="G52" s="332"/>
      <c r="H52" s="332"/>
      <c r="I52" s="32"/>
      <c r="J52" s="64"/>
      <c r="K52" s="332"/>
      <c r="L52" s="330">
        <f t="shared" si="5"/>
        <v>0</v>
      </c>
      <c r="M52" s="336"/>
    </row>
    <row r="53" spans="1:13" ht="30" customHeight="1" x14ac:dyDescent="0.2">
      <c r="A53" s="642">
        <v>42</v>
      </c>
      <c r="B53" s="179" t="s">
        <v>183</v>
      </c>
      <c r="C53" s="344" t="s">
        <v>392</v>
      </c>
      <c r="D53" s="332">
        <v>60000000</v>
      </c>
      <c r="E53" s="17">
        <v>0.05</v>
      </c>
      <c r="F53" s="332">
        <f t="shared" ref="F53:F162" si="6">D53*E53</f>
        <v>3000000</v>
      </c>
      <c r="G53" s="4413">
        <v>3500000</v>
      </c>
      <c r="H53" s="4413" t="s">
        <v>1359</v>
      </c>
      <c r="I53" s="4555" t="s">
        <v>1402</v>
      </c>
      <c r="J53" s="4558" t="s">
        <v>1403</v>
      </c>
      <c r="K53" s="4413">
        <f>G53</f>
        <v>3500000</v>
      </c>
      <c r="L53" s="4413">
        <f>(F53+F54)-K53</f>
        <v>0</v>
      </c>
      <c r="M53" s="4599"/>
    </row>
    <row r="54" spans="1:13" ht="30" customHeight="1" x14ac:dyDescent="0.2">
      <c r="A54" s="642">
        <v>43</v>
      </c>
      <c r="B54" s="41" t="s">
        <v>1079</v>
      </c>
      <c r="C54" s="344" t="s">
        <v>889</v>
      </c>
      <c r="D54" s="332">
        <v>10000000</v>
      </c>
      <c r="E54" s="17">
        <v>0.05</v>
      </c>
      <c r="F54" s="332">
        <f>D54*E54</f>
        <v>500000</v>
      </c>
      <c r="G54" s="4415"/>
      <c r="H54" s="4415"/>
      <c r="I54" s="4557"/>
      <c r="J54" s="4560"/>
      <c r="K54" s="4415"/>
      <c r="L54" s="4415"/>
      <c r="M54" s="4607"/>
    </row>
    <row r="55" spans="1:13" ht="30" customHeight="1" x14ac:dyDescent="0.2">
      <c r="A55" s="642">
        <v>44</v>
      </c>
      <c r="B55" s="41" t="s">
        <v>184</v>
      </c>
      <c r="C55" s="344" t="s">
        <v>889</v>
      </c>
      <c r="D55" s="332">
        <v>150000000</v>
      </c>
      <c r="E55" s="17">
        <v>0.05</v>
      </c>
      <c r="F55" s="332">
        <f t="shared" si="6"/>
        <v>7500000</v>
      </c>
      <c r="G55" s="332">
        <v>7500000</v>
      </c>
      <c r="H55" s="332" t="s">
        <v>1022</v>
      </c>
      <c r="I55" s="32" t="s">
        <v>1338</v>
      </c>
      <c r="J55" s="341" t="s">
        <v>1339</v>
      </c>
      <c r="K55" s="332">
        <f>G55</f>
        <v>7500000</v>
      </c>
      <c r="L55" s="332">
        <f t="shared" ref="L55:L163" si="7">F55-K55</f>
        <v>0</v>
      </c>
      <c r="M55" s="41"/>
    </row>
    <row r="56" spans="1:13" ht="30" customHeight="1" x14ac:dyDescent="0.2">
      <c r="A56" s="4459">
        <v>45</v>
      </c>
      <c r="B56" s="4457" t="s">
        <v>185</v>
      </c>
      <c r="C56" s="4537" t="s">
        <v>1295</v>
      </c>
      <c r="D56" s="4413">
        <v>1190000000</v>
      </c>
      <c r="E56" s="4476">
        <v>7.0000000000000007E-2</v>
      </c>
      <c r="F56" s="4413">
        <f t="shared" si="6"/>
        <v>83300000.000000015</v>
      </c>
      <c r="G56" s="332">
        <v>50000000</v>
      </c>
      <c r="H56" s="332" t="s">
        <v>1359</v>
      </c>
      <c r="I56" s="392" t="s">
        <v>1360</v>
      </c>
      <c r="J56" s="21" t="s">
        <v>920</v>
      </c>
      <c r="K56" s="4413">
        <f>G56+G57+G58</f>
        <v>83300000</v>
      </c>
      <c r="L56" s="4413">
        <f>F56-K56</f>
        <v>0</v>
      </c>
      <c r="M56" s="4599"/>
    </row>
    <row r="57" spans="1:13" ht="30" customHeight="1" x14ac:dyDescent="0.2">
      <c r="A57" s="4464"/>
      <c r="B57" s="4488"/>
      <c r="C57" s="4540"/>
      <c r="D57" s="4414"/>
      <c r="E57" s="4516"/>
      <c r="F57" s="4414"/>
      <c r="G57" s="417">
        <v>20000000</v>
      </c>
      <c r="H57" s="417" t="s">
        <v>1474</v>
      </c>
      <c r="I57" s="428" t="s">
        <v>1560</v>
      </c>
      <c r="J57" s="21" t="s">
        <v>920</v>
      </c>
      <c r="K57" s="4414"/>
      <c r="L57" s="4414"/>
      <c r="M57" s="4600"/>
    </row>
    <row r="58" spans="1:13" ht="30" customHeight="1" x14ac:dyDescent="0.2">
      <c r="A58" s="4460"/>
      <c r="B58" s="4458"/>
      <c r="C58" s="4538"/>
      <c r="D58" s="4415"/>
      <c r="E58" s="4477"/>
      <c r="F58" s="4415"/>
      <c r="G58" s="417">
        <v>13300000</v>
      </c>
      <c r="H58" s="417" t="s">
        <v>1616</v>
      </c>
      <c r="I58" s="460" t="s">
        <v>1626</v>
      </c>
      <c r="J58" s="21" t="s">
        <v>920</v>
      </c>
      <c r="K58" s="4415"/>
      <c r="L58" s="4415"/>
      <c r="M58" s="4607"/>
    </row>
    <row r="59" spans="1:13" ht="30" customHeight="1" x14ac:dyDescent="0.2">
      <c r="A59" s="4459">
        <v>46</v>
      </c>
      <c r="B59" s="4457" t="s">
        <v>186</v>
      </c>
      <c r="C59" s="4537" t="s">
        <v>1081</v>
      </c>
      <c r="D59" s="349"/>
      <c r="E59" s="352"/>
      <c r="F59" s="417"/>
      <c r="G59" s="350">
        <v>9000000</v>
      </c>
      <c r="H59" s="350" t="s">
        <v>897</v>
      </c>
      <c r="I59" s="481" t="s">
        <v>1312</v>
      </c>
      <c r="J59" s="21" t="s">
        <v>1076</v>
      </c>
      <c r="K59" s="359"/>
      <c r="L59" s="359"/>
      <c r="M59" s="388" t="s">
        <v>1313</v>
      </c>
    </row>
    <row r="60" spans="1:13" ht="30" customHeight="1" x14ac:dyDescent="0.2">
      <c r="A60" s="4464"/>
      <c r="B60" s="4488"/>
      <c r="C60" s="4540"/>
      <c r="D60" s="4322">
        <v>1200000000</v>
      </c>
      <c r="E60" s="4608">
        <v>0.08</v>
      </c>
      <c r="F60" s="4322">
        <f>D60*E60</f>
        <v>96000000</v>
      </c>
      <c r="G60" s="465">
        <v>90000000</v>
      </c>
      <c r="H60" s="465" t="s">
        <v>1658</v>
      </c>
      <c r="I60" s="472" t="s">
        <v>1691</v>
      </c>
      <c r="J60" s="21" t="s">
        <v>1076</v>
      </c>
      <c r="K60" s="4413">
        <f>G60+G61</f>
        <v>96000000</v>
      </c>
      <c r="L60" s="4413">
        <f>F60-K60</f>
        <v>0</v>
      </c>
      <c r="M60" s="4656" t="s">
        <v>1712</v>
      </c>
    </row>
    <row r="61" spans="1:13" ht="30" customHeight="1" x14ac:dyDescent="0.2">
      <c r="A61" s="4464"/>
      <c r="B61" s="4488"/>
      <c r="C61" s="4540"/>
      <c r="D61" s="4322"/>
      <c r="E61" s="4608"/>
      <c r="F61" s="4322"/>
      <c r="G61" s="475">
        <v>6000000</v>
      </c>
      <c r="H61" s="4413" t="s">
        <v>1701</v>
      </c>
      <c r="I61" s="4545" t="s">
        <v>1713</v>
      </c>
      <c r="J61" s="4478" t="s">
        <v>1714</v>
      </c>
      <c r="K61" s="4414"/>
      <c r="L61" s="4415"/>
      <c r="M61" s="4656"/>
    </row>
    <row r="62" spans="1:13" ht="30" customHeight="1" x14ac:dyDescent="0.2">
      <c r="A62" s="4464"/>
      <c r="B62" s="4488"/>
      <c r="C62" s="4540"/>
      <c r="D62" s="4413"/>
      <c r="E62" s="4476"/>
      <c r="F62" s="4413"/>
      <c r="G62" s="475">
        <v>24000000</v>
      </c>
      <c r="H62" s="4415"/>
      <c r="I62" s="4546"/>
      <c r="J62" s="4479"/>
      <c r="K62" s="4413">
        <f>G60+G61+G62+G63</f>
        <v>136500000</v>
      </c>
      <c r="L62" s="4413">
        <f>136500000-K62</f>
        <v>0</v>
      </c>
      <c r="M62" s="4652" t="s">
        <v>1716</v>
      </c>
    </row>
    <row r="63" spans="1:13" ht="30" customHeight="1" x14ac:dyDescent="0.2">
      <c r="A63" s="4460"/>
      <c r="B63" s="4458"/>
      <c r="C63" s="4538"/>
      <c r="D63" s="4415"/>
      <c r="E63" s="4477"/>
      <c r="F63" s="4415"/>
      <c r="G63" s="475">
        <v>16500000</v>
      </c>
      <c r="H63" s="475" t="s">
        <v>1701</v>
      </c>
      <c r="I63" s="481" t="s">
        <v>1715</v>
      </c>
      <c r="J63" s="479" t="s">
        <v>1076</v>
      </c>
      <c r="K63" s="4415"/>
      <c r="L63" s="4415"/>
      <c r="M63" s="4653"/>
    </row>
    <row r="64" spans="1:13" ht="30" customHeight="1" x14ac:dyDescent="0.2">
      <c r="A64" s="4459">
        <v>47</v>
      </c>
      <c r="B64" s="4599" t="s">
        <v>187</v>
      </c>
      <c r="C64" s="4537" t="s">
        <v>1080</v>
      </c>
      <c r="D64" s="332">
        <v>20000000</v>
      </c>
      <c r="E64" s="17">
        <v>0.05</v>
      </c>
      <c r="F64" s="332">
        <f t="shared" si="6"/>
        <v>1000000</v>
      </c>
      <c r="G64" s="332">
        <v>1000000</v>
      </c>
      <c r="H64" s="332" t="s">
        <v>1474</v>
      </c>
      <c r="I64" s="338" t="s">
        <v>1535</v>
      </c>
      <c r="J64" s="428" t="s">
        <v>1534</v>
      </c>
      <c r="K64" s="332">
        <f>G64</f>
        <v>1000000</v>
      </c>
      <c r="L64" s="332">
        <f t="shared" si="7"/>
        <v>0</v>
      </c>
      <c r="M64" s="4492" t="s">
        <v>5332</v>
      </c>
    </row>
    <row r="65" spans="1:13" ht="30" customHeight="1" x14ac:dyDescent="0.2">
      <c r="A65" s="4460"/>
      <c r="B65" s="4607"/>
      <c r="C65" s="4538"/>
      <c r="D65" s="923">
        <v>20000000</v>
      </c>
      <c r="E65" s="934">
        <v>0.05</v>
      </c>
      <c r="F65" s="923">
        <f t="shared" ref="F65" si="8">D65*E65</f>
        <v>1000000</v>
      </c>
      <c r="G65" s="923">
        <v>1000000</v>
      </c>
      <c r="H65" s="923" t="s">
        <v>2484</v>
      </c>
      <c r="I65" s="931" t="s">
        <v>2499</v>
      </c>
      <c r="J65" s="938" t="s">
        <v>1534</v>
      </c>
      <c r="K65" s="923">
        <f>G65</f>
        <v>1000000</v>
      </c>
      <c r="L65" s="923">
        <f t="shared" si="7"/>
        <v>0</v>
      </c>
      <c r="M65" s="4493"/>
    </row>
    <row r="66" spans="1:13" ht="30" customHeight="1" x14ac:dyDescent="0.2">
      <c r="A66" s="347">
        <v>48</v>
      </c>
      <c r="B66" s="41" t="s">
        <v>1615</v>
      </c>
      <c r="C66" s="344" t="s">
        <v>1081</v>
      </c>
      <c r="D66" s="332">
        <v>100000000</v>
      </c>
      <c r="E66" s="17">
        <v>0.05</v>
      </c>
      <c r="F66" s="332">
        <f t="shared" si="6"/>
        <v>5000000</v>
      </c>
      <c r="G66" s="332">
        <v>5000000</v>
      </c>
      <c r="H66" s="332" t="s">
        <v>1405</v>
      </c>
      <c r="I66" s="338" t="s">
        <v>1412</v>
      </c>
      <c r="J66" s="21" t="s">
        <v>1050</v>
      </c>
      <c r="K66" s="332">
        <f>G66</f>
        <v>5000000</v>
      </c>
      <c r="L66" s="332">
        <f t="shared" si="7"/>
        <v>0</v>
      </c>
      <c r="M66" s="41"/>
    </row>
    <row r="67" spans="1:13" ht="30" customHeight="1" x14ac:dyDescent="0.2">
      <c r="A67" s="642">
        <v>49</v>
      </c>
      <c r="B67" s="41" t="s">
        <v>189</v>
      </c>
      <c r="C67" s="344" t="s">
        <v>1295</v>
      </c>
      <c r="D67" s="332">
        <v>230000000</v>
      </c>
      <c r="E67" s="17">
        <v>0.05</v>
      </c>
      <c r="F67" s="332">
        <f t="shared" si="6"/>
        <v>11500000</v>
      </c>
      <c r="G67" s="332">
        <v>11500000</v>
      </c>
      <c r="H67" s="332" t="s">
        <v>897</v>
      </c>
      <c r="I67" s="32" t="s">
        <v>1329</v>
      </c>
      <c r="J67" s="21" t="s">
        <v>1052</v>
      </c>
      <c r="K67" s="332">
        <f>G67</f>
        <v>11500000</v>
      </c>
      <c r="L67" s="332">
        <f t="shared" si="7"/>
        <v>0</v>
      </c>
      <c r="M67" s="41"/>
    </row>
    <row r="68" spans="1:13" ht="30" customHeight="1" x14ac:dyDescent="0.2">
      <c r="A68" s="4459">
        <v>50</v>
      </c>
      <c r="B68" s="4599" t="s">
        <v>190</v>
      </c>
      <c r="C68" s="4537"/>
      <c r="D68" s="350">
        <v>350000000</v>
      </c>
      <c r="E68" s="17">
        <v>0.05</v>
      </c>
      <c r="F68" s="350">
        <f t="shared" si="6"/>
        <v>17500000</v>
      </c>
      <c r="G68" s="350">
        <v>17500000</v>
      </c>
      <c r="H68" s="350" t="s">
        <v>897</v>
      </c>
      <c r="I68" s="363" t="s">
        <v>1314</v>
      </c>
      <c r="J68" s="21" t="s">
        <v>1315</v>
      </c>
      <c r="K68" s="350">
        <f>G68</f>
        <v>17500000</v>
      </c>
      <c r="L68" s="350">
        <f t="shared" si="7"/>
        <v>0</v>
      </c>
      <c r="M68" s="97" t="s">
        <v>2491</v>
      </c>
    </row>
    <row r="69" spans="1:13" ht="30" customHeight="1" x14ac:dyDescent="0.2">
      <c r="A69" s="4464"/>
      <c r="B69" s="4600"/>
      <c r="C69" s="4540"/>
      <c r="D69" s="4413">
        <v>350000000</v>
      </c>
      <c r="E69" s="4476">
        <v>0.05</v>
      </c>
      <c r="F69" s="4413">
        <f>D69*E69</f>
        <v>17500000</v>
      </c>
      <c r="G69" s="930">
        <v>6000000</v>
      </c>
      <c r="H69" s="930" t="s">
        <v>2484</v>
      </c>
      <c r="I69" s="380" t="s">
        <v>2488</v>
      </c>
      <c r="J69" s="21" t="s">
        <v>1315</v>
      </c>
      <c r="K69" s="4413">
        <f>G69+G70</f>
        <v>17500000</v>
      </c>
      <c r="L69" s="4413">
        <f t="shared" si="7"/>
        <v>0</v>
      </c>
      <c r="M69" s="4492" t="s">
        <v>2490</v>
      </c>
    </row>
    <row r="70" spans="1:13" ht="30" customHeight="1" x14ac:dyDescent="0.2">
      <c r="A70" s="4460"/>
      <c r="B70" s="4607"/>
      <c r="C70" s="4538"/>
      <c r="D70" s="4415"/>
      <c r="E70" s="4477"/>
      <c r="F70" s="4415"/>
      <c r="G70" s="930">
        <v>11500000</v>
      </c>
      <c r="H70" s="930" t="s">
        <v>2484</v>
      </c>
      <c r="I70" s="380" t="s">
        <v>2489</v>
      </c>
      <c r="J70" s="21" t="s">
        <v>1315</v>
      </c>
      <c r="K70" s="4415"/>
      <c r="L70" s="4415"/>
      <c r="M70" s="4493"/>
    </row>
    <row r="71" spans="1:13" ht="30" customHeight="1" x14ac:dyDescent="0.2">
      <c r="A71" s="4459">
        <v>51</v>
      </c>
      <c r="B71" s="4457" t="s">
        <v>191</v>
      </c>
      <c r="C71" s="4537" t="s">
        <v>889</v>
      </c>
      <c r="D71" s="341">
        <v>111000000</v>
      </c>
      <c r="E71" s="17">
        <v>4.4999999999999998E-2</v>
      </c>
      <c r="F71" s="341">
        <v>5000000</v>
      </c>
      <c r="G71" s="4469" t="s">
        <v>2440</v>
      </c>
      <c r="H71" s="4470"/>
      <c r="I71" s="4470"/>
      <c r="J71" s="4470"/>
      <c r="K71" s="4471"/>
      <c r="L71" s="341">
        <f>F71-K71</f>
        <v>5000000</v>
      </c>
      <c r="M71" s="41" t="s">
        <v>2469</v>
      </c>
    </row>
    <row r="72" spans="1:13" ht="30" customHeight="1" x14ac:dyDescent="0.2">
      <c r="A72" s="4460"/>
      <c r="B72" s="4458"/>
      <c r="C72" s="4538"/>
      <c r="D72" s="861">
        <v>260000000</v>
      </c>
      <c r="E72" s="862">
        <f>F72/D72</f>
        <v>5.5769230769230772E-2</v>
      </c>
      <c r="F72" s="861">
        <v>14500000</v>
      </c>
      <c r="G72" s="4593" t="s">
        <v>2431</v>
      </c>
      <c r="H72" s="4594"/>
      <c r="I72" s="4594"/>
      <c r="J72" s="4594"/>
      <c r="K72" s="4595"/>
      <c r="L72" s="861">
        <f>F72-K72</f>
        <v>14500000</v>
      </c>
      <c r="M72" s="863" t="s">
        <v>2432</v>
      </c>
    </row>
    <row r="73" spans="1:13" ht="30" customHeight="1" x14ac:dyDescent="0.2">
      <c r="A73" s="4459">
        <v>52</v>
      </c>
      <c r="B73" s="4461" t="s">
        <v>192</v>
      </c>
      <c r="C73" s="665" t="s">
        <v>1297</v>
      </c>
      <c r="D73" s="648">
        <v>60000000</v>
      </c>
      <c r="E73" s="40">
        <f>F73/D73</f>
        <v>7.0000000000000007E-2</v>
      </c>
      <c r="F73" s="648">
        <v>4200000</v>
      </c>
      <c r="G73" s="4386" t="s">
        <v>2020</v>
      </c>
      <c r="H73" s="4654"/>
      <c r="I73" s="4654"/>
      <c r="J73" s="4654"/>
      <c r="K73" s="4655"/>
      <c r="L73" s="648">
        <f t="shared" si="7"/>
        <v>4200000</v>
      </c>
      <c r="M73" s="41" t="s">
        <v>1495</v>
      </c>
    </row>
    <row r="74" spans="1:13" ht="30" customHeight="1" x14ac:dyDescent="0.2">
      <c r="A74" s="4460"/>
      <c r="B74" s="4463"/>
      <c r="C74" s="666"/>
      <c r="D74" s="648">
        <v>20000000</v>
      </c>
      <c r="E74" s="40"/>
      <c r="F74" s="648"/>
      <c r="G74" s="4638" t="s">
        <v>2021</v>
      </c>
      <c r="H74" s="4639"/>
      <c r="I74" s="4639"/>
      <c r="J74" s="4639"/>
      <c r="K74" s="4639"/>
      <c r="L74" s="4640"/>
      <c r="M74" s="41"/>
    </row>
    <row r="75" spans="1:13" ht="30" customHeight="1" x14ac:dyDescent="0.2">
      <c r="A75" s="4459">
        <v>53</v>
      </c>
      <c r="B75" s="4457" t="s">
        <v>193</v>
      </c>
      <c r="C75" s="4537" t="s">
        <v>1294</v>
      </c>
      <c r="D75" s="749">
        <v>350000000</v>
      </c>
      <c r="E75" s="751">
        <v>7.0000000000000007E-2</v>
      </c>
      <c r="F75" s="749">
        <f t="shared" si="6"/>
        <v>24500000.000000004</v>
      </c>
      <c r="G75" s="748">
        <v>24500000</v>
      </c>
      <c r="H75" s="4413" t="s">
        <v>2054</v>
      </c>
      <c r="I75" s="4555" t="s">
        <v>2063</v>
      </c>
      <c r="J75" s="4478" t="s">
        <v>1810</v>
      </c>
      <c r="K75" s="747">
        <f>G75</f>
        <v>24500000</v>
      </c>
      <c r="L75" s="749">
        <f>F75-K75</f>
        <v>0</v>
      </c>
      <c r="M75" s="4478" t="s">
        <v>1969</v>
      </c>
    </row>
    <row r="76" spans="1:13" ht="30" customHeight="1" x14ac:dyDescent="0.2">
      <c r="A76" s="4464"/>
      <c r="B76" s="4488"/>
      <c r="C76" s="4540"/>
      <c r="D76" s="4413">
        <v>3200000</v>
      </c>
      <c r="E76" s="4541" t="s">
        <v>2267</v>
      </c>
      <c r="F76" s="4542"/>
      <c r="G76" s="749">
        <v>500000</v>
      </c>
      <c r="H76" s="4415"/>
      <c r="I76" s="4557"/>
      <c r="J76" s="4479"/>
      <c r="K76" s="4322">
        <f>G76+G77</f>
        <v>3200000</v>
      </c>
      <c r="L76" s="4322">
        <f>(G77+G76)-K76</f>
        <v>0</v>
      </c>
      <c r="M76" s="4520"/>
    </row>
    <row r="77" spans="1:13" ht="30" customHeight="1" x14ac:dyDescent="0.2">
      <c r="A77" s="4464"/>
      <c r="B77" s="4488"/>
      <c r="C77" s="4540"/>
      <c r="D77" s="4415"/>
      <c r="E77" s="4543"/>
      <c r="F77" s="4544"/>
      <c r="G77" s="749">
        <v>2700000</v>
      </c>
      <c r="H77" s="4413" t="s">
        <v>2262</v>
      </c>
      <c r="I77" s="4555" t="s">
        <v>2269</v>
      </c>
      <c r="J77" s="4478" t="s">
        <v>1810</v>
      </c>
      <c r="K77" s="4322"/>
      <c r="L77" s="4322"/>
      <c r="M77" s="4520"/>
    </row>
    <row r="78" spans="1:13" ht="30" customHeight="1" x14ac:dyDescent="0.2">
      <c r="A78" s="4464"/>
      <c r="B78" s="4488"/>
      <c r="C78" s="4540"/>
      <c r="D78" s="4413">
        <v>30000000</v>
      </c>
      <c r="E78" s="4541" t="s">
        <v>2268</v>
      </c>
      <c r="F78" s="4542"/>
      <c r="G78" s="749">
        <v>20000000</v>
      </c>
      <c r="H78" s="4415"/>
      <c r="I78" s="4557"/>
      <c r="J78" s="4479"/>
      <c r="K78" s="4413">
        <f>G78+G79</f>
        <v>20000000</v>
      </c>
      <c r="L78" s="4413">
        <f>D78-K78</f>
        <v>10000000</v>
      </c>
      <c r="M78" s="4520"/>
    </row>
    <row r="79" spans="1:13" ht="30" customHeight="1" x14ac:dyDescent="0.2">
      <c r="A79" s="4460"/>
      <c r="B79" s="4458"/>
      <c r="C79" s="4538"/>
      <c r="D79" s="4415"/>
      <c r="E79" s="4543"/>
      <c r="F79" s="4544"/>
      <c r="G79" s="749"/>
      <c r="H79" s="749"/>
      <c r="I79" s="381"/>
      <c r="J79" s="752"/>
      <c r="K79" s="4415"/>
      <c r="L79" s="4415"/>
      <c r="M79" s="4479"/>
    </row>
    <row r="80" spans="1:13" ht="30" customHeight="1" x14ac:dyDescent="0.2">
      <c r="A80" s="4459">
        <v>54</v>
      </c>
      <c r="B80" s="4457" t="s">
        <v>1060</v>
      </c>
      <c r="C80" s="4537"/>
      <c r="D80" s="332">
        <v>35000000</v>
      </c>
      <c r="E80" s="353">
        <v>7.1999999999999995E-2</v>
      </c>
      <c r="F80" s="332">
        <v>2500000</v>
      </c>
      <c r="G80" s="4413">
        <v>3500000</v>
      </c>
      <c r="H80" s="4413" t="s">
        <v>1474</v>
      </c>
      <c r="I80" s="4555" t="s">
        <v>1575</v>
      </c>
      <c r="J80" s="4478" t="s">
        <v>1576</v>
      </c>
      <c r="K80" s="4413">
        <f>G80</f>
        <v>3500000</v>
      </c>
      <c r="L80" s="4413">
        <f>(F80+F81)-K80</f>
        <v>0</v>
      </c>
      <c r="M80" s="4599"/>
    </row>
    <row r="81" spans="1:13" ht="30" customHeight="1" x14ac:dyDescent="0.2">
      <c r="A81" s="4464"/>
      <c r="B81" s="4488"/>
      <c r="C81" s="4540"/>
      <c r="D81" s="332">
        <v>13000000</v>
      </c>
      <c r="E81" s="17">
        <v>7.6999999999999999E-2</v>
      </c>
      <c r="F81" s="332">
        <v>1000000</v>
      </c>
      <c r="G81" s="4415"/>
      <c r="H81" s="4415"/>
      <c r="I81" s="4557"/>
      <c r="J81" s="4479"/>
      <c r="K81" s="4415"/>
      <c r="L81" s="4415"/>
      <c r="M81" s="4607"/>
    </row>
    <row r="82" spans="1:13" ht="30" customHeight="1" x14ac:dyDescent="0.2">
      <c r="A82" s="4464"/>
      <c r="B82" s="4488"/>
      <c r="C82" s="4540"/>
      <c r="D82" s="923">
        <v>35000000</v>
      </c>
      <c r="E82" s="926">
        <v>7.1999999999999995E-2</v>
      </c>
      <c r="F82" s="923">
        <v>2500000</v>
      </c>
      <c r="G82" s="4413">
        <v>3500000</v>
      </c>
      <c r="H82" s="4413" t="s">
        <v>2484</v>
      </c>
      <c r="I82" s="4555" t="s">
        <v>2500</v>
      </c>
      <c r="J82" s="4478" t="s">
        <v>2501</v>
      </c>
      <c r="K82" s="4413">
        <f>G82</f>
        <v>3500000</v>
      </c>
      <c r="L82" s="4413">
        <f>G82-K82</f>
        <v>0</v>
      </c>
      <c r="M82" s="933"/>
    </row>
    <row r="83" spans="1:13" ht="30" customHeight="1" x14ac:dyDescent="0.2">
      <c r="A83" s="4460"/>
      <c r="B83" s="4458"/>
      <c r="C83" s="4538"/>
      <c r="D83" s="923">
        <v>13000000</v>
      </c>
      <c r="E83" s="934">
        <v>7.6999999999999999E-2</v>
      </c>
      <c r="F83" s="923">
        <v>1000000</v>
      </c>
      <c r="G83" s="4415"/>
      <c r="H83" s="4415"/>
      <c r="I83" s="4557"/>
      <c r="J83" s="4479"/>
      <c r="K83" s="4415"/>
      <c r="L83" s="4415"/>
      <c r="M83" s="933"/>
    </row>
    <row r="84" spans="1:13" ht="30" customHeight="1" x14ac:dyDescent="0.2">
      <c r="A84" s="4459">
        <v>55</v>
      </c>
      <c r="B84" s="4457" t="s">
        <v>2526</v>
      </c>
      <c r="C84" s="4537" t="s">
        <v>1295</v>
      </c>
      <c r="D84" s="616">
        <v>175000000</v>
      </c>
      <c r="E84" s="622">
        <v>0.52</v>
      </c>
      <c r="F84" s="616">
        <v>9000000</v>
      </c>
      <c r="G84" s="4322">
        <v>16500000</v>
      </c>
      <c r="H84" s="4322" t="s">
        <v>897</v>
      </c>
      <c r="I84" s="4641" t="s">
        <v>1318</v>
      </c>
      <c r="J84" s="4642" t="s">
        <v>1319</v>
      </c>
      <c r="K84" s="4322">
        <f>G84</f>
        <v>16500000</v>
      </c>
      <c r="L84" s="4322">
        <f>(F84+F85)-K84</f>
        <v>0</v>
      </c>
      <c r="M84" s="638" t="s">
        <v>1082</v>
      </c>
    </row>
    <row r="85" spans="1:13" ht="30" customHeight="1" x14ac:dyDescent="0.2">
      <c r="A85" s="4464"/>
      <c r="B85" s="4488"/>
      <c r="C85" s="4540"/>
      <c r="D85" s="609">
        <f>85000000+20000000</f>
        <v>105000000</v>
      </c>
      <c r="E85" s="607">
        <v>7.0000000000000007E-2</v>
      </c>
      <c r="F85" s="609">
        <v>7500000</v>
      </c>
      <c r="G85" s="4322"/>
      <c r="H85" s="4322"/>
      <c r="I85" s="4641"/>
      <c r="J85" s="4642"/>
      <c r="K85" s="4322"/>
      <c r="L85" s="4322"/>
      <c r="M85" s="180" t="s">
        <v>1931</v>
      </c>
    </row>
    <row r="86" spans="1:13" ht="30" customHeight="1" x14ac:dyDescent="0.2">
      <c r="A86" s="4460"/>
      <c r="B86" s="4458"/>
      <c r="C86" s="4538"/>
      <c r="D86" s="616">
        <v>35000000</v>
      </c>
      <c r="E86" s="622">
        <v>0.05</v>
      </c>
      <c r="F86" s="616">
        <f>D86*E86</f>
        <v>1750000</v>
      </c>
      <c r="G86" s="4623" t="s">
        <v>1965</v>
      </c>
      <c r="H86" s="4624"/>
      <c r="I86" s="4624"/>
      <c r="J86" s="4624"/>
      <c r="K86" s="4624"/>
      <c r="L86" s="4625"/>
      <c r="M86" s="29" t="s">
        <v>1932</v>
      </c>
    </row>
    <row r="87" spans="1:13" ht="30" customHeight="1" x14ac:dyDescent="0.2">
      <c r="A87" s="4459">
        <v>56</v>
      </c>
      <c r="B87" s="4457" t="s">
        <v>35</v>
      </c>
      <c r="C87" s="4537" t="s">
        <v>1295</v>
      </c>
      <c r="D87" s="4413">
        <v>3284000000</v>
      </c>
      <c r="E87" s="4476">
        <v>7.0000000000000007E-2</v>
      </c>
      <c r="F87" s="4413">
        <v>229880000</v>
      </c>
      <c r="G87" s="359">
        <v>27070000</v>
      </c>
      <c r="H87" s="4413" t="s">
        <v>1022</v>
      </c>
      <c r="I87" s="4645" t="s">
        <v>1341</v>
      </c>
      <c r="J87" s="4478" t="s">
        <v>688</v>
      </c>
      <c r="K87" s="4413">
        <f>G87+G88</f>
        <v>50000000</v>
      </c>
      <c r="L87" s="4413">
        <f>F87-(G88+G89+G90+G91+G92+G93)</f>
        <v>2140000</v>
      </c>
      <c r="M87" s="97" t="s">
        <v>1340</v>
      </c>
    </row>
    <row r="88" spans="1:13" ht="30" customHeight="1" x14ac:dyDescent="0.2">
      <c r="A88" s="4464"/>
      <c r="B88" s="4488"/>
      <c r="C88" s="4540"/>
      <c r="D88" s="4414"/>
      <c r="E88" s="4516"/>
      <c r="F88" s="4414"/>
      <c r="G88" s="350">
        <v>22930000</v>
      </c>
      <c r="H88" s="4415"/>
      <c r="I88" s="4646"/>
      <c r="J88" s="4479"/>
      <c r="K88" s="4415"/>
      <c r="L88" s="4414"/>
      <c r="M88" s="4648"/>
    </row>
    <row r="89" spans="1:13" ht="30" customHeight="1" x14ac:dyDescent="0.2">
      <c r="A89" s="4464"/>
      <c r="B89" s="4488"/>
      <c r="C89" s="4540"/>
      <c r="D89" s="4414"/>
      <c r="E89" s="4516"/>
      <c r="F89" s="4414"/>
      <c r="G89" s="370">
        <v>50000000</v>
      </c>
      <c r="H89" s="370" t="s">
        <v>1405</v>
      </c>
      <c r="I89" s="376" t="s">
        <v>1437</v>
      </c>
      <c r="J89" s="21" t="s">
        <v>688</v>
      </c>
      <c r="K89" s="4413">
        <f>G88+G89+G90+G91+G92+G93</f>
        <v>227740000</v>
      </c>
      <c r="L89" s="4414"/>
      <c r="M89" s="4649"/>
    </row>
    <row r="90" spans="1:13" ht="30" customHeight="1" x14ac:dyDescent="0.2">
      <c r="A90" s="4464"/>
      <c r="B90" s="4488"/>
      <c r="C90" s="4540"/>
      <c r="D90" s="4414"/>
      <c r="E90" s="4516"/>
      <c r="F90" s="4414"/>
      <c r="G90" s="455">
        <v>50000000</v>
      </c>
      <c r="H90" s="455" t="s">
        <v>1594</v>
      </c>
      <c r="I90" s="460" t="s">
        <v>1673</v>
      </c>
      <c r="J90" s="21" t="s">
        <v>688</v>
      </c>
      <c r="K90" s="4414"/>
      <c r="L90" s="4414"/>
      <c r="M90" s="4649"/>
    </row>
    <row r="91" spans="1:13" ht="30" customHeight="1" x14ac:dyDescent="0.2">
      <c r="A91" s="4464"/>
      <c r="B91" s="4488"/>
      <c r="C91" s="4540"/>
      <c r="D91" s="4414"/>
      <c r="E91" s="4516"/>
      <c r="F91" s="4414"/>
      <c r="G91" s="493">
        <v>50000000</v>
      </c>
      <c r="H91" s="493" t="s">
        <v>1732</v>
      </c>
      <c r="I91" s="496" t="s">
        <v>1737</v>
      </c>
      <c r="J91" s="21" t="s">
        <v>688</v>
      </c>
      <c r="K91" s="4414"/>
      <c r="L91" s="4414"/>
      <c r="M91" s="4649"/>
    </row>
    <row r="92" spans="1:13" ht="30" customHeight="1" x14ac:dyDescent="0.2">
      <c r="A92" s="4464"/>
      <c r="B92" s="4488"/>
      <c r="C92" s="4540"/>
      <c r="D92" s="4414"/>
      <c r="E92" s="4516"/>
      <c r="F92" s="4414"/>
      <c r="G92" s="501">
        <v>50000000</v>
      </c>
      <c r="H92" s="501" t="s">
        <v>1749</v>
      </c>
      <c r="I92" s="507" t="s">
        <v>1964</v>
      </c>
      <c r="J92" s="21" t="s">
        <v>688</v>
      </c>
      <c r="K92" s="4414"/>
      <c r="L92" s="4414"/>
      <c r="M92" s="4649"/>
    </row>
    <row r="93" spans="1:13" ht="30" customHeight="1" x14ac:dyDescent="0.2">
      <c r="A93" s="4464"/>
      <c r="B93" s="4488"/>
      <c r="C93" s="4540"/>
      <c r="D93" s="4414"/>
      <c r="E93" s="4516"/>
      <c r="F93" s="4414"/>
      <c r="G93" s="455">
        <v>4810000</v>
      </c>
      <c r="H93" s="837" t="s">
        <v>2414</v>
      </c>
      <c r="I93" s="844" t="s">
        <v>2419</v>
      </c>
      <c r="J93" s="21" t="s">
        <v>688</v>
      </c>
      <c r="K93" s="4415"/>
      <c r="L93" s="4415"/>
      <c r="M93" s="4650"/>
    </row>
    <row r="94" spans="1:13" ht="30" customHeight="1" x14ac:dyDescent="0.2">
      <c r="A94" s="4460"/>
      <c r="B94" s="4458"/>
      <c r="C94" s="4538"/>
      <c r="D94" s="4415"/>
      <c r="E94" s="4477"/>
      <c r="F94" s="4415"/>
      <c r="G94" s="837"/>
      <c r="H94" s="837"/>
      <c r="I94" s="844"/>
      <c r="J94" s="21"/>
      <c r="K94" s="837"/>
      <c r="L94" s="837"/>
      <c r="M94" s="845"/>
    </row>
    <row r="95" spans="1:13" ht="30" customHeight="1" x14ac:dyDescent="0.2">
      <c r="A95" s="346">
        <v>57</v>
      </c>
      <c r="B95" s="328" t="s">
        <v>1077</v>
      </c>
      <c r="C95" s="344" t="s">
        <v>1298</v>
      </c>
      <c r="D95" s="332">
        <v>317000000</v>
      </c>
      <c r="E95" s="331">
        <v>7.0000000000000007E-2</v>
      </c>
      <c r="F95" s="332">
        <f>D95*E95</f>
        <v>22190000.000000004</v>
      </c>
      <c r="G95" s="350">
        <v>22190000</v>
      </c>
      <c r="H95" s="350" t="s">
        <v>2414</v>
      </c>
      <c r="I95" s="32" t="s">
        <v>2419</v>
      </c>
      <c r="J95" s="21" t="s">
        <v>688</v>
      </c>
      <c r="K95" s="350">
        <f>G95</f>
        <v>22190000</v>
      </c>
      <c r="L95" s="350">
        <f>F95-K95</f>
        <v>0</v>
      </c>
      <c r="M95" s="334"/>
    </row>
    <row r="96" spans="1:13" ht="30" customHeight="1" x14ac:dyDescent="0.2">
      <c r="A96" s="346">
        <v>58</v>
      </c>
      <c r="B96" s="41" t="s">
        <v>1064</v>
      </c>
      <c r="C96" s="344"/>
      <c r="D96" s="332">
        <v>11000000</v>
      </c>
      <c r="E96" s="17">
        <v>5.5E-2</v>
      </c>
      <c r="F96" s="332">
        <v>600000</v>
      </c>
      <c r="G96" s="332">
        <v>600000</v>
      </c>
      <c r="H96" s="332" t="s">
        <v>1732</v>
      </c>
      <c r="I96" s="338" t="s">
        <v>1738</v>
      </c>
      <c r="J96" s="83" t="s">
        <v>1739</v>
      </c>
      <c r="K96" s="332">
        <f>G96</f>
        <v>600000</v>
      </c>
      <c r="L96" s="332">
        <f t="shared" si="7"/>
        <v>0</v>
      </c>
      <c r="M96" s="41"/>
    </row>
    <row r="97" spans="1:13" ht="30" customHeight="1" x14ac:dyDescent="0.2">
      <c r="A97" s="4459">
        <v>59</v>
      </c>
      <c r="B97" s="4457" t="s">
        <v>194</v>
      </c>
      <c r="C97" s="4537" t="s">
        <v>1295</v>
      </c>
      <c r="D97" s="332">
        <v>90000000</v>
      </c>
      <c r="E97" s="17">
        <v>0.05</v>
      </c>
      <c r="F97" s="332">
        <f t="shared" si="6"/>
        <v>4500000</v>
      </c>
      <c r="G97" s="1039"/>
      <c r="H97" s="1039"/>
      <c r="I97" s="786"/>
      <c r="J97" s="1046"/>
      <c r="K97" s="4506"/>
      <c r="L97" s="4413">
        <f t="shared" si="7"/>
        <v>4500000</v>
      </c>
      <c r="M97" s="4492" t="s">
        <v>2563</v>
      </c>
    </row>
    <row r="98" spans="1:13" ht="30" customHeight="1" x14ac:dyDescent="0.2">
      <c r="A98" s="4460"/>
      <c r="B98" s="4458"/>
      <c r="C98" s="4538"/>
      <c r="D98" s="332">
        <v>10000000</v>
      </c>
      <c r="E98" s="17">
        <v>7.0000000000000007E-2</v>
      </c>
      <c r="F98" s="332">
        <f t="shared" si="6"/>
        <v>700000.00000000012</v>
      </c>
      <c r="G98" s="4638" t="s">
        <v>1301</v>
      </c>
      <c r="H98" s="4639"/>
      <c r="I98" s="4639"/>
      <c r="J98" s="4640"/>
      <c r="K98" s="4508"/>
      <c r="L98" s="4415"/>
      <c r="M98" s="4493"/>
    </row>
    <row r="99" spans="1:13" ht="30" customHeight="1" x14ac:dyDescent="0.2">
      <c r="A99" s="957">
        <v>60</v>
      </c>
      <c r="B99" s="958" t="s">
        <v>1498</v>
      </c>
      <c r="C99" s="951"/>
      <c r="D99" s="330"/>
      <c r="E99" s="40"/>
      <c r="F99" s="330">
        <f t="shared" si="6"/>
        <v>0</v>
      </c>
      <c r="G99" s="332">
        <v>10000000</v>
      </c>
      <c r="H99" s="332" t="s">
        <v>897</v>
      </c>
      <c r="I99" s="338" t="s">
        <v>1325</v>
      </c>
      <c r="J99" s="21" t="s">
        <v>1071</v>
      </c>
      <c r="K99" s="332">
        <f>G99</f>
        <v>10000000</v>
      </c>
      <c r="L99" s="351">
        <f t="shared" si="7"/>
        <v>-10000000</v>
      </c>
      <c r="M99" s="41" t="s">
        <v>2516</v>
      </c>
    </row>
    <row r="100" spans="1:13" ht="30" customHeight="1" x14ac:dyDescent="0.2">
      <c r="A100" s="326">
        <v>61</v>
      </c>
      <c r="B100" s="41" t="s">
        <v>196</v>
      </c>
      <c r="C100" s="344"/>
      <c r="D100" s="332">
        <v>100000000</v>
      </c>
      <c r="E100" s="17">
        <v>7.0000000000000007E-2</v>
      </c>
      <c r="F100" s="332">
        <f t="shared" si="6"/>
        <v>7000000.0000000009</v>
      </c>
      <c r="G100" s="493">
        <v>7000000</v>
      </c>
      <c r="H100" s="493" t="s">
        <v>1594</v>
      </c>
      <c r="I100" s="498" t="s">
        <v>1609</v>
      </c>
      <c r="J100" s="21" t="s">
        <v>1610</v>
      </c>
      <c r="K100" s="493">
        <f>G100</f>
        <v>7000000</v>
      </c>
      <c r="L100" s="332">
        <f t="shared" si="7"/>
        <v>0</v>
      </c>
      <c r="M100" s="41" t="s">
        <v>1748</v>
      </c>
    </row>
    <row r="101" spans="1:13" ht="30" customHeight="1" x14ac:dyDescent="0.2">
      <c r="A101" s="4">
        <v>62</v>
      </c>
      <c r="B101" s="41" t="s">
        <v>197</v>
      </c>
      <c r="C101" s="344"/>
      <c r="D101" s="330"/>
      <c r="E101" s="40"/>
      <c r="F101" s="330">
        <f t="shared" si="6"/>
        <v>0</v>
      </c>
      <c r="G101" s="332">
        <v>3250000</v>
      </c>
      <c r="H101" s="332" t="s">
        <v>2441</v>
      </c>
      <c r="I101" s="338" t="s">
        <v>2450</v>
      </c>
      <c r="J101" s="293" t="s">
        <v>2451</v>
      </c>
      <c r="K101" s="332">
        <f>G101</f>
        <v>3250000</v>
      </c>
      <c r="L101" s="330">
        <f t="shared" si="7"/>
        <v>-3250000</v>
      </c>
      <c r="M101" s="41"/>
    </row>
    <row r="102" spans="1:13" ht="30" customHeight="1" x14ac:dyDescent="0.2">
      <c r="A102" s="4459">
        <v>63</v>
      </c>
      <c r="B102" s="4457" t="s">
        <v>198</v>
      </c>
      <c r="C102" s="4537"/>
      <c r="D102" s="359">
        <v>1250000000</v>
      </c>
      <c r="E102" s="17">
        <f>F102/D102</f>
        <v>6.5000000000000002E-2</v>
      </c>
      <c r="F102" s="359">
        <v>81250000</v>
      </c>
      <c r="G102" s="359">
        <v>50000000</v>
      </c>
      <c r="H102" s="359" t="s">
        <v>1359</v>
      </c>
      <c r="I102" s="380" t="s">
        <v>1364</v>
      </c>
      <c r="J102" s="33" t="s">
        <v>921</v>
      </c>
      <c r="K102" s="373">
        <f>G102</f>
        <v>50000000</v>
      </c>
      <c r="L102" s="470">
        <f t="shared" si="7"/>
        <v>31250000</v>
      </c>
      <c r="M102" s="638" t="s">
        <v>1674</v>
      </c>
    </row>
    <row r="103" spans="1:13" ht="30" customHeight="1" x14ac:dyDescent="0.2">
      <c r="A103" s="4464"/>
      <c r="B103" s="4488"/>
      <c r="C103" s="4538"/>
      <c r="D103" s="465">
        <v>1300000000</v>
      </c>
      <c r="E103" s="464"/>
      <c r="F103" s="948"/>
      <c r="G103" s="4469" t="s">
        <v>1675</v>
      </c>
      <c r="H103" s="4470"/>
      <c r="I103" s="4470"/>
      <c r="J103" s="4470"/>
      <c r="K103" s="4470"/>
      <c r="L103" s="4471"/>
      <c r="M103" s="180"/>
    </row>
    <row r="104" spans="1:13" ht="30" customHeight="1" x14ac:dyDescent="0.2">
      <c r="A104" s="4460"/>
      <c r="B104" s="4458"/>
      <c r="C104" s="947"/>
      <c r="D104" s="946">
        <v>1600000000</v>
      </c>
      <c r="E104" s="945">
        <v>6.5000000000000002E-2</v>
      </c>
      <c r="F104" s="946">
        <f>D104*E104</f>
        <v>104000000</v>
      </c>
      <c r="G104" s="4303" t="s">
        <v>2513</v>
      </c>
      <c r="H104" s="4324"/>
      <c r="I104" s="4324"/>
      <c r="J104" s="4324"/>
      <c r="K104" s="4324"/>
      <c r="L104" s="4355"/>
      <c r="M104" s="29"/>
    </row>
    <row r="105" spans="1:13" ht="30" customHeight="1" x14ac:dyDescent="0.2">
      <c r="A105" s="4">
        <v>64</v>
      </c>
      <c r="B105" s="348" t="s">
        <v>1336</v>
      </c>
      <c r="C105" s="344" t="s">
        <v>889</v>
      </c>
      <c r="D105" s="332">
        <v>200000000</v>
      </c>
      <c r="E105" s="353">
        <v>5.0999999999999997E-2</v>
      </c>
      <c r="F105" s="332">
        <f t="shared" si="6"/>
        <v>10200000</v>
      </c>
      <c r="G105" s="332">
        <v>10200000</v>
      </c>
      <c r="H105" s="332" t="s">
        <v>1022</v>
      </c>
      <c r="I105" s="32" t="s">
        <v>1334</v>
      </c>
      <c r="J105" s="21" t="s">
        <v>1335</v>
      </c>
      <c r="K105" s="332">
        <f>G105</f>
        <v>10200000</v>
      </c>
      <c r="L105" s="332">
        <f t="shared" si="7"/>
        <v>0</v>
      </c>
      <c r="M105" s="97" t="s">
        <v>1337</v>
      </c>
    </row>
    <row r="106" spans="1:13" ht="30" customHeight="1" x14ac:dyDescent="0.2">
      <c r="A106" s="4459">
        <v>66</v>
      </c>
      <c r="B106" s="4457" t="s">
        <v>201</v>
      </c>
      <c r="C106" s="4537"/>
      <c r="D106" s="4506"/>
      <c r="E106" s="4512"/>
      <c r="F106" s="4506">
        <f t="shared" si="6"/>
        <v>0</v>
      </c>
      <c r="G106" s="332">
        <v>12860000</v>
      </c>
      <c r="H106" s="332" t="s">
        <v>1359</v>
      </c>
      <c r="I106" s="377" t="s">
        <v>1398</v>
      </c>
      <c r="J106" s="21" t="s">
        <v>928</v>
      </c>
      <c r="K106" s="4413">
        <f>G106+G107</f>
        <v>26000000</v>
      </c>
      <c r="L106" s="4506">
        <f t="shared" si="7"/>
        <v>-26000000</v>
      </c>
      <c r="M106" s="41"/>
    </row>
    <row r="107" spans="1:13" ht="30" customHeight="1" x14ac:dyDescent="0.2">
      <c r="A107" s="4460"/>
      <c r="B107" s="4458"/>
      <c r="C107" s="4538"/>
      <c r="D107" s="4508"/>
      <c r="E107" s="4514"/>
      <c r="F107" s="4508"/>
      <c r="G107" s="923">
        <v>13140000</v>
      </c>
      <c r="H107" s="927" t="s">
        <v>2484</v>
      </c>
      <c r="I107" s="935" t="s">
        <v>2486</v>
      </c>
      <c r="J107" s="384" t="s">
        <v>928</v>
      </c>
      <c r="K107" s="4415"/>
      <c r="L107" s="4508"/>
      <c r="M107" s="924" t="s">
        <v>2487</v>
      </c>
    </row>
    <row r="108" spans="1:13" ht="30" customHeight="1" x14ac:dyDescent="0.2">
      <c r="A108" s="4459">
        <v>67</v>
      </c>
      <c r="B108" s="4457" t="s">
        <v>180</v>
      </c>
      <c r="C108" s="4537"/>
      <c r="D108" s="610">
        <v>35000000</v>
      </c>
      <c r="E108" s="622">
        <v>0.08</v>
      </c>
      <c r="F108" s="610">
        <v>2750000</v>
      </c>
      <c r="G108" s="610">
        <v>2750000</v>
      </c>
      <c r="H108" s="4413" t="s">
        <v>1782</v>
      </c>
      <c r="I108" s="4555" t="s">
        <v>1981</v>
      </c>
      <c r="J108" s="4413" t="s">
        <v>1982</v>
      </c>
      <c r="K108" s="610">
        <f>G108</f>
        <v>2750000</v>
      </c>
      <c r="L108" s="610">
        <f t="shared" si="7"/>
        <v>0</v>
      </c>
      <c r="M108" s="4643" t="s">
        <v>2406</v>
      </c>
    </row>
    <row r="109" spans="1:13" ht="30" customHeight="1" x14ac:dyDescent="0.2">
      <c r="A109" s="4460"/>
      <c r="B109" s="4458"/>
      <c r="C109" s="4538"/>
      <c r="D109" s="4303" t="s">
        <v>1983</v>
      </c>
      <c r="E109" s="4324"/>
      <c r="F109" s="4355"/>
      <c r="G109" s="610">
        <v>35000000</v>
      </c>
      <c r="H109" s="4415"/>
      <c r="I109" s="4557"/>
      <c r="J109" s="4415"/>
      <c r="K109" s="610">
        <f>G109</f>
        <v>35000000</v>
      </c>
      <c r="L109" s="610">
        <f>G109-K109</f>
        <v>0</v>
      </c>
      <c r="M109" s="4644"/>
    </row>
    <row r="110" spans="1:13" ht="30" customHeight="1" x14ac:dyDescent="0.2">
      <c r="A110" s="4">
        <v>68</v>
      </c>
      <c r="B110" s="41" t="s">
        <v>202</v>
      </c>
      <c r="C110" s="344" t="s">
        <v>1295</v>
      </c>
      <c r="D110" s="332">
        <v>150000000</v>
      </c>
      <c r="E110" s="17">
        <v>0.05</v>
      </c>
      <c r="F110" s="332">
        <f t="shared" si="6"/>
        <v>7500000</v>
      </c>
      <c r="G110" s="332">
        <v>7500000</v>
      </c>
      <c r="H110" s="332" t="s">
        <v>1022</v>
      </c>
      <c r="I110" s="338" t="s">
        <v>1332</v>
      </c>
      <c r="J110" s="21" t="s">
        <v>932</v>
      </c>
      <c r="K110" s="332">
        <f>G110</f>
        <v>7500000</v>
      </c>
      <c r="L110" s="332">
        <f>F110-K110</f>
        <v>0</v>
      </c>
      <c r="M110" s="41"/>
    </row>
    <row r="111" spans="1:13" ht="30" customHeight="1" x14ac:dyDescent="0.2">
      <c r="A111" s="4459">
        <v>69</v>
      </c>
      <c r="B111" s="4457" t="s">
        <v>203</v>
      </c>
      <c r="C111" s="4620" t="s">
        <v>889</v>
      </c>
      <c r="D111" s="4322">
        <v>280000000</v>
      </c>
      <c r="E111" s="4608">
        <f>F111/D111</f>
        <v>7.0000000000000007E-2</v>
      </c>
      <c r="F111" s="4322">
        <v>19600000</v>
      </c>
      <c r="G111" s="332">
        <v>9500000</v>
      </c>
      <c r="H111" s="332" t="s">
        <v>1474</v>
      </c>
      <c r="I111" s="32" t="s">
        <v>1586</v>
      </c>
      <c r="J111" s="21" t="s">
        <v>1588</v>
      </c>
      <c r="K111" s="4413">
        <f>G111+G112</f>
        <v>19500000</v>
      </c>
      <c r="L111" s="4413">
        <f t="shared" si="7"/>
        <v>100000</v>
      </c>
      <c r="M111" s="4643" t="s">
        <v>1589</v>
      </c>
    </row>
    <row r="112" spans="1:13" ht="30" customHeight="1" x14ac:dyDescent="0.2">
      <c r="A112" s="4460"/>
      <c r="B112" s="4458"/>
      <c r="C112" s="4620"/>
      <c r="D112" s="4322"/>
      <c r="E112" s="4608"/>
      <c r="F112" s="4322"/>
      <c r="G112" s="455">
        <v>10000000</v>
      </c>
      <c r="H112" s="455" t="s">
        <v>1474</v>
      </c>
      <c r="I112" s="461" t="s">
        <v>1587</v>
      </c>
      <c r="J112" s="21" t="s">
        <v>1588</v>
      </c>
      <c r="K112" s="4415"/>
      <c r="L112" s="4415"/>
      <c r="M112" s="4644"/>
    </row>
    <row r="113" spans="1:13" ht="30" customHeight="1" x14ac:dyDescent="0.2">
      <c r="A113" s="4">
        <v>70</v>
      </c>
      <c r="B113" s="41" t="s">
        <v>204</v>
      </c>
      <c r="C113" s="344" t="s">
        <v>889</v>
      </c>
      <c r="D113" s="332">
        <v>100000000</v>
      </c>
      <c r="E113" s="17">
        <v>0.04</v>
      </c>
      <c r="F113" s="332">
        <f t="shared" si="6"/>
        <v>4000000</v>
      </c>
      <c r="G113" s="332">
        <v>4000000</v>
      </c>
      <c r="H113" s="332" t="s">
        <v>1359</v>
      </c>
      <c r="I113" s="338" t="s">
        <v>1384</v>
      </c>
      <c r="J113" s="83" t="s">
        <v>1385</v>
      </c>
      <c r="K113" s="332">
        <f>G113</f>
        <v>4000000</v>
      </c>
      <c r="L113" s="370">
        <f t="shared" si="7"/>
        <v>0</v>
      </c>
      <c r="M113" s="41"/>
    </row>
    <row r="114" spans="1:13" ht="30" customHeight="1" x14ac:dyDescent="0.2">
      <c r="A114" s="4459">
        <v>71</v>
      </c>
      <c r="B114" s="4457" t="s">
        <v>205</v>
      </c>
      <c r="C114" s="4537" t="s">
        <v>942</v>
      </c>
      <c r="D114" s="4413">
        <v>20000000</v>
      </c>
      <c r="E114" s="4476">
        <v>0.05</v>
      </c>
      <c r="F114" s="4413">
        <f t="shared" si="6"/>
        <v>1000000</v>
      </c>
      <c r="G114" s="332">
        <v>1000000</v>
      </c>
      <c r="H114" s="332" t="s">
        <v>1405</v>
      </c>
      <c r="I114" s="338" t="s">
        <v>1406</v>
      </c>
      <c r="J114" s="21" t="s">
        <v>1407</v>
      </c>
      <c r="K114" s="332">
        <f>G114</f>
        <v>1000000</v>
      </c>
      <c r="L114" s="332">
        <f t="shared" si="7"/>
        <v>0</v>
      </c>
      <c r="M114" s="875" t="s">
        <v>2258</v>
      </c>
    </row>
    <row r="115" spans="1:13" ht="30" customHeight="1" x14ac:dyDescent="0.2">
      <c r="A115" s="4460"/>
      <c r="B115" s="4458"/>
      <c r="C115" s="4538"/>
      <c r="D115" s="4415"/>
      <c r="E115" s="4477"/>
      <c r="F115" s="4415"/>
      <c r="G115" s="873">
        <v>1000000</v>
      </c>
      <c r="H115" s="873" t="s">
        <v>2441</v>
      </c>
      <c r="I115" s="880" t="s">
        <v>2442</v>
      </c>
      <c r="J115" s="21" t="s">
        <v>1407</v>
      </c>
      <c r="K115" s="873">
        <f>G115</f>
        <v>1000000</v>
      </c>
      <c r="L115" s="873">
        <f>G115-K115</f>
        <v>0</v>
      </c>
      <c r="M115" s="876" t="s">
        <v>2443</v>
      </c>
    </row>
    <row r="116" spans="1:13" ht="30" customHeight="1" x14ac:dyDescent="0.2">
      <c r="A116" s="4">
        <v>72</v>
      </c>
      <c r="B116" s="41" t="s">
        <v>1023</v>
      </c>
      <c r="C116" s="344"/>
      <c r="D116" s="330">
        <v>1000000000</v>
      </c>
      <c r="E116" s="40">
        <v>5.5E-2</v>
      </c>
      <c r="F116" s="330">
        <f t="shared" si="6"/>
        <v>55000000</v>
      </c>
      <c r="G116" s="332"/>
      <c r="H116" s="332"/>
      <c r="I116" s="340"/>
      <c r="J116" s="21"/>
      <c r="K116" s="332"/>
      <c r="L116" s="330">
        <f t="shared" si="7"/>
        <v>55000000</v>
      </c>
      <c r="M116" s="41"/>
    </row>
    <row r="117" spans="1:13" ht="30" customHeight="1" x14ac:dyDescent="0.2">
      <c r="A117" s="642">
        <v>73</v>
      </c>
      <c r="B117" s="41" t="s">
        <v>206</v>
      </c>
      <c r="C117" s="344" t="s">
        <v>1293</v>
      </c>
      <c r="D117" s="332">
        <v>20000000</v>
      </c>
      <c r="E117" s="17">
        <v>0.05</v>
      </c>
      <c r="F117" s="332">
        <f t="shared" si="6"/>
        <v>1000000</v>
      </c>
      <c r="G117" s="332">
        <v>1000000</v>
      </c>
      <c r="H117" s="332" t="s">
        <v>1359</v>
      </c>
      <c r="I117" s="338" t="s">
        <v>1367</v>
      </c>
      <c r="J117" s="21" t="s">
        <v>1368</v>
      </c>
      <c r="K117" s="332">
        <f>G117</f>
        <v>1000000</v>
      </c>
      <c r="L117" s="332">
        <f t="shared" si="7"/>
        <v>0</v>
      </c>
      <c r="M117" s="41"/>
    </row>
    <row r="118" spans="1:13" ht="30" customHeight="1" x14ac:dyDescent="0.2">
      <c r="A118" s="4">
        <v>74</v>
      </c>
      <c r="B118" s="41" t="s">
        <v>207</v>
      </c>
      <c r="C118" s="344" t="s">
        <v>889</v>
      </c>
      <c r="D118" s="332">
        <v>125000000</v>
      </c>
      <c r="E118" s="17">
        <v>0.04</v>
      </c>
      <c r="F118" s="332">
        <f t="shared" si="6"/>
        <v>5000000</v>
      </c>
      <c r="G118" s="332">
        <v>5000000</v>
      </c>
      <c r="H118" s="332" t="s">
        <v>1022</v>
      </c>
      <c r="I118" s="338" t="s">
        <v>1343</v>
      </c>
      <c r="J118" s="21" t="s">
        <v>946</v>
      </c>
      <c r="K118" s="332">
        <f>G118</f>
        <v>5000000</v>
      </c>
      <c r="L118" s="332">
        <f t="shared" si="7"/>
        <v>0</v>
      </c>
      <c r="M118" s="41"/>
    </row>
    <row r="119" spans="1:13" ht="30" customHeight="1" x14ac:dyDescent="0.2">
      <c r="A119" s="642">
        <v>75</v>
      </c>
      <c r="B119" s="41" t="s">
        <v>208</v>
      </c>
      <c r="C119" s="344"/>
      <c r="D119" s="332">
        <v>50000000</v>
      </c>
      <c r="E119" s="17">
        <v>0.05</v>
      </c>
      <c r="F119" s="332">
        <f t="shared" si="6"/>
        <v>2500000</v>
      </c>
      <c r="G119" s="332">
        <v>2500000</v>
      </c>
      <c r="H119" s="332" t="s">
        <v>1359</v>
      </c>
      <c r="I119" s="338" t="s">
        <v>1399</v>
      </c>
      <c r="J119" s="21" t="s">
        <v>948</v>
      </c>
      <c r="K119" s="332">
        <f>G119</f>
        <v>2500000</v>
      </c>
      <c r="L119" s="332">
        <f t="shared" si="7"/>
        <v>0</v>
      </c>
      <c r="M119" s="41"/>
    </row>
    <row r="120" spans="1:13" ht="30" customHeight="1" x14ac:dyDescent="0.2">
      <c r="A120" s="4">
        <v>76</v>
      </c>
      <c r="B120" s="41" t="s">
        <v>209</v>
      </c>
      <c r="C120" s="344" t="s">
        <v>1293</v>
      </c>
      <c r="D120" s="332">
        <v>100000000</v>
      </c>
      <c r="E120" s="17">
        <v>0.05</v>
      </c>
      <c r="F120" s="332">
        <f t="shared" si="6"/>
        <v>5000000</v>
      </c>
      <c r="G120" s="332">
        <v>5000000</v>
      </c>
      <c r="H120" s="332" t="s">
        <v>1474</v>
      </c>
      <c r="I120" s="338" t="s">
        <v>1537</v>
      </c>
      <c r="J120" s="21" t="s">
        <v>1538</v>
      </c>
      <c r="K120" s="332">
        <f>G120</f>
        <v>5000000</v>
      </c>
      <c r="L120" s="332">
        <f t="shared" si="7"/>
        <v>0</v>
      </c>
      <c r="M120" s="41"/>
    </row>
    <row r="121" spans="1:13" ht="30" customHeight="1" x14ac:dyDescent="0.2">
      <c r="A121" s="4459">
        <v>77</v>
      </c>
      <c r="B121" s="4457" t="s">
        <v>210</v>
      </c>
      <c r="C121" s="4537" t="s">
        <v>1717</v>
      </c>
      <c r="D121" s="332">
        <v>30000000</v>
      </c>
      <c r="E121" s="17">
        <v>7.0000000000000007E-2</v>
      </c>
      <c r="F121" s="433">
        <f t="shared" si="6"/>
        <v>2100000</v>
      </c>
      <c r="G121" s="4413">
        <v>3675000</v>
      </c>
      <c r="H121" s="4413" t="s">
        <v>1474</v>
      </c>
      <c r="I121" s="4555" t="s">
        <v>1569</v>
      </c>
      <c r="J121" s="4574" t="s">
        <v>1570</v>
      </c>
      <c r="K121" s="4413">
        <f>G121</f>
        <v>3675000</v>
      </c>
      <c r="L121" s="4413">
        <f>(F121+F122)-K121</f>
        <v>0</v>
      </c>
      <c r="M121" s="4492" t="s">
        <v>953</v>
      </c>
    </row>
    <row r="122" spans="1:13" ht="30" customHeight="1" x14ac:dyDescent="0.2">
      <c r="A122" s="4460"/>
      <c r="B122" s="4458"/>
      <c r="C122" s="4538"/>
      <c r="D122" s="332">
        <v>35000000</v>
      </c>
      <c r="E122" s="17">
        <v>4.4999999999999998E-2</v>
      </c>
      <c r="F122" s="332">
        <f t="shared" si="6"/>
        <v>1575000</v>
      </c>
      <c r="G122" s="4415"/>
      <c r="H122" s="4415"/>
      <c r="I122" s="4557"/>
      <c r="J122" s="4575"/>
      <c r="K122" s="4415"/>
      <c r="L122" s="4415"/>
      <c r="M122" s="4493"/>
    </row>
    <row r="123" spans="1:13" ht="30" customHeight="1" x14ac:dyDescent="0.2">
      <c r="A123" s="4">
        <v>78</v>
      </c>
      <c r="B123" s="41" t="s">
        <v>211</v>
      </c>
      <c r="C123" s="344"/>
      <c r="D123" s="330"/>
      <c r="E123" s="40"/>
      <c r="F123" s="330">
        <f t="shared" si="6"/>
        <v>0</v>
      </c>
      <c r="G123" s="332">
        <v>1900000</v>
      </c>
      <c r="H123" s="332" t="s">
        <v>1359</v>
      </c>
      <c r="I123" s="338" t="s">
        <v>1387</v>
      </c>
      <c r="J123" s="83" t="s">
        <v>955</v>
      </c>
      <c r="K123" s="332">
        <f t="shared" ref="K123:K129" si="9">G123</f>
        <v>1900000</v>
      </c>
      <c r="L123" s="330">
        <f t="shared" si="7"/>
        <v>-1900000</v>
      </c>
      <c r="M123" s="41"/>
    </row>
    <row r="124" spans="1:13" ht="30" customHeight="1" x14ac:dyDescent="0.2">
      <c r="A124" s="4">
        <v>79</v>
      </c>
      <c r="B124" s="41" t="s">
        <v>212</v>
      </c>
      <c r="C124" s="344" t="s">
        <v>889</v>
      </c>
      <c r="D124" s="332">
        <v>15000000</v>
      </c>
      <c r="E124" s="17">
        <v>4.4999999999999998E-2</v>
      </c>
      <c r="F124" s="332">
        <f t="shared" si="6"/>
        <v>675000</v>
      </c>
      <c r="G124" s="332">
        <v>675000</v>
      </c>
      <c r="H124" s="332" t="s">
        <v>1749</v>
      </c>
      <c r="I124" s="338" t="s">
        <v>1765</v>
      </c>
      <c r="J124" s="21" t="s">
        <v>1766</v>
      </c>
      <c r="K124" s="332">
        <f t="shared" si="9"/>
        <v>675000</v>
      </c>
      <c r="L124" s="332">
        <f t="shared" si="7"/>
        <v>0</v>
      </c>
      <c r="M124" s="41"/>
    </row>
    <row r="125" spans="1:13" ht="30" customHeight="1" x14ac:dyDescent="0.2">
      <c r="A125" s="4">
        <v>80</v>
      </c>
      <c r="B125" s="41" t="s">
        <v>182</v>
      </c>
      <c r="C125" s="344" t="s">
        <v>1293</v>
      </c>
      <c r="D125" s="350">
        <v>145000000</v>
      </c>
      <c r="E125" s="17">
        <v>4.4999999999999998E-2</v>
      </c>
      <c r="F125" s="350">
        <v>6775000</v>
      </c>
      <c r="G125" s="332">
        <v>6775000</v>
      </c>
      <c r="H125" s="332" t="s">
        <v>1022</v>
      </c>
      <c r="I125" s="338" t="s">
        <v>1331</v>
      </c>
      <c r="J125" s="341" t="s">
        <v>960</v>
      </c>
      <c r="K125" s="332">
        <f t="shared" si="9"/>
        <v>6775000</v>
      </c>
      <c r="L125" s="350">
        <f t="shared" si="7"/>
        <v>0</v>
      </c>
      <c r="M125" s="41"/>
    </row>
    <row r="126" spans="1:13" ht="30" customHeight="1" x14ac:dyDescent="0.2">
      <c r="A126" s="4">
        <v>81</v>
      </c>
      <c r="B126" s="41" t="s">
        <v>213</v>
      </c>
      <c r="C126" s="344"/>
      <c r="D126" s="330"/>
      <c r="E126" s="40"/>
      <c r="F126" s="330">
        <f t="shared" si="6"/>
        <v>0</v>
      </c>
      <c r="G126" s="332">
        <v>200000</v>
      </c>
      <c r="H126" s="332" t="s">
        <v>1359</v>
      </c>
      <c r="I126" s="338" t="s">
        <v>1362</v>
      </c>
      <c r="J126" s="21" t="s">
        <v>1363</v>
      </c>
      <c r="K126" s="332">
        <f t="shared" si="9"/>
        <v>200000</v>
      </c>
      <c r="L126" s="330">
        <f t="shared" si="7"/>
        <v>-200000</v>
      </c>
      <c r="M126" s="41"/>
    </row>
    <row r="127" spans="1:13" ht="30" customHeight="1" x14ac:dyDescent="0.2">
      <c r="A127" s="4">
        <v>82</v>
      </c>
      <c r="B127" s="41" t="s">
        <v>214</v>
      </c>
      <c r="C127" s="344"/>
      <c r="D127" s="332">
        <v>16000000</v>
      </c>
      <c r="E127" s="17">
        <v>0.05</v>
      </c>
      <c r="F127" s="332">
        <f t="shared" si="6"/>
        <v>800000</v>
      </c>
      <c r="G127" s="332">
        <v>800000</v>
      </c>
      <c r="H127" s="332" t="s">
        <v>1359</v>
      </c>
      <c r="I127" s="338" t="s">
        <v>1382</v>
      </c>
      <c r="J127" s="83" t="s">
        <v>1383</v>
      </c>
      <c r="K127" s="332">
        <f t="shared" si="9"/>
        <v>800000</v>
      </c>
      <c r="L127" s="332">
        <f t="shared" si="7"/>
        <v>0</v>
      </c>
      <c r="M127" s="41"/>
    </row>
    <row r="128" spans="1:13" ht="30" customHeight="1" x14ac:dyDescent="0.2">
      <c r="A128" s="4">
        <v>83</v>
      </c>
      <c r="B128" s="41" t="s">
        <v>215</v>
      </c>
      <c r="C128" s="344" t="s">
        <v>889</v>
      </c>
      <c r="D128" s="332">
        <v>160000000</v>
      </c>
      <c r="E128" s="17">
        <v>0.05</v>
      </c>
      <c r="F128" s="332">
        <f>D128*E128</f>
        <v>8000000</v>
      </c>
      <c r="G128" s="332">
        <v>8000000</v>
      </c>
      <c r="H128" s="332" t="s">
        <v>1658</v>
      </c>
      <c r="I128" s="338" t="s">
        <v>1688</v>
      </c>
      <c r="J128" s="341" t="s">
        <v>1689</v>
      </c>
      <c r="K128" s="332">
        <f t="shared" si="9"/>
        <v>8000000</v>
      </c>
      <c r="L128" s="332">
        <f t="shared" si="7"/>
        <v>0</v>
      </c>
      <c r="M128" s="41"/>
    </row>
    <row r="129" spans="1:13" ht="30" customHeight="1" x14ac:dyDescent="0.2">
      <c r="A129" s="4">
        <v>84</v>
      </c>
      <c r="B129" s="41" t="s">
        <v>216</v>
      </c>
      <c r="C129" s="344"/>
      <c r="D129" s="417">
        <v>400000000</v>
      </c>
      <c r="E129" s="17">
        <v>0.06</v>
      </c>
      <c r="F129" s="417">
        <f t="shared" si="6"/>
        <v>24000000</v>
      </c>
      <c r="G129" s="332">
        <v>24000000</v>
      </c>
      <c r="H129" s="332" t="s">
        <v>1474</v>
      </c>
      <c r="I129" s="338" t="s">
        <v>1552</v>
      </c>
      <c r="J129" s="83" t="s">
        <v>1553</v>
      </c>
      <c r="K129" s="332">
        <f t="shared" si="9"/>
        <v>24000000</v>
      </c>
      <c r="L129" s="417">
        <f t="shared" si="7"/>
        <v>0</v>
      </c>
      <c r="M129" s="41"/>
    </row>
    <row r="130" spans="1:13" ht="30" customHeight="1" x14ac:dyDescent="0.2">
      <c r="A130" s="4459">
        <v>85</v>
      </c>
      <c r="B130" s="4599" t="s">
        <v>975</v>
      </c>
      <c r="C130" s="4537" t="s">
        <v>889</v>
      </c>
      <c r="D130" s="332">
        <v>200000000</v>
      </c>
      <c r="E130" s="17">
        <v>0.06</v>
      </c>
      <c r="F130" s="332">
        <f t="shared" si="6"/>
        <v>12000000</v>
      </c>
      <c r="G130" s="359">
        <v>11000000</v>
      </c>
      <c r="H130" s="359" t="s">
        <v>1022</v>
      </c>
      <c r="I130" s="265" t="s">
        <v>1350</v>
      </c>
      <c r="J130" s="83" t="s">
        <v>1351</v>
      </c>
      <c r="K130" s="4413">
        <f>G131+G130</f>
        <v>35600000</v>
      </c>
      <c r="L130" s="4413">
        <f>(F130+F131+F132)-K130</f>
        <v>0</v>
      </c>
      <c r="M130" s="4643"/>
    </row>
    <row r="131" spans="1:13" ht="30" customHeight="1" x14ac:dyDescent="0.2">
      <c r="A131" s="4464"/>
      <c r="B131" s="4600"/>
      <c r="C131" s="4540"/>
      <c r="D131" s="332">
        <v>458000000</v>
      </c>
      <c r="E131" s="17">
        <v>0.05</v>
      </c>
      <c r="F131" s="332">
        <f t="shared" si="6"/>
        <v>22900000</v>
      </c>
      <c r="G131" s="4414">
        <v>24600000</v>
      </c>
      <c r="H131" s="4414" t="s">
        <v>1022</v>
      </c>
      <c r="I131" s="4651" t="s">
        <v>1353</v>
      </c>
      <c r="J131" s="4559" t="s">
        <v>1354</v>
      </c>
      <c r="K131" s="4414"/>
      <c r="L131" s="4414"/>
      <c r="M131" s="4647"/>
    </row>
    <row r="132" spans="1:13" ht="30" customHeight="1" x14ac:dyDescent="0.2">
      <c r="A132" s="4464"/>
      <c r="B132" s="4600"/>
      <c r="C132" s="4540"/>
      <c r="D132" s="332">
        <v>10000000</v>
      </c>
      <c r="E132" s="17">
        <v>7.0000000000000007E-2</v>
      </c>
      <c r="F132" s="332">
        <f t="shared" si="6"/>
        <v>700000.00000000012</v>
      </c>
      <c r="G132" s="4415"/>
      <c r="H132" s="4415"/>
      <c r="I132" s="4546"/>
      <c r="J132" s="4560"/>
      <c r="K132" s="4415"/>
      <c r="L132" s="4415"/>
      <c r="M132" s="4644"/>
    </row>
    <row r="133" spans="1:13" ht="30" customHeight="1" x14ac:dyDescent="0.2">
      <c r="A133" s="4464"/>
      <c r="B133" s="4600"/>
      <c r="C133" s="4540"/>
      <c r="D133" s="949">
        <v>42000000</v>
      </c>
      <c r="E133" s="955">
        <v>7.0000000000000007E-2</v>
      </c>
      <c r="F133" s="949">
        <f t="shared" si="6"/>
        <v>2940000.0000000005</v>
      </c>
      <c r="G133" s="4593" t="s">
        <v>1751</v>
      </c>
      <c r="H133" s="4594"/>
      <c r="I133" s="4594"/>
      <c r="J133" s="4594"/>
      <c r="K133" s="4595"/>
      <c r="L133" s="949"/>
      <c r="M133" s="956"/>
    </row>
    <row r="134" spans="1:13" ht="30" customHeight="1" x14ac:dyDescent="0.2">
      <c r="A134" s="4460"/>
      <c r="B134" s="4607"/>
      <c r="C134" s="4538"/>
      <c r="D134" s="949">
        <f>SUM(D130:D133)</f>
        <v>710000000</v>
      </c>
      <c r="E134" s="955"/>
      <c r="F134" s="950">
        <v>42600000</v>
      </c>
      <c r="G134" s="949"/>
      <c r="H134" s="949"/>
      <c r="I134" s="953"/>
      <c r="J134" s="954"/>
      <c r="K134" s="949"/>
      <c r="L134" s="949"/>
      <c r="M134" s="956"/>
    </row>
    <row r="135" spans="1:13" ht="30" customHeight="1" x14ac:dyDescent="0.2">
      <c r="A135" s="4">
        <v>86</v>
      </c>
      <c r="B135" s="41" t="s">
        <v>217</v>
      </c>
      <c r="C135" s="344"/>
      <c r="D135" s="1552">
        <v>100000000</v>
      </c>
      <c r="E135" s="1555">
        <v>0.05</v>
      </c>
      <c r="F135" s="1552">
        <f t="shared" si="6"/>
        <v>5000000</v>
      </c>
      <c r="G135" s="4303" t="s">
        <v>3396</v>
      </c>
      <c r="H135" s="4324"/>
      <c r="I135" s="4324"/>
      <c r="J135" s="4324"/>
      <c r="K135" s="4355"/>
      <c r="L135" s="1552">
        <f t="shared" si="7"/>
        <v>5000000</v>
      </c>
      <c r="M135" s="41"/>
    </row>
    <row r="136" spans="1:13" ht="30" customHeight="1" x14ac:dyDescent="0.2">
      <c r="A136" s="4459">
        <v>87</v>
      </c>
      <c r="B136" s="4457" t="s">
        <v>174</v>
      </c>
      <c r="C136" s="4537"/>
      <c r="D136" s="4413">
        <v>500000000</v>
      </c>
      <c r="E136" s="4476">
        <v>6.4000000000000001E-2</v>
      </c>
      <c r="F136" s="4413">
        <v>31800000</v>
      </c>
      <c r="G136" s="332">
        <v>17800000</v>
      </c>
      <c r="H136" s="332" t="s">
        <v>1359</v>
      </c>
      <c r="I136" s="377" t="s">
        <v>1396</v>
      </c>
      <c r="J136" s="83" t="s">
        <v>1397</v>
      </c>
      <c r="K136" s="4413">
        <f>G137+G136</f>
        <v>31800000</v>
      </c>
      <c r="L136" s="4413">
        <f>(F137+F136)-K136</f>
        <v>0</v>
      </c>
      <c r="M136" s="4537"/>
    </row>
    <row r="137" spans="1:13" ht="30" customHeight="1" x14ac:dyDescent="0.2">
      <c r="A137" s="4464"/>
      <c r="B137" s="4488"/>
      <c r="C137" s="4540"/>
      <c r="D137" s="4415"/>
      <c r="E137" s="4477"/>
      <c r="F137" s="4415"/>
      <c r="G137" s="332">
        <v>14000000</v>
      </c>
      <c r="H137" s="332" t="s">
        <v>1359</v>
      </c>
      <c r="I137" s="32" t="s">
        <v>1377</v>
      </c>
      <c r="J137" s="115" t="s">
        <v>974</v>
      </c>
      <c r="K137" s="4415"/>
      <c r="L137" s="4415"/>
      <c r="M137" s="4540"/>
    </row>
    <row r="138" spans="1:13" ht="30" customHeight="1" x14ac:dyDescent="0.2">
      <c r="A138" s="4464"/>
      <c r="B138" s="4488"/>
      <c r="C138" s="4540"/>
      <c r="D138" s="811">
        <v>703000000</v>
      </c>
      <c r="E138" s="4616" t="s">
        <v>2358</v>
      </c>
      <c r="F138" s="4617"/>
      <c r="G138" s="4617"/>
      <c r="H138" s="4617"/>
      <c r="I138" s="4617"/>
      <c r="J138" s="4617"/>
      <c r="K138" s="4618"/>
      <c r="L138" s="811"/>
      <c r="M138" s="4540"/>
    </row>
    <row r="139" spans="1:13" ht="30" customHeight="1" x14ac:dyDescent="0.2">
      <c r="A139" s="4464"/>
      <c r="B139" s="4488"/>
      <c r="C139" s="4540"/>
      <c r="D139" s="811">
        <v>723000000</v>
      </c>
      <c r="E139" s="4616" t="s">
        <v>2359</v>
      </c>
      <c r="F139" s="4617"/>
      <c r="G139" s="4617"/>
      <c r="H139" s="4617"/>
      <c r="I139" s="4617"/>
      <c r="J139" s="4617"/>
      <c r="K139" s="4618"/>
      <c r="L139" s="811"/>
      <c r="M139" s="4540"/>
    </row>
    <row r="140" spans="1:13" ht="30" customHeight="1" x14ac:dyDescent="0.2">
      <c r="A140" s="4460"/>
      <c r="B140" s="4458"/>
      <c r="C140" s="4538"/>
      <c r="D140" s="811">
        <v>723000000</v>
      </c>
      <c r="E140" s="4666" t="s">
        <v>2360</v>
      </c>
      <c r="F140" s="4667"/>
      <c r="G140" s="4667"/>
      <c r="H140" s="4667"/>
      <c r="I140" s="4667"/>
      <c r="J140" s="4667"/>
      <c r="K140" s="4668"/>
      <c r="L140" s="811"/>
      <c r="M140" s="4538"/>
    </row>
    <row r="141" spans="1:13" ht="30" customHeight="1" x14ac:dyDescent="0.2">
      <c r="A141" s="4">
        <v>88</v>
      </c>
      <c r="B141" s="41" t="s">
        <v>218</v>
      </c>
      <c r="C141" s="344" t="s">
        <v>1295</v>
      </c>
      <c r="D141" s="332">
        <v>45000000</v>
      </c>
      <c r="E141" s="17">
        <v>0.04</v>
      </c>
      <c r="F141" s="332">
        <v>2050000</v>
      </c>
      <c r="G141" s="332">
        <v>2050000</v>
      </c>
      <c r="H141" s="332" t="s">
        <v>1474</v>
      </c>
      <c r="I141" s="338" t="s">
        <v>1539</v>
      </c>
      <c r="J141" s="18" t="s">
        <v>756</v>
      </c>
      <c r="K141" s="332">
        <f>G141</f>
        <v>2050000</v>
      </c>
      <c r="L141" s="332">
        <f t="shared" si="7"/>
        <v>0</v>
      </c>
      <c r="M141" s="41"/>
    </row>
    <row r="142" spans="1:13" ht="30" customHeight="1" x14ac:dyDescent="0.2">
      <c r="A142" s="4459">
        <v>89</v>
      </c>
      <c r="B142" s="4457" t="s">
        <v>219</v>
      </c>
      <c r="C142" s="4537" t="s">
        <v>1293</v>
      </c>
      <c r="D142" s="430">
        <v>93000000</v>
      </c>
      <c r="E142" s="17">
        <v>7.0000000000000007E-2</v>
      </c>
      <c r="F142" s="430">
        <v>6500000</v>
      </c>
      <c r="G142" s="4413">
        <v>22500000</v>
      </c>
      <c r="H142" s="4413" t="s">
        <v>1359</v>
      </c>
      <c r="I142" s="4621" t="s">
        <v>1395</v>
      </c>
      <c r="J142" s="4574" t="s">
        <v>758</v>
      </c>
      <c r="K142" s="4413">
        <f>G142</f>
        <v>22500000</v>
      </c>
      <c r="L142" s="4413">
        <f>(F142+F143)-K142</f>
        <v>0</v>
      </c>
      <c r="M142" s="4599"/>
    </row>
    <row r="143" spans="1:13" ht="30" customHeight="1" x14ac:dyDescent="0.2">
      <c r="A143" s="4460"/>
      <c r="B143" s="4458"/>
      <c r="C143" s="4538"/>
      <c r="D143" s="417">
        <v>350000000</v>
      </c>
      <c r="E143" s="17">
        <v>4.4999999999999998E-2</v>
      </c>
      <c r="F143" s="430">
        <v>16000000</v>
      </c>
      <c r="G143" s="4415"/>
      <c r="H143" s="4415"/>
      <c r="I143" s="4622"/>
      <c r="J143" s="4575"/>
      <c r="K143" s="4415"/>
      <c r="L143" s="4415"/>
      <c r="M143" s="4607"/>
    </row>
    <row r="144" spans="1:13" ht="30" customHeight="1" x14ac:dyDescent="0.2">
      <c r="A144" s="4459">
        <v>90</v>
      </c>
      <c r="B144" s="4457" t="s">
        <v>220</v>
      </c>
      <c r="C144" s="4537" t="s">
        <v>1172</v>
      </c>
      <c r="D144" s="332">
        <v>130000000</v>
      </c>
      <c r="E144" s="17">
        <v>7.0000000000000007E-2</v>
      </c>
      <c r="F144" s="332">
        <f>D144*E144</f>
        <v>9100000</v>
      </c>
      <c r="G144" s="4413">
        <v>14460000</v>
      </c>
      <c r="H144" s="4413" t="s">
        <v>1749</v>
      </c>
      <c r="I144" s="4545" t="s">
        <v>1807</v>
      </c>
      <c r="J144" s="4478" t="s">
        <v>1808</v>
      </c>
      <c r="K144" s="4413">
        <f>G144</f>
        <v>14460000</v>
      </c>
      <c r="L144" s="4413">
        <f>(F144+F145)-K144</f>
        <v>0</v>
      </c>
      <c r="M144" s="4599"/>
    </row>
    <row r="145" spans="1:13" ht="30" customHeight="1" x14ac:dyDescent="0.2">
      <c r="A145" s="4460"/>
      <c r="B145" s="4458"/>
      <c r="C145" s="4538"/>
      <c r="D145" s="332">
        <v>100000000</v>
      </c>
      <c r="E145" s="17">
        <v>5.3999999999999999E-2</v>
      </c>
      <c r="F145" s="332">
        <v>5360000</v>
      </c>
      <c r="G145" s="4415"/>
      <c r="H145" s="4415"/>
      <c r="I145" s="4546"/>
      <c r="J145" s="4479"/>
      <c r="K145" s="4415"/>
      <c r="L145" s="4415"/>
      <c r="M145" s="4607"/>
    </row>
    <row r="146" spans="1:13" ht="30" customHeight="1" x14ac:dyDescent="0.2">
      <c r="A146" s="4">
        <v>91</v>
      </c>
      <c r="B146" s="41" t="s">
        <v>221</v>
      </c>
      <c r="C146" s="344"/>
      <c r="D146" s="332">
        <v>50000000</v>
      </c>
      <c r="E146" s="17">
        <v>0.04</v>
      </c>
      <c r="F146" s="332">
        <f t="shared" si="6"/>
        <v>2000000</v>
      </c>
      <c r="G146" s="332">
        <v>2000000</v>
      </c>
      <c r="H146" s="332" t="s">
        <v>1474</v>
      </c>
      <c r="I146" s="338" t="s">
        <v>1571</v>
      </c>
      <c r="J146" s="18" t="s">
        <v>1572</v>
      </c>
      <c r="K146" s="332">
        <f>G146</f>
        <v>2000000</v>
      </c>
      <c r="L146" s="332">
        <f t="shared" si="7"/>
        <v>0</v>
      </c>
      <c r="M146" s="41"/>
    </row>
    <row r="147" spans="1:13" ht="30" customHeight="1" x14ac:dyDescent="0.2">
      <c r="A147" s="4459">
        <v>92</v>
      </c>
      <c r="B147" s="4615" t="s">
        <v>749</v>
      </c>
      <c r="C147" s="652" t="s">
        <v>889</v>
      </c>
      <c r="D147" s="435">
        <v>445000000</v>
      </c>
      <c r="E147" s="17">
        <v>5.5E-2</v>
      </c>
      <c r="F147" s="435">
        <v>24150000</v>
      </c>
      <c r="G147" s="435">
        <v>24150000</v>
      </c>
      <c r="H147" s="435" t="s">
        <v>1474</v>
      </c>
      <c r="I147" s="380" t="s">
        <v>1577</v>
      </c>
      <c r="J147" s="33" t="s">
        <v>801</v>
      </c>
      <c r="K147" s="435">
        <f>G147</f>
        <v>24150000</v>
      </c>
      <c r="L147" s="435">
        <f t="shared" si="7"/>
        <v>0</v>
      </c>
      <c r="M147" s="4457" t="s">
        <v>2022</v>
      </c>
    </row>
    <row r="148" spans="1:13" ht="30" customHeight="1" x14ac:dyDescent="0.2">
      <c r="A148" s="4460"/>
      <c r="B148" s="4615"/>
      <c r="C148" s="652" t="s">
        <v>1287</v>
      </c>
      <c r="D148" s="647">
        <v>273000000</v>
      </c>
      <c r="E148" s="646">
        <f>F148/D148</f>
        <v>5.4615384615384614E-2</v>
      </c>
      <c r="F148" s="647">
        <v>14910000</v>
      </c>
      <c r="G148" s="647">
        <v>14910000</v>
      </c>
      <c r="H148" s="647" t="s">
        <v>2054</v>
      </c>
      <c r="I148" s="650" t="s">
        <v>2062</v>
      </c>
      <c r="J148" s="21" t="s">
        <v>692</v>
      </c>
      <c r="K148" s="647">
        <f>G148</f>
        <v>14910000</v>
      </c>
      <c r="L148" s="647">
        <f>G148-K148</f>
        <v>0</v>
      </c>
      <c r="M148" s="4458"/>
    </row>
    <row r="149" spans="1:13" ht="30" customHeight="1" x14ac:dyDescent="0.2">
      <c r="A149" s="4459">
        <v>93</v>
      </c>
      <c r="B149" s="4488" t="s">
        <v>222</v>
      </c>
      <c r="C149" s="4540" t="s">
        <v>889</v>
      </c>
      <c r="D149" s="332">
        <v>300000000</v>
      </c>
      <c r="E149" s="353">
        <v>5.5E-2</v>
      </c>
      <c r="F149" s="332">
        <f t="shared" si="6"/>
        <v>16500000</v>
      </c>
      <c r="G149" s="332"/>
      <c r="H149" s="332"/>
      <c r="I149" s="338"/>
      <c r="J149" s="21"/>
      <c r="K149" s="332"/>
      <c r="L149" s="332">
        <f t="shared" si="7"/>
        <v>16500000</v>
      </c>
      <c r="M149" s="41"/>
    </row>
    <row r="150" spans="1:13" ht="30" customHeight="1" x14ac:dyDescent="0.2">
      <c r="A150" s="4460"/>
      <c r="B150" s="4458"/>
      <c r="C150" s="4538"/>
      <c r="D150" s="370">
        <v>300000000</v>
      </c>
      <c r="E150" s="17">
        <v>5.5E-2</v>
      </c>
      <c r="F150" s="370">
        <v>16500000</v>
      </c>
      <c r="G150" s="370"/>
      <c r="H150" s="370"/>
      <c r="I150" s="377"/>
      <c r="J150" s="21"/>
      <c r="K150" s="370"/>
      <c r="L150" s="370">
        <f t="shared" si="7"/>
        <v>16500000</v>
      </c>
      <c r="M150" s="41"/>
    </row>
    <row r="151" spans="1:13" ht="30" customHeight="1" x14ac:dyDescent="0.2">
      <c r="A151" s="4">
        <v>94</v>
      </c>
      <c r="B151" s="41" t="s">
        <v>1144</v>
      </c>
      <c r="C151" s="344"/>
      <c r="D151" s="332">
        <v>25000000</v>
      </c>
      <c r="E151" s="17">
        <v>0.04</v>
      </c>
      <c r="F151" s="370">
        <f>D151*E151</f>
        <v>1000000</v>
      </c>
      <c r="G151" s="332">
        <v>1400000</v>
      </c>
      <c r="H151" s="332" t="s">
        <v>1359</v>
      </c>
      <c r="I151" s="338" t="s">
        <v>1394</v>
      </c>
      <c r="J151" s="21" t="s">
        <v>1146</v>
      </c>
      <c r="K151" s="332">
        <f>G151</f>
        <v>1400000</v>
      </c>
      <c r="L151" s="370">
        <f>F151-K151</f>
        <v>-400000</v>
      </c>
      <c r="M151" s="41" t="s">
        <v>1442</v>
      </c>
    </row>
    <row r="152" spans="1:13" ht="30" customHeight="1" x14ac:dyDescent="0.2">
      <c r="A152" s="4">
        <v>95</v>
      </c>
      <c r="B152" s="41" t="s">
        <v>223</v>
      </c>
      <c r="C152" s="344"/>
      <c r="D152" s="968">
        <v>350000000</v>
      </c>
      <c r="E152" s="996">
        <v>0.05</v>
      </c>
      <c r="F152" s="968">
        <f t="shared" si="6"/>
        <v>17500000</v>
      </c>
      <c r="G152" s="968">
        <v>25300000</v>
      </c>
      <c r="H152" s="968" t="s">
        <v>1474</v>
      </c>
      <c r="I152" s="984" t="s">
        <v>1580</v>
      </c>
      <c r="J152" s="21" t="s">
        <v>1581</v>
      </c>
      <c r="K152" s="968">
        <f>G152</f>
        <v>25300000</v>
      </c>
      <c r="L152" s="968">
        <f t="shared" si="7"/>
        <v>-7800000</v>
      </c>
      <c r="M152" s="41" t="s">
        <v>1579</v>
      </c>
    </row>
    <row r="153" spans="1:13" ht="30" customHeight="1" x14ac:dyDescent="0.2">
      <c r="A153" s="4">
        <v>96</v>
      </c>
      <c r="B153" s="41" t="s">
        <v>224</v>
      </c>
      <c r="C153" s="344"/>
      <c r="D153" s="332">
        <v>70000000</v>
      </c>
      <c r="E153" s="17">
        <v>0.05</v>
      </c>
      <c r="F153" s="332">
        <f t="shared" si="6"/>
        <v>3500000</v>
      </c>
      <c r="G153" s="332">
        <v>3500000</v>
      </c>
      <c r="H153" s="332" t="s">
        <v>1405</v>
      </c>
      <c r="I153" s="338" t="s">
        <v>1439</v>
      </c>
      <c r="J153" s="341" t="s">
        <v>1440</v>
      </c>
      <c r="K153" s="332">
        <f>F153</f>
        <v>3500000</v>
      </c>
      <c r="L153" s="332">
        <f t="shared" si="7"/>
        <v>0</v>
      </c>
      <c r="M153" s="41"/>
    </row>
    <row r="154" spans="1:13" ht="30" customHeight="1" x14ac:dyDescent="0.2">
      <c r="A154" s="4">
        <v>97</v>
      </c>
      <c r="B154" s="41" t="s">
        <v>225</v>
      </c>
      <c r="C154" s="344"/>
      <c r="D154" s="332">
        <v>100000000</v>
      </c>
      <c r="E154" s="17">
        <v>0.04</v>
      </c>
      <c r="F154" s="332">
        <f t="shared" si="6"/>
        <v>4000000</v>
      </c>
      <c r="G154" s="332"/>
      <c r="H154" s="332"/>
      <c r="I154" s="338"/>
      <c r="J154" s="21"/>
      <c r="K154" s="332"/>
      <c r="L154" s="332">
        <f t="shared" si="7"/>
        <v>4000000</v>
      </c>
      <c r="M154" s="41"/>
    </row>
    <row r="155" spans="1:13" ht="30" customHeight="1" x14ac:dyDescent="0.2">
      <c r="A155" s="4">
        <v>98</v>
      </c>
      <c r="B155" s="41" t="s">
        <v>226</v>
      </c>
      <c r="C155" s="344"/>
      <c r="D155" s="332">
        <v>20000000</v>
      </c>
      <c r="E155" s="17">
        <v>0.05</v>
      </c>
      <c r="F155" s="332">
        <f t="shared" si="6"/>
        <v>1000000</v>
      </c>
      <c r="G155" s="332">
        <v>1000000</v>
      </c>
      <c r="H155" s="332" t="s">
        <v>1701</v>
      </c>
      <c r="I155" s="338" t="s">
        <v>1708</v>
      </c>
      <c r="J155" s="341" t="s">
        <v>789</v>
      </c>
      <c r="K155" s="332">
        <f>G155</f>
        <v>1000000</v>
      </c>
      <c r="L155" s="332">
        <f t="shared" si="7"/>
        <v>0</v>
      </c>
      <c r="M155" s="41"/>
    </row>
    <row r="156" spans="1:13" ht="30" customHeight="1" x14ac:dyDescent="0.2">
      <c r="A156" s="4">
        <v>99</v>
      </c>
      <c r="B156" s="41" t="s">
        <v>227</v>
      </c>
      <c r="C156" s="344" t="s">
        <v>1297</v>
      </c>
      <c r="D156" s="332">
        <v>100000000</v>
      </c>
      <c r="E156" s="17">
        <v>0.04</v>
      </c>
      <c r="F156" s="332">
        <f t="shared" si="6"/>
        <v>4000000</v>
      </c>
      <c r="G156" s="332">
        <v>4000000</v>
      </c>
      <c r="H156" s="332" t="s">
        <v>1022</v>
      </c>
      <c r="I156" s="338" t="s">
        <v>1352</v>
      </c>
      <c r="J156" s="83" t="s">
        <v>791</v>
      </c>
      <c r="K156" s="332">
        <f>G156</f>
        <v>4000000</v>
      </c>
      <c r="L156" s="332">
        <f t="shared" si="7"/>
        <v>0</v>
      </c>
      <c r="M156" s="41"/>
    </row>
    <row r="157" spans="1:13" ht="30" customHeight="1" x14ac:dyDescent="0.2">
      <c r="A157" s="4">
        <v>100</v>
      </c>
      <c r="B157" s="41" t="s">
        <v>228</v>
      </c>
      <c r="C157" s="344"/>
      <c r="D157" s="330"/>
      <c r="E157" s="40"/>
      <c r="F157" s="330">
        <f t="shared" si="6"/>
        <v>0</v>
      </c>
      <c r="G157" s="332">
        <v>5100000</v>
      </c>
      <c r="H157" s="332" t="s">
        <v>1474</v>
      </c>
      <c r="I157" s="338" t="s">
        <v>1585</v>
      </c>
      <c r="J157" s="21" t="s">
        <v>768</v>
      </c>
      <c r="K157" s="332">
        <f>G157</f>
        <v>5100000</v>
      </c>
      <c r="L157" s="330">
        <f t="shared" si="7"/>
        <v>-5100000</v>
      </c>
      <c r="M157" s="41"/>
    </row>
    <row r="158" spans="1:13" ht="30" customHeight="1" x14ac:dyDescent="0.2">
      <c r="A158" s="4">
        <v>101</v>
      </c>
      <c r="B158" s="41" t="s">
        <v>177</v>
      </c>
      <c r="C158" s="344" t="s">
        <v>1080</v>
      </c>
      <c r="D158" s="332">
        <v>80000000</v>
      </c>
      <c r="E158" s="17">
        <v>0.05</v>
      </c>
      <c r="F158" s="332">
        <f t="shared" si="6"/>
        <v>4000000</v>
      </c>
      <c r="G158" s="332">
        <v>4000000</v>
      </c>
      <c r="H158" s="332" t="s">
        <v>897</v>
      </c>
      <c r="I158" s="338" t="s">
        <v>1321</v>
      </c>
      <c r="J158" s="359" t="s">
        <v>793</v>
      </c>
      <c r="K158" s="332">
        <f>G158</f>
        <v>4000000</v>
      </c>
      <c r="L158" s="332">
        <f t="shared" si="7"/>
        <v>0</v>
      </c>
      <c r="M158" s="41"/>
    </row>
    <row r="159" spans="1:13" ht="30" customHeight="1" x14ac:dyDescent="0.2">
      <c r="A159" s="4459">
        <v>102</v>
      </c>
      <c r="B159" s="4457" t="s">
        <v>229</v>
      </c>
      <c r="C159" s="4537"/>
      <c r="D159" s="332">
        <v>30000000</v>
      </c>
      <c r="E159" s="17">
        <v>0.05</v>
      </c>
      <c r="F159" s="332">
        <f t="shared" si="6"/>
        <v>1500000</v>
      </c>
      <c r="G159" s="332">
        <v>1500000</v>
      </c>
      <c r="H159" s="332" t="s">
        <v>2072</v>
      </c>
      <c r="I159" s="338" t="s">
        <v>2085</v>
      </c>
      <c r="J159" s="26" t="s">
        <v>2086</v>
      </c>
      <c r="K159" s="332">
        <f>G159</f>
        <v>1500000</v>
      </c>
      <c r="L159" s="669">
        <f>F159-K159</f>
        <v>0</v>
      </c>
      <c r="M159" s="4599"/>
    </row>
    <row r="160" spans="1:13" ht="30" customHeight="1" x14ac:dyDescent="0.2">
      <c r="A160" s="4460"/>
      <c r="B160" s="4458"/>
      <c r="C160" s="4538"/>
      <c r="D160" s="332">
        <v>30000000</v>
      </c>
      <c r="E160" s="17">
        <v>4.4999999999999998E-2</v>
      </c>
      <c r="F160" s="332">
        <f t="shared" si="6"/>
        <v>1350000</v>
      </c>
      <c r="G160" s="332"/>
      <c r="H160" s="332"/>
      <c r="I160" s="338"/>
      <c r="J160" s="26"/>
      <c r="K160" s="332"/>
      <c r="L160" s="330">
        <f t="shared" si="7"/>
        <v>1350000</v>
      </c>
      <c r="M160" s="4607"/>
    </row>
    <row r="161" spans="1:13" ht="30" customHeight="1" x14ac:dyDescent="0.2">
      <c r="A161" s="4">
        <v>103</v>
      </c>
      <c r="B161" s="41" t="s">
        <v>230</v>
      </c>
      <c r="C161" s="344" t="s">
        <v>1172</v>
      </c>
      <c r="D161" s="332">
        <v>17000000</v>
      </c>
      <c r="E161" s="17">
        <v>5.5E-2</v>
      </c>
      <c r="F161" s="332">
        <v>950000</v>
      </c>
      <c r="G161" s="332">
        <v>950000</v>
      </c>
      <c r="H161" s="332" t="s">
        <v>1474</v>
      </c>
      <c r="I161" s="338" t="s">
        <v>1550</v>
      </c>
      <c r="J161" s="18" t="s">
        <v>1551</v>
      </c>
      <c r="K161" s="332">
        <f>G161</f>
        <v>950000</v>
      </c>
      <c r="L161" s="332">
        <f t="shared" si="7"/>
        <v>0</v>
      </c>
      <c r="M161" s="41"/>
    </row>
    <row r="162" spans="1:13" ht="30" customHeight="1" x14ac:dyDescent="0.2">
      <c r="A162" s="4">
        <v>104</v>
      </c>
      <c r="B162" s="41" t="s">
        <v>231</v>
      </c>
      <c r="C162" s="344"/>
      <c r="D162" s="332">
        <v>20000000</v>
      </c>
      <c r="E162" s="17">
        <v>0.05</v>
      </c>
      <c r="F162" s="332">
        <f t="shared" si="6"/>
        <v>1000000</v>
      </c>
      <c r="G162" s="332">
        <v>1000000</v>
      </c>
      <c r="H162" s="332" t="s">
        <v>1474</v>
      </c>
      <c r="I162" s="338" t="s">
        <v>1544</v>
      </c>
      <c r="J162" s="21" t="s">
        <v>1545</v>
      </c>
      <c r="K162" s="332">
        <f>G162</f>
        <v>1000000</v>
      </c>
      <c r="L162" s="332">
        <f t="shared" si="7"/>
        <v>0</v>
      </c>
      <c r="M162" s="41"/>
    </row>
    <row r="163" spans="1:13" ht="30" customHeight="1" x14ac:dyDescent="0.2">
      <c r="A163" s="4">
        <v>105</v>
      </c>
      <c r="B163" s="41" t="s">
        <v>232</v>
      </c>
      <c r="C163" s="344"/>
      <c r="D163" s="330"/>
      <c r="E163" s="40"/>
      <c r="F163" s="330">
        <f t="shared" ref="F163:F251" si="10">D163*E163</f>
        <v>0</v>
      </c>
      <c r="G163" s="332">
        <v>1900000</v>
      </c>
      <c r="H163" s="332" t="s">
        <v>1594</v>
      </c>
      <c r="I163" s="338" t="s">
        <v>1605</v>
      </c>
      <c r="J163" s="21" t="s">
        <v>772</v>
      </c>
      <c r="K163" s="332">
        <f>G163</f>
        <v>1900000</v>
      </c>
      <c r="L163" s="330">
        <f t="shared" si="7"/>
        <v>-1900000</v>
      </c>
      <c r="M163" s="41"/>
    </row>
    <row r="164" spans="1:13" ht="30" customHeight="1" x14ac:dyDescent="0.2">
      <c r="A164" s="4">
        <v>106</v>
      </c>
      <c r="B164" s="41" t="s">
        <v>233</v>
      </c>
      <c r="C164" s="344"/>
      <c r="D164" s="332">
        <v>100000000</v>
      </c>
      <c r="E164" s="17">
        <v>0.04</v>
      </c>
      <c r="F164" s="332">
        <f t="shared" si="10"/>
        <v>4000000</v>
      </c>
      <c r="G164" s="332">
        <v>4000000</v>
      </c>
      <c r="H164" s="332" t="s">
        <v>1594</v>
      </c>
      <c r="I164" s="338" t="s">
        <v>1601</v>
      </c>
      <c r="J164" s="341" t="s">
        <v>774</v>
      </c>
      <c r="K164" s="332">
        <f>F164</f>
        <v>4000000</v>
      </c>
      <c r="L164" s="332">
        <f t="shared" ref="L164:L252" si="11">F164-K164</f>
        <v>0</v>
      </c>
      <c r="M164" s="41"/>
    </row>
    <row r="165" spans="1:13" ht="30" customHeight="1" x14ac:dyDescent="0.2">
      <c r="A165" s="4">
        <v>107</v>
      </c>
      <c r="B165" s="41" t="s">
        <v>234</v>
      </c>
      <c r="C165" s="344"/>
      <c r="D165" s="332">
        <v>65000000</v>
      </c>
      <c r="E165" s="17">
        <v>3.4000000000000002E-2</v>
      </c>
      <c r="F165" s="332">
        <v>2200000</v>
      </c>
      <c r="G165" s="332">
        <v>2200000</v>
      </c>
      <c r="H165" s="332" t="s">
        <v>1658</v>
      </c>
      <c r="I165" s="338" t="s">
        <v>1683</v>
      </c>
      <c r="J165" s="341" t="s">
        <v>1684</v>
      </c>
      <c r="K165" s="332">
        <f t="shared" ref="K165:K170" si="12">G165</f>
        <v>2200000</v>
      </c>
      <c r="L165" s="332">
        <f t="shared" si="11"/>
        <v>0</v>
      </c>
      <c r="M165" s="41"/>
    </row>
    <row r="166" spans="1:13" ht="30" customHeight="1" x14ac:dyDescent="0.2">
      <c r="A166" s="4">
        <v>108</v>
      </c>
      <c r="B166" s="41" t="s">
        <v>235</v>
      </c>
      <c r="C166" s="344"/>
      <c r="D166" s="330"/>
      <c r="E166" s="40"/>
      <c r="F166" s="330">
        <f t="shared" si="10"/>
        <v>0</v>
      </c>
      <c r="G166" s="332">
        <v>46800000</v>
      </c>
      <c r="H166" s="332" t="s">
        <v>1474</v>
      </c>
      <c r="I166" s="338" t="s">
        <v>1668</v>
      </c>
      <c r="J166" s="21" t="s">
        <v>1669</v>
      </c>
      <c r="K166" s="332">
        <f t="shared" si="12"/>
        <v>46800000</v>
      </c>
      <c r="L166" s="330">
        <f t="shared" si="11"/>
        <v>-46800000</v>
      </c>
      <c r="M166" s="41"/>
    </row>
    <row r="167" spans="1:13" ht="30" customHeight="1" x14ac:dyDescent="0.2">
      <c r="A167" s="4">
        <v>109</v>
      </c>
      <c r="B167" s="41" t="s">
        <v>236</v>
      </c>
      <c r="C167" s="344"/>
      <c r="D167" s="332">
        <v>1000000000</v>
      </c>
      <c r="E167" s="17">
        <v>0.05</v>
      </c>
      <c r="F167" s="332">
        <f t="shared" si="10"/>
        <v>50000000</v>
      </c>
      <c r="G167" s="332">
        <v>50000000</v>
      </c>
      <c r="H167" s="332" t="s">
        <v>1474</v>
      </c>
      <c r="I167" s="338" t="s">
        <v>1557</v>
      </c>
      <c r="J167" s="21" t="s">
        <v>778</v>
      </c>
      <c r="K167" s="332">
        <f t="shared" si="12"/>
        <v>50000000</v>
      </c>
      <c r="L167" s="332">
        <f t="shared" si="11"/>
        <v>0</v>
      </c>
      <c r="M167" s="41"/>
    </row>
    <row r="168" spans="1:13" ht="30" customHeight="1" x14ac:dyDescent="0.2">
      <c r="A168" s="4">
        <v>110</v>
      </c>
      <c r="B168" s="179" t="s">
        <v>1842</v>
      </c>
      <c r="C168" s="532" t="s">
        <v>1292</v>
      </c>
      <c r="D168" s="332">
        <v>14000000</v>
      </c>
      <c r="E168" s="17">
        <v>4.2999999999999997E-2</v>
      </c>
      <c r="F168" s="332">
        <v>600000</v>
      </c>
      <c r="G168" s="549">
        <v>601000</v>
      </c>
      <c r="H168" s="332" t="s">
        <v>1782</v>
      </c>
      <c r="I168" s="338" t="s">
        <v>1853</v>
      </c>
      <c r="J168" s="21" t="s">
        <v>1852</v>
      </c>
      <c r="K168" s="556">
        <f t="shared" si="12"/>
        <v>601000</v>
      </c>
      <c r="L168" s="556">
        <f>F168-K168</f>
        <v>-1000</v>
      </c>
      <c r="M168" s="19"/>
    </row>
    <row r="169" spans="1:13" ht="30" customHeight="1" x14ac:dyDescent="0.2">
      <c r="A169" s="4">
        <v>111</v>
      </c>
      <c r="B169" s="179" t="s">
        <v>237</v>
      </c>
      <c r="C169" s="532" t="s">
        <v>1292</v>
      </c>
      <c r="D169" s="332">
        <v>20000000</v>
      </c>
      <c r="E169" s="17">
        <v>4.4999999999999998E-2</v>
      </c>
      <c r="F169" s="332">
        <f>D169*E169</f>
        <v>900000</v>
      </c>
      <c r="G169" s="417">
        <v>900000</v>
      </c>
      <c r="H169" s="332" t="s">
        <v>1405</v>
      </c>
      <c r="I169" s="338" t="s">
        <v>1521</v>
      </c>
      <c r="J169" s="21" t="s">
        <v>550</v>
      </c>
      <c r="K169" s="556">
        <f t="shared" si="12"/>
        <v>900000</v>
      </c>
      <c r="L169" s="556">
        <f>F169-K169</f>
        <v>0</v>
      </c>
      <c r="M169" s="19"/>
    </row>
    <row r="170" spans="1:13" ht="30" customHeight="1" x14ac:dyDescent="0.2">
      <c r="A170" s="4">
        <v>112</v>
      </c>
      <c r="B170" s="41" t="s">
        <v>238</v>
      </c>
      <c r="C170" s="539"/>
      <c r="D170" s="332">
        <v>40000000</v>
      </c>
      <c r="E170" s="17">
        <v>0.05</v>
      </c>
      <c r="F170" s="332">
        <f t="shared" si="10"/>
        <v>2000000</v>
      </c>
      <c r="G170" s="332">
        <v>2000000</v>
      </c>
      <c r="H170" s="332" t="s">
        <v>1658</v>
      </c>
      <c r="I170" s="338" t="s">
        <v>1663</v>
      </c>
      <c r="J170" s="83" t="s">
        <v>781</v>
      </c>
      <c r="K170" s="332">
        <f t="shared" si="12"/>
        <v>2000000</v>
      </c>
      <c r="L170" s="332">
        <f t="shared" si="11"/>
        <v>0</v>
      </c>
      <c r="M170" s="41"/>
    </row>
    <row r="171" spans="1:13" ht="30" customHeight="1" x14ac:dyDescent="0.2">
      <c r="A171" s="4">
        <v>113</v>
      </c>
      <c r="B171" s="41" t="s">
        <v>239</v>
      </c>
      <c r="C171" s="344" t="s">
        <v>402</v>
      </c>
      <c r="D171" s="332">
        <v>252000000</v>
      </c>
      <c r="E171" s="17">
        <v>4.4999999999999998E-2</v>
      </c>
      <c r="F171" s="332">
        <f t="shared" si="10"/>
        <v>11340000</v>
      </c>
      <c r="G171" s="332">
        <v>11340000</v>
      </c>
      <c r="H171" s="332" t="s">
        <v>1616</v>
      </c>
      <c r="I171" s="340" t="s">
        <v>1655</v>
      </c>
      <c r="J171" s="21" t="s">
        <v>1656</v>
      </c>
      <c r="K171" s="332">
        <f>F171</f>
        <v>11340000</v>
      </c>
      <c r="L171" s="332">
        <f t="shared" si="11"/>
        <v>0</v>
      </c>
      <c r="M171" s="41"/>
    </row>
    <row r="172" spans="1:13" ht="30" customHeight="1" x14ac:dyDescent="0.2">
      <c r="A172" s="4">
        <v>114</v>
      </c>
      <c r="B172" s="41" t="s">
        <v>240</v>
      </c>
      <c r="C172" s="344"/>
      <c r="D172" s="332">
        <v>100000000</v>
      </c>
      <c r="E172" s="17">
        <v>4.4999999999999998E-2</v>
      </c>
      <c r="F172" s="332">
        <f t="shared" si="10"/>
        <v>4500000</v>
      </c>
      <c r="G172" s="332">
        <v>4500000</v>
      </c>
      <c r="H172" s="332" t="s">
        <v>1616</v>
      </c>
      <c r="I172" s="338" t="s">
        <v>1624</v>
      </c>
      <c r="J172" s="84" t="s">
        <v>1625</v>
      </c>
      <c r="K172" s="332">
        <f>G172</f>
        <v>4500000</v>
      </c>
      <c r="L172" s="332">
        <f t="shared" si="11"/>
        <v>0</v>
      </c>
      <c r="M172" s="41"/>
    </row>
    <row r="173" spans="1:13" ht="30" customHeight="1" x14ac:dyDescent="0.2">
      <c r="A173" s="4459">
        <v>115</v>
      </c>
      <c r="B173" s="4457" t="s">
        <v>241</v>
      </c>
      <c r="C173" s="4537" t="s">
        <v>1138</v>
      </c>
      <c r="D173" s="879">
        <v>20000000</v>
      </c>
      <c r="E173" s="881">
        <v>0.05</v>
      </c>
      <c r="F173" s="879">
        <f t="shared" si="10"/>
        <v>1000000</v>
      </c>
      <c r="G173" s="332">
        <v>1000000</v>
      </c>
      <c r="H173" s="332" t="s">
        <v>1359</v>
      </c>
      <c r="I173" s="338" t="s">
        <v>1371</v>
      </c>
      <c r="J173" s="21" t="s">
        <v>1372</v>
      </c>
      <c r="K173" s="332">
        <f>G173</f>
        <v>1000000</v>
      </c>
      <c r="L173" s="332">
        <f t="shared" si="11"/>
        <v>0</v>
      </c>
      <c r="M173" s="875" t="s">
        <v>2258</v>
      </c>
    </row>
    <row r="174" spans="1:13" ht="30" customHeight="1" x14ac:dyDescent="0.2">
      <c r="A174" s="4460"/>
      <c r="B174" s="4458"/>
      <c r="C174" s="4538"/>
      <c r="D174" s="879">
        <v>20000000</v>
      </c>
      <c r="E174" s="881">
        <v>0.05</v>
      </c>
      <c r="F174" s="879">
        <f t="shared" ref="F174" si="13">D174*E174</f>
        <v>1000000</v>
      </c>
      <c r="G174" s="332">
        <v>1000000</v>
      </c>
      <c r="H174" s="332" t="s">
        <v>2441</v>
      </c>
      <c r="I174" s="338" t="s">
        <v>2454</v>
      </c>
      <c r="J174" s="21" t="s">
        <v>1372</v>
      </c>
      <c r="K174" s="332">
        <f>G174</f>
        <v>1000000</v>
      </c>
      <c r="L174" s="873">
        <f t="shared" si="11"/>
        <v>0</v>
      </c>
      <c r="M174" s="876" t="s">
        <v>1307</v>
      </c>
    </row>
    <row r="175" spans="1:13" ht="30" customHeight="1" x14ac:dyDescent="0.2">
      <c r="A175" s="4">
        <v>117</v>
      </c>
      <c r="B175" s="41" t="s">
        <v>243</v>
      </c>
      <c r="C175" s="344"/>
      <c r="D175" s="332">
        <v>300000000</v>
      </c>
      <c r="E175" s="877">
        <v>4.4999999999999998E-2</v>
      </c>
      <c r="F175" s="332">
        <f t="shared" si="10"/>
        <v>13500000</v>
      </c>
      <c r="G175" s="332">
        <v>13500000</v>
      </c>
      <c r="H175" s="332" t="s">
        <v>1658</v>
      </c>
      <c r="I175" s="338" t="s">
        <v>1660</v>
      </c>
      <c r="J175" s="21" t="s">
        <v>1661</v>
      </c>
      <c r="K175" s="332">
        <f t="shared" ref="K175:K182" si="14">G175</f>
        <v>13500000</v>
      </c>
      <c r="L175" s="332">
        <f t="shared" si="11"/>
        <v>0</v>
      </c>
      <c r="M175" s="97"/>
    </row>
    <row r="176" spans="1:13" ht="30" customHeight="1" x14ac:dyDescent="0.2">
      <c r="A176" s="4">
        <v>118</v>
      </c>
      <c r="B176" s="41" t="s">
        <v>244</v>
      </c>
      <c r="C176" s="344"/>
      <c r="D176" s="332">
        <v>20000000</v>
      </c>
      <c r="E176" s="17">
        <v>0.05</v>
      </c>
      <c r="F176" s="332">
        <f t="shared" si="10"/>
        <v>1000000</v>
      </c>
      <c r="G176" s="332">
        <v>1000000</v>
      </c>
      <c r="H176" s="332" t="s">
        <v>1749</v>
      </c>
      <c r="I176" s="338" t="s">
        <v>1774</v>
      </c>
      <c r="J176" s="84" t="s">
        <v>611</v>
      </c>
      <c r="K176" s="332">
        <f t="shared" si="14"/>
        <v>1000000</v>
      </c>
      <c r="L176" s="332">
        <f t="shared" si="11"/>
        <v>0</v>
      </c>
      <c r="M176" s="41"/>
    </row>
    <row r="177" spans="1:13" ht="30" customHeight="1" x14ac:dyDescent="0.2">
      <c r="A177" s="4">
        <v>119</v>
      </c>
      <c r="B177" s="41" t="s">
        <v>245</v>
      </c>
      <c r="C177" s="344"/>
      <c r="D177" s="332">
        <v>100000000</v>
      </c>
      <c r="E177" s="17">
        <v>0.04</v>
      </c>
      <c r="F177" s="332">
        <f t="shared" si="10"/>
        <v>4000000</v>
      </c>
      <c r="G177" s="332">
        <v>4000000</v>
      </c>
      <c r="H177" s="332" t="s">
        <v>1616</v>
      </c>
      <c r="I177" s="338" t="s">
        <v>1633</v>
      </c>
      <c r="J177" s="21" t="s">
        <v>1634</v>
      </c>
      <c r="K177" s="332">
        <f t="shared" si="14"/>
        <v>4000000</v>
      </c>
      <c r="L177" s="332">
        <f t="shared" si="11"/>
        <v>0</v>
      </c>
      <c r="M177" s="41"/>
    </row>
    <row r="178" spans="1:13" ht="30" customHeight="1" x14ac:dyDescent="0.2">
      <c r="A178" s="4">
        <v>120</v>
      </c>
      <c r="B178" s="19" t="s">
        <v>246</v>
      </c>
      <c r="C178" s="379" t="s">
        <v>371</v>
      </c>
      <c r="D178" s="359">
        <v>617000000</v>
      </c>
      <c r="E178" s="17">
        <v>7.0000000000000007E-2</v>
      </c>
      <c r="F178" s="359">
        <v>43200000</v>
      </c>
      <c r="G178" s="359">
        <v>43200000</v>
      </c>
      <c r="H178" s="359" t="s">
        <v>1782</v>
      </c>
      <c r="I178" s="381" t="s">
        <v>1984</v>
      </c>
      <c r="J178" s="33" t="s">
        <v>815</v>
      </c>
      <c r="K178" s="359">
        <f t="shared" si="14"/>
        <v>43200000</v>
      </c>
      <c r="L178" s="616">
        <f>F178-K178</f>
        <v>0</v>
      </c>
      <c r="M178" s="356"/>
    </row>
    <row r="179" spans="1:13" ht="30" customHeight="1" x14ac:dyDescent="0.2">
      <c r="A179" s="4459">
        <v>121</v>
      </c>
      <c r="B179" s="4457" t="s">
        <v>247</v>
      </c>
      <c r="C179" s="4537"/>
      <c r="D179" s="4413">
        <v>90000000</v>
      </c>
      <c r="E179" s="4476">
        <v>4.4999999999999998E-2</v>
      </c>
      <c r="F179" s="4413">
        <f t="shared" si="10"/>
        <v>4050000</v>
      </c>
      <c r="G179" s="332">
        <v>4050000</v>
      </c>
      <c r="H179" s="332" t="s">
        <v>1474</v>
      </c>
      <c r="I179" s="338" t="s">
        <v>1563</v>
      </c>
      <c r="J179" s="382" t="s">
        <v>1564</v>
      </c>
      <c r="K179" s="332">
        <f t="shared" si="14"/>
        <v>4050000</v>
      </c>
      <c r="L179" s="332">
        <f t="shared" si="11"/>
        <v>0</v>
      </c>
      <c r="M179" s="41"/>
    </row>
    <row r="180" spans="1:13" ht="30" customHeight="1" x14ac:dyDescent="0.2">
      <c r="A180" s="4460"/>
      <c r="B180" s="4458"/>
      <c r="C180" s="4538"/>
      <c r="D180" s="4415"/>
      <c r="E180" s="4477"/>
      <c r="F180" s="4415"/>
      <c r="G180" s="465">
        <v>90000000</v>
      </c>
      <c r="H180" s="465" t="s">
        <v>1594</v>
      </c>
      <c r="I180" s="471" t="s">
        <v>1670</v>
      </c>
      <c r="J180" s="382" t="s">
        <v>1671</v>
      </c>
      <c r="K180" s="465">
        <f t="shared" si="14"/>
        <v>90000000</v>
      </c>
      <c r="L180" s="465"/>
      <c r="M180" s="97" t="s">
        <v>1672</v>
      </c>
    </row>
    <row r="181" spans="1:13" ht="30" customHeight="1" x14ac:dyDescent="0.2">
      <c r="A181" s="4">
        <v>122</v>
      </c>
      <c r="B181" s="41" t="s">
        <v>248</v>
      </c>
      <c r="C181" s="344"/>
      <c r="D181" s="332">
        <v>50000000</v>
      </c>
      <c r="E181" s="17">
        <v>4.4999999999999998E-2</v>
      </c>
      <c r="F181" s="332">
        <f t="shared" si="10"/>
        <v>2250000</v>
      </c>
      <c r="G181" s="332">
        <v>2250000</v>
      </c>
      <c r="H181" s="332" t="s">
        <v>1474</v>
      </c>
      <c r="I181" s="338" t="s">
        <v>1567</v>
      </c>
      <c r="J181" s="18" t="s">
        <v>1568</v>
      </c>
      <c r="K181" s="332">
        <f t="shared" si="14"/>
        <v>2250000</v>
      </c>
      <c r="L181" s="332">
        <f t="shared" si="11"/>
        <v>0</v>
      </c>
      <c r="M181" s="41"/>
    </row>
    <row r="182" spans="1:13" ht="30" customHeight="1" x14ac:dyDescent="0.2">
      <c r="A182" s="4459">
        <v>123</v>
      </c>
      <c r="B182" s="4457" t="s">
        <v>1650</v>
      </c>
      <c r="C182" s="344" t="s">
        <v>1295</v>
      </c>
      <c r="D182" s="332">
        <v>60000000</v>
      </c>
      <c r="E182" s="17">
        <v>0.05</v>
      </c>
      <c r="F182" s="332">
        <f t="shared" si="10"/>
        <v>3000000</v>
      </c>
      <c r="G182" s="4413">
        <v>4400000</v>
      </c>
      <c r="H182" s="4413" t="s">
        <v>1658</v>
      </c>
      <c r="I182" s="4555" t="s">
        <v>1690</v>
      </c>
      <c r="J182" s="4478" t="s">
        <v>574</v>
      </c>
      <c r="K182" s="4413">
        <f t="shared" si="14"/>
        <v>4400000</v>
      </c>
      <c r="L182" s="4413">
        <f>(F182+F183)-K182</f>
        <v>0</v>
      </c>
      <c r="M182" s="4599"/>
    </row>
    <row r="183" spans="1:13" ht="30" customHeight="1" x14ac:dyDescent="0.2">
      <c r="A183" s="4460"/>
      <c r="B183" s="4458"/>
      <c r="C183" s="344" t="s">
        <v>1296</v>
      </c>
      <c r="D183" s="332">
        <v>20000000</v>
      </c>
      <c r="E183" s="17">
        <v>7.0000000000000007E-2</v>
      </c>
      <c r="F183" s="332">
        <f t="shared" si="10"/>
        <v>1400000.0000000002</v>
      </c>
      <c r="G183" s="4415"/>
      <c r="H183" s="4415"/>
      <c r="I183" s="4557"/>
      <c r="J183" s="4479"/>
      <c r="K183" s="4415"/>
      <c r="L183" s="4415"/>
      <c r="M183" s="4607"/>
    </row>
    <row r="184" spans="1:13" ht="30" customHeight="1" x14ac:dyDescent="0.2">
      <c r="A184" s="4">
        <v>124</v>
      </c>
      <c r="B184" s="41" t="s">
        <v>250</v>
      </c>
      <c r="C184" s="344" t="s">
        <v>392</v>
      </c>
      <c r="D184" s="332">
        <v>200000000</v>
      </c>
      <c r="E184" s="17">
        <v>0.05</v>
      </c>
      <c r="F184" s="332">
        <f t="shared" si="10"/>
        <v>10000000</v>
      </c>
      <c r="G184" s="332">
        <v>10000000</v>
      </c>
      <c r="H184" s="332" t="s">
        <v>1359</v>
      </c>
      <c r="I184" s="377" t="s">
        <v>1400</v>
      </c>
      <c r="J184" s="18" t="s">
        <v>1401</v>
      </c>
      <c r="K184" s="332">
        <f>G184</f>
        <v>10000000</v>
      </c>
      <c r="L184" s="332">
        <f t="shared" si="11"/>
        <v>0</v>
      </c>
      <c r="M184" s="41"/>
    </row>
    <row r="185" spans="1:13" ht="30" customHeight="1" x14ac:dyDescent="0.2">
      <c r="A185" s="4459">
        <v>125</v>
      </c>
      <c r="B185" s="4457" t="s">
        <v>251</v>
      </c>
      <c r="C185" s="4537"/>
      <c r="D185" s="4413">
        <v>160000000</v>
      </c>
      <c r="E185" s="4476">
        <v>7.0000000000000007E-2</v>
      </c>
      <c r="F185" s="4413">
        <v>11000000</v>
      </c>
      <c r="G185" s="332">
        <v>11000000</v>
      </c>
      <c r="H185" s="332" t="s">
        <v>1594</v>
      </c>
      <c r="I185" s="338" t="s">
        <v>1606</v>
      </c>
      <c r="J185" s="21" t="s">
        <v>1607</v>
      </c>
      <c r="K185" s="332">
        <f>G185</f>
        <v>11000000</v>
      </c>
      <c r="L185" s="455">
        <f t="shared" si="11"/>
        <v>0</v>
      </c>
      <c r="M185" s="41"/>
    </row>
    <row r="186" spans="1:13" ht="30" customHeight="1" x14ac:dyDescent="0.2">
      <c r="A186" s="4460"/>
      <c r="B186" s="4458"/>
      <c r="C186" s="4538"/>
      <c r="D186" s="4415"/>
      <c r="E186" s="4477"/>
      <c r="F186" s="4415"/>
      <c r="G186" s="459">
        <v>11000000</v>
      </c>
      <c r="H186" s="459" t="s">
        <v>1616</v>
      </c>
      <c r="I186" s="55" t="s">
        <v>1629</v>
      </c>
      <c r="J186" s="56" t="s">
        <v>1630</v>
      </c>
      <c r="K186" s="459">
        <f>G186</f>
        <v>11000000</v>
      </c>
      <c r="L186" s="455"/>
      <c r="M186" s="41"/>
    </row>
    <row r="187" spans="1:13" ht="30" customHeight="1" x14ac:dyDescent="0.2">
      <c r="A187" s="4">
        <v>126</v>
      </c>
      <c r="B187" s="41" t="s">
        <v>252</v>
      </c>
      <c r="C187" s="344" t="s">
        <v>402</v>
      </c>
      <c r="D187" s="455">
        <v>180000000</v>
      </c>
      <c r="E187" s="17">
        <v>4.4999999999999998E-2</v>
      </c>
      <c r="F187" s="455">
        <f t="shared" si="10"/>
        <v>8100000</v>
      </c>
      <c r="G187" s="332"/>
      <c r="H187" s="332"/>
      <c r="I187" s="338"/>
      <c r="J187" s="21"/>
      <c r="K187" s="332"/>
      <c r="L187" s="330">
        <f t="shared" si="11"/>
        <v>8100000</v>
      </c>
      <c r="M187" s="41"/>
    </row>
    <row r="188" spans="1:13" ht="30" customHeight="1" x14ac:dyDescent="0.2">
      <c r="A188" s="4459">
        <v>127</v>
      </c>
      <c r="B188" s="4457" t="s">
        <v>253</v>
      </c>
      <c r="C188" s="4537"/>
      <c r="D188" s="4413">
        <v>800000000</v>
      </c>
      <c r="E188" s="4476">
        <v>0.05</v>
      </c>
      <c r="F188" s="4413">
        <f t="shared" si="10"/>
        <v>40000000</v>
      </c>
      <c r="G188" s="332">
        <v>20000000</v>
      </c>
      <c r="H188" s="332" t="s">
        <v>1359</v>
      </c>
      <c r="I188" s="377" t="s">
        <v>1404</v>
      </c>
      <c r="J188" s="21" t="s">
        <v>586</v>
      </c>
      <c r="K188" s="4413">
        <f>G188+G189</f>
        <v>40000000</v>
      </c>
      <c r="L188" s="4413">
        <f t="shared" si="11"/>
        <v>0</v>
      </c>
      <c r="M188" s="4599"/>
    </row>
    <row r="189" spans="1:13" ht="30" customHeight="1" x14ac:dyDescent="0.2">
      <c r="A189" s="4460"/>
      <c r="B189" s="4458"/>
      <c r="C189" s="4538"/>
      <c r="D189" s="4415"/>
      <c r="E189" s="4477"/>
      <c r="F189" s="4415"/>
      <c r="G189" s="465">
        <v>20000000</v>
      </c>
      <c r="H189" s="465" t="s">
        <v>1658</v>
      </c>
      <c r="I189" s="472" t="s">
        <v>1662</v>
      </c>
      <c r="J189" s="21" t="s">
        <v>586</v>
      </c>
      <c r="K189" s="4415"/>
      <c r="L189" s="4415"/>
      <c r="M189" s="4607"/>
    </row>
    <row r="190" spans="1:13" ht="30" customHeight="1" x14ac:dyDescent="0.2">
      <c r="A190" s="4">
        <v>128</v>
      </c>
      <c r="B190" s="41" t="s">
        <v>254</v>
      </c>
      <c r="C190" s="344"/>
      <c r="D190" s="330"/>
      <c r="E190" s="40"/>
      <c r="F190" s="330">
        <f t="shared" si="10"/>
        <v>0</v>
      </c>
      <c r="G190" s="332"/>
      <c r="H190" s="332"/>
      <c r="I190" s="338"/>
      <c r="J190" s="21"/>
      <c r="K190" s="332"/>
      <c r="L190" s="330">
        <f t="shared" si="11"/>
        <v>0</v>
      </c>
      <c r="M190" s="41"/>
    </row>
    <row r="191" spans="1:13" ht="30" customHeight="1" x14ac:dyDescent="0.2">
      <c r="A191" s="4459">
        <v>129</v>
      </c>
      <c r="B191" s="4457" t="s">
        <v>255</v>
      </c>
      <c r="C191" s="4537" t="s">
        <v>1107</v>
      </c>
      <c r="D191" s="357">
        <v>200000000</v>
      </c>
      <c r="E191" s="352">
        <v>0.06</v>
      </c>
      <c r="F191" s="357">
        <f>D191*E191</f>
        <v>12000000</v>
      </c>
      <c r="G191" s="350">
        <v>7000000</v>
      </c>
      <c r="H191" s="350" t="s">
        <v>897</v>
      </c>
      <c r="I191" s="361" t="s">
        <v>1330</v>
      </c>
      <c r="J191" s="21" t="s">
        <v>590</v>
      </c>
      <c r="K191" s="350"/>
      <c r="L191" s="350"/>
      <c r="M191" s="97" t="s">
        <v>1313</v>
      </c>
    </row>
    <row r="192" spans="1:13" ht="30" customHeight="1" x14ac:dyDescent="0.2">
      <c r="A192" s="4464"/>
      <c r="B192" s="4488"/>
      <c r="C192" s="4540"/>
      <c r="D192" s="4413">
        <v>200000000</v>
      </c>
      <c r="E192" s="4476">
        <v>0.06</v>
      </c>
      <c r="F192" s="4413">
        <f>D192*E192</f>
        <v>12000000</v>
      </c>
      <c r="G192" s="350">
        <v>3000000</v>
      </c>
      <c r="H192" s="350" t="s">
        <v>1939</v>
      </c>
      <c r="I192" s="361" t="s">
        <v>2479</v>
      </c>
      <c r="J192" s="21" t="s">
        <v>2480</v>
      </c>
      <c r="K192" s="4413">
        <f>G192</f>
        <v>3000000</v>
      </c>
      <c r="L192" s="4413">
        <f>F192-K192</f>
        <v>9000000</v>
      </c>
      <c r="M192" s="4498"/>
    </row>
    <row r="193" spans="1:13" ht="30" customHeight="1" x14ac:dyDescent="0.2">
      <c r="A193" s="4460"/>
      <c r="B193" s="4458"/>
      <c r="C193" s="4538"/>
      <c r="D193" s="4415"/>
      <c r="E193" s="4477"/>
      <c r="F193" s="4415"/>
      <c r="G193" s="911"/>
      <c r="H193" s="911"/>
      <c r="I193" s="916"/>
      <c r="J193" s="21"/>
      <c r="K193" s="4415"/>
      <c r="L193" s="4415"/>
      <c r="M193" s="4499"/>
    </row>
    <row r="194" spans="1:13" ht="30" customHeight="1" x14ac:dyDescent="0.2">
      <c r="A194" s="4459">
        <v>130</v>
      </c>
      <c r="B194" s="4457" t="s">
        <v>1171</v>
      </c>
      <c r="C194" s="379" t="s">
        <v>1176</v>
      </c>
      <c r="D194" s="4413">
        <v>200000000</v>
      </c>
      <c r="E194" s="4476">
        <v>0.05</v>
      </c>
      <c r="F194" s="4413">
        <f t="shared" si="10"/>
        <v>10000000</v>
      </c>
      <c r="G194" s="359">
        <v>5000000</v>
      </c>
      <c r="H194" s="359" t="s">
        <v>1658</v>
      </c>
      <c r="I194" s="381" t="s">
        <v>1692</v>
      </c>
      <c r="J194" s="33" t="s">
        <v>1693</v>
      </c>
      <c r="K194" s="4413">
        <f>G194+G195</f>
        <v>10000000</v>
      </c>
      <c r="L194" s="4413">
        <f t="shared" si="11"/>
        <v>0</v>
      </c>
      <c r="M194" s="4599"/>
    </row>
    <row r="195" spans="1:13" ht="30" customHeight="1" x14ac:dyDescent="0.2">
      <c r="A195" s="4460"/>
      <c r="B195" s="4458"/>
      <c r="C195" s="840" t="s">
        <v>942</v>
      </c>
      <c r="D195" s="4415"/>
      <c r="E195" s="4477"/>
      <c r="F195" s="4415"/>
      <c r="G195" s="837">
        <v>5000000</v>
      </c>
      <c r="H195" s="837" t="s">
        <v>2414</v>
      </c>
      <c r="I195" s="842" t="s">
        <v>2420</v>
      </c>
      <c r="J195" s="21" t="s">
        <v>1840</v>
      </c>
      <c r="K195" s="4415"/>
      <c r="L195" s="4415"/>
      <c r="M195" s="4607"/>
    </row>
    <row r="196" spans="1:13" ht="30" customHeight="1" x14ac:dyDescent="0.2">
      <c r="A196" s="4">
        <v>131</v>
      </c>
      <c r="B196" s="348" t="s">
        <v>256</v>
      </c>
      <c r="C196" s="344"/>
      <c r="D196" s="332">
        <v>200000000</v>
      </c>
      <c r="E196" s="353">
        <v>0.05</v>
      </c>
      <c r="F196" s="332">
        <f t="shared" si="10"/>
        <v>10000000</v>
      </c>
      <c r="G196" s="332">
        <v>10000000</v>
      </c>
      <c r="H196" s="332" t="s">
        <v>1658</v>
      </c>
      <c r="I196" s="338" t="s">
        <v>1685</v>
      </c>
      <c r="J196" s="24" t="s">
        <v>1686</v>
      </c>
      <c r="K196" s="332">
        <f>G196</f>
        <v>10000000</v>
      </c>
      <c r="L196" s="332">
        <f t="shared" si="11"/>
        <v>0</v>
      </c>
      <c r="M196" s="97" t="s">
        <v>1687</v>
      </c>
    </row>
    <row r="197" spans="1:13" ht="30" customHeight="1" x14ac:dyDescent="0.2">
      <c r="A197" s="4459">
        <v>132</v>
      </c>
      <c r="B197" s="4457" t="s">
        <v>1218</v>
      </c>
      <c r="C197" s="4537" t="s">
        <v>1652</v>
      </c>
      <c r="D197" s="556">
        <v>490000000</v>
      </c>
      <c r="E197" s="560">
        <v>0.05</v>
      </c>
      <c r="F197" s="556">
        <f t="shared" si="10"/>
        <v>24500000</v>
      </c>
      <c r="G197" s="4469" t="s">
        <v>1889</v>
      </c>
      <c r="H197" s="4470"/>
      <c r="I197" s="4470"/>
      <c r="J197" s="4470"/>
      <c r="K197" s="4471"/>
      <c r="L197" s="556">
        <f t="shared" si="11"/>
        <v>24500000</v>
      </c>
      <c r="M197" s="97" t="s">
        <v>1884</v>
      </c>
    </row>
    <row r="198" spans="1:13" ht="30" customHeight="1" x14ac:dyDescent="0.2">
      <c r="A198" s="4460"/>
      <c r="B198" s="4458"/>
      <c r="C198" s="4538"/>
      <c r="D198" s="599">
        <v>490000000</v>
      </c>
      <c r="E198" s="600">
        <v>0.05</v>
      </c>
      <c r="F198" s="599">
        <f t="shared" si="10"/>
        <v>24500000</v>
      </c>
      <c r="G198" s="602">
        <v>10000000</v>
      </c>
      <c r="H198" s="602" t="s">
        <v>1881</v>
      </c>
      <c r="I198" s="381" t="s">
        <v>1917</v>
      </c>
      <c r="J198" s="602" t="s">
        <v>1220</v>
      </c>
      <c r="K198" s="602">
        <f>G198</f>
        <v>10000000</v>
      </c>
      <c r="L198" s="599">
        <f>F198-K198</f>
        <v>14500000</v>
      </c>
      <c r="M198" s="97" t="s">
        <v>1888</v>
      </c>
    </row>
    <row r="199" spans="1:13" ht="30" customHeight="1" x14ac:dyDescent="0.2">
      <c r="A199" s="4">
        <v>133</v>
      </c>
      <c r="B199" s="348" t="s">
        <v>175</v>
      </c>
      <c r="C199" s="344" t="s">
        <v>1718</v>
      </c>
      <c r="D199" s="332">
        <v>100000000</v>
      </c>
      <c r="E199" s="353">
        <v>4.4999999999999998E-2</v>
      </c>
      <c r="F199" s="332">
        <f t="shared" si="10"/>
        <v>4500000</v>
      </c>
      <c r="G199" s="332">
        <v>4500000</v>
      </c>
      <c r="H199" s="332" t="s">
        <v>1749</v>
      </c>
      <c r="I199" s="338" t="s">
        <v>1804</v>
      </c>
      <c r="J199" s="21" t="s">
        <v>521</v>
      </c>
      <c r="K199" s="332">
        <f>G199</f>
        <v>4500000</v>
      </c>
      <c r="L199" s="332">
        <f t="shared" si="11"/>
        <v>0</v>
      </c>
      <c r="M199" s="41"/>
    </row>
    <row r="200" spans="1:13" ht="30" customHeight="1" x14ac:dyDescent="0.2">
      <c r="A200" s="4">
        <v>134</v>
      </c>
      <c r="B200" s="41" t="s">
        <v>166</v>
      </c>
      <c r="C200" s="344"/>
      <c r="D200" s="332">
        <v>110000000</v>
      </c>
      <c r="E200" s="17">
        <v>0.04</v>
      </c>
      <c r="F200" s="332">
        <f t="shared" si="10"/>
        <v>4400000</v>
      </c>
      <c r="G200" s="332">
        <v>4400000</v>
      </c>
      <c r="H200" s="332" t="s">
        <v>1658</v>
      </c>
      <c r="I200" s="338" t="s">
        <v>1659</v>
      </c>
      <c r="J200" s="21" t="s">
        <v>510</v>
      </c>
      <c r="K200" s="332">
        <f>G200</f>
        <v>4400000</v>
      </c>
      <c r="L200" s="332">
        <f t="shared" si="11"/>
        <v>0</v>
      </c>
      <c r="M200" s="41"/>
    </row>
    <row r="201" spans="1:13" ht="30" customHeight="1" x14ac:dyDescent="0.2">
      <c r="A201" s="4459">
        <v>135</v>
      </c>
      <c r="B201" s="4457" t="s">
        <v>6</v>
      </c>
      <c r="C201" s="484" t="s">
        <v>392</v>
      </c>
      <c r="D201" s="332">
        <v>100000000</v>
      </c>
      <c r="E201" s="17">
        <v>0.05</v>
      </c>
      <c r="F201" s="332">
        <f t="shared" si="10"/>
        <v>5000000</v>
      </c>
      <c r="G201" s="332">
        <v>5000000</v>
      </c>
      <c r="H201" s="332" t="s">
        <v>1474</v>
      </c>
      <c r="I201" s="338" t="s">
        <v>1548</v>
      </c>
      <c r="J201" s="26" t="s">
        <v>1549</v>
      </c>
      <c r="K201" s="4413">
        <f>G201+G202</f>
        <v>11000000</v>
      </c>
      <c r="L201" s="4413">
        <f>(F201+F202)-K201</f>
        <v>0</v>
      </c>
      <c r="M201" s="4599"/>
    </row>
    <row r="202" spans="1:13" ht="30" customHeight="1" x14ac:dyDescent="0.2">
      <c r="A202" s="4460"/>
      <c r="B202" s="4458"/>
      <c r="C202" s="484" t="s">
        <v>1299</v>
      </c>
      <c r="D202" s="332">
        <v>124000000</v>
      </c>
      <c r="E202" s="17">
        <v>4.9000000000000002E-2</v>
      </c>
      <c r="F202" s="332">
        <v>6000000</v>
      </c>
      <c r="G202" s="332">
        <v>6000000</v>
      </c>
      <c r="H202" s="332" t="s">
        <v>2165</v>
      </c>
      <c r="I202" s="338" t="s">
        <v>2195</v>
      </c>
      <c r="J202" s="52" t="s">
        <v>2196</v>
      </c>
      <c r="K202" s="4415"/>
      <c r="L202" s="4415"/>
      <c r="M202" s="4607"/>
    </row>
    <row r="203" spans="1:13" ht="30" customHeight="1" x14ac:dyDescent="0.2">
      <c r="A203" s="4">
        <v>136</v>
      </c>
      <c r="B203" s="41" t="s">
        <v>257</v>
      </c>
      <c r="C203" s="344"/>
      <c r="D203" s="330"/>
      <c r="E203" s="40"/>
      <c r="F203" s="330">
        <f t="shared" si="10"/>
        <v>0</v>
      </c>
      <c r="G203" s="332"/>
      <c r="H203" s="332"/>
      <c r="I203" s="338"/>
      <c r="J203" s="24"/>
      <c r="K203" s="332"/>
      <c r="L203" s="330">
        <f t="shared" si="11"/>
        <v>0</v>
      </c>
      <c r="M203" s="41"/>
    </row>
    <row r="204" spans="1:13" ht="30" customHeight="1" x14ac:dyDescent="0.2">
      <c r="A204" s="4459">
        <v>137</v>
      </c>
      <c r="B204" s="4457" t="s">
        <v>179</v>
      </c>
      <c r="C204" s="4537" t="s">
        <v>1176</v>
      </c>
      <c r="D204" s="417">
        <v>310000000</v>
      </c>
      <c r="E204" s="17">
        <f>F204/D204</f>
        <v>4.7419354838709675E-2</v>
      </c>
      <c r="F204" s="417">
        <v>14700000</v>
      </c>
      <c r="G204" s="332">
        <v>14700000</v>
      </c>
      <c r="H204" s="332" t="s">
        <v>1944</v>
      </c>
      <c r="I204" s="338" t="s">
        <v>1958</v>
      </c>
      <c r="J204" s="52" t="s">
        <v>1711</v>
      </c>
      <c r="K204" s="332">
        <f>G204</f>
        <v>14700000</v>
      </c>
      <c r="L204" s="417">
        <f t="shared" si="11"/>
        <v>0</v>
      </c>
      <c r="M204" s="480" t="s">
        <v>1682</v>
      </c>
    </row>
    <row r="205" spans="1:13" ht="30" customHeight="1" x14ac:dyDescent="0.2">
      <c r="A205" s="4464"/>
      <c r="B205" s="4488"/>
      <c r="C205" s="4540"/>
      <c r="D205" s="4322">
        <v>100000000</v>
      </c>
      <c r="E205" s="4541" t="s">
        <v>1709</v>
      </c>
      <c r="F205" s="4542"/>
      <c r="G205" s="475">
        <v>45000000</v>
      </c>
      <c r="H205" s="475" t="s">
        <v>1701</v>
      </c>
      <c r="I205" s="481" t="s">
        <v>1710</v>
      </c>
      <c r="J205" s="52" t="s">
        <v>1711</v>
      </c>
      <c r="K205" s="4413">
        <f>G205+G206+G207</f>
        <v>100000000</v>
      </c>
      <c r="L205" s="4413">
        <f>D205-K205</f>
        <v>0</v>
      </c>
      <c r="M205" s="4684" t="s">
        <v>1959</v>
      </c>
    </row>
    <row r="206" spans="1:13" ht="30" customHeight="1" x14ac:dyDescent="0.2">
      <c r="A206" s="4464"/>
      <c r="B206" s="4488"/>
      <c r="C206" s="4540"/>
      <c r="D206" s="4322"/>
      <c r="E206" s="4578"/>
      <c r="F206" s="4579"/>
      <c r="G206" s="610">
        <v>50000000</v>
      </c>
      <c r="H206" s="610" t="s">
        <v>1749</v>
      </c>
      <c r="I206" s="618" t="s">
        <v>1961</v>
      </c>
      <c r="J206" s="52" t="s">
        <v>1711</v>
      </c>
      <c r="K206" s="4414"/>
      <c r="L206" s="4414"/>
      <c r="M206" s="4684"/>
    </row>
    <row r="207" spans="1:13" ht="30" customHeight="1" x14ac:dyDescent="0.2">
      <c r="A207" s="4464"/>
      <c r="B207" s="4488"/>
      <c r="C207" s="4540"/>
      <c r="D207" s="4322"/>
      <c r="E207" s="4543"/>
      <c r="F207" s="4544"/>
      <c r="G207" s="475">
        <v>5000000</v>
      </c>
      <c r="H207" s="475" t="s">
        <v>1944</v>
      </c>
      <c r="I207" s="481" t="s">
        <v>1958</v>
      </c>
      <c r="J207" s="52" t="s">
        <v>1711</v>
      </c>
      <c r="K207" s="4415"/>
      <c r="L207" s="4415"/>
      <c r="M207" s="4684"/>
    </row>
    <row r="208" spans="1:13" ht="30" customHeight="1" x14ac:dyDescent="0.2">
      <c r="A208" s="4460"/>
      <c r="B208" s="4458"/>
      <c r="C208" s="4538"/>
      <c r="D208" s="610">
        <v>210000000</v>
      </c>
      <c r="E208" s="622">
        <v>4.7E-2</v>
      </c>
      <c r="F208" s="613">
        <f>D208*E208</f>
        <v>9870000</v>
      </c>
      <c r="G208" s="4623" t="s">
        <v>1956</v>
      </c>
      <c r="H208" s="4624"/>
      <c r="I208" s="4624"/>
      <c r="J208" s="4624"/>
      <c r="K208" s="4624"/>
      <c r="L208" s="4625"/>
      <c r="M208" s="614"/>
    </row>
    <row r="209" spans="1:13" ht="30" customHeight="1" x14ac:dyDescent="0.2">
      <c r="A209" s="4">
        <v>138</v>
      </c>
      <c r="B209" s="41" t="s">
        <v>259</v>
      </c>
      <c r="C209" s="344" t="s">
        <v>402</v>
      </c>
      <c r="D209" s="549">
        <v>500000000</v>
      </c>
      <c r="E209" s="560">
        <v>0.05</v>
      </c>
      <c r="F209" s="549">
        <f t="shared" si="10"/>
        <v>25000000</v>
      </c>
      <c r="G209" s="549">
        <v>30000000</v>
      </c>
      <c r="H209" s="549" t="s">
        <v>1594</v>
      </c>
      <c r="I209" s="559" t="s">
        <v>1595</v>
      </c>
      <c r="J209" s="21" t="s">
        <v>1596</v>
      </c>
      <c r="K209" s="549">
        <f>G209</f>
        <v>30000000</v>
      </c>
      <c r="L209" s="553">
        <f t="shared" si="11"/>
        <v>-5000000</v>
      </c>
      <c r="M209" s="41" t="s">
        <v>1897</v>
      </c>
    </row>
    <row r="210" spans="1:13" ht="30" customHeight="1" x14ac:dyDescent="0.2">
      <c r="A210" s="4">
        <v>139</v>
      </c>
      <c r="B210" s="19" t="s">
        <v>160</v>
      </c>
      <c r="C210" s="759" t="s">
        <v>1718</v>
      </c>
      <c r="D210" s="760">
        <v>110000000</v>
      </c>
      <c r="E210" s="762">
        <v>0.05</v>
      </c>
      <c r="F210" s="760">
        <f t="shared" si="10"/>
        <v>5500000</v>
      </c>
      <c r="G210" s="758">
        <v>5500000</v>
      </c>
      <c r="H210" s="758" t="s">
        <v>1732</v>
      </c>
      <c r="I210" s="761" t="s">
        <v>1733</v>
      </c>
      <c r="J210" s="26" t="s">
        <v>1734</v>
      </c>
      <c r="K210" s="760">
        <f>G210</f>
        <v>5500000</v>
      </c>
      <c r="L210" s="760">
        <f t="shared" si="11"/>
        <v>0</v>
      </c>
      <c r="M210" s="19"/>
    </row>
    <row r="211" spans="1:13" ht="30" customHeight="1" x14ac:dyDescent="0.2">
      <c r="A211" s="664"/>
      <c r="B211" s="19" t="s">
        <v>2270</v>
      </c>
      <c r="C211" s="759" t="s">
        <v>262</v>
      </c>
      <c r="D211" s="760">
        <v>50000000</v>
      </c>
      <c r="E211" s="762">
        <v>0.05</v>
      </c>
      <c r="F211" s="760">
        <f>D211*E211</f>
        <v>2500000</v>
      </c>
      <c r="G211" s="758">
        <v>2500000</v>
      </c>
      <c r="H211" s="758" t="s">
        <v>2005</v>
      </c>
      <c r="I211" s="761" t="s">
        <v>2030</v>
      </c>
      <c r="J211" s="26" t="s">
        <v>1734</v>
      </c>
      <c r="K211" s="760">
        <f>G211</f>
        <v>2500000</v>
      </c>
      <c r="L211" s="760">
        <f t="shared" si="11"/>
        <v>0</v>
      </c>
      <c r="M211" s="19"/>
    </row>
    <row r="212" spans="1:13" ht="30" customHeight="1" x14ac:dyDescent="0.2">
      <c r="A212" s="4">
        <v>140</v>
      </c>
      <c r="B212" s="41" t="s">
        <v>533</v>
      </c>
      <c r="C212" s="344" t="s">
        <v>372</v>
      </c>
      <c r="D212" s="330"/>
      <c r="E212" s="40"/>
      <c r="F212" s="330">
        <f t="shared" si="10"/>
        <v>0</v>
      </c>
      <c r="G212" s="332">
        <v>6000000</v>
      </c>
      <c r="H212" s="332" t="s">
        <v>1701</v>
      </c>
      <c r="I212" s="338" t="s">
        <v>1704</v>
      </c>
      <c r="J212" s="18" t="s">
        <v>1705</v>
      </c>
      <c r="K212" s="332">
        <f>G212</f>
        <v>6000000</v>
      </c>
      <c r="L212" s="330">
        <f t="shared" si="11"/>
        <v>-6000000</v>
      </c>
      <c r="M212" s="41"/>
    </row>
    <row r="213" spans="1:13" ht="30" customHeight="1" x14ac:dyDescent="0.2">
      <c r="A213" s="4">
        <v>141</v>
      </c>
      <c r="B213" s="41" t="s">
        <v>7</v>
      </c>
      <c r="C213" s="344"/>
      <c r="D213" s="332">
        <v>30000000</v>
      </c>
      <c r="E213" s="17">
        <v>0.05</v>
      </c>
      <c r="F213" s="332">
        <f t="shared" si="10"/>
        <v>1500000</v>
      </c>
      <c r="G213" s="332">
        <v>1500000</v>
      </c>
      <c r="H213" s="332" t="s">
        <v>897</v>
      </c>
      <c r="I213" s="338" t="s">
        <v>1328</v>
      </c>
      <c r="J213" s="21" t="s">
        <v>535</v>
      </c>
      <c r="K213" s="332">
        <f>G213</f>
        <v>1500000</v>
      </c>
      <c r="L213" s="332">
        <f t="shared" si="11"/>
        <v>0</v>
      </c>
      <c r="M213" s="41"/>
    </row>
    <row r="214" spans="1:13" ht="30" customHeight="1" x14ac:dyDescent="0.2">
      <c r="A214" s="4459">
        <v>142</v>
      </c>
      <c r="B214" s="4599" t="s">
        <v>8</v>
      </c>
      <c r="C214" s="4537"/>
      <c r="D214" s="4599"/>
      <c r="E214" s="4476"/>
      <c r="F214" s="4413">
        <f>D215*E214</f>
        <v>0</v>
      </c>
      <c r="G214" s="1067">
        <v>50000000</v>
      </c>
      <c r="H214" s="332" t="s">
        <v>1701</v>
      </c>
      <c r="I214" s="337" t="s">
        <v>1721</v>
      </c>
      <c r="J214" s="21" t="s">
        <v>1722</v>
      </c>
      <c r="K214" s="4413">
        <f>G214+G215+G216+G217+G218+G219+G220+G221+G222+G223+G224+G225+G226+G227+G228</f>
        <v>261900000</v>
      </c>
      <c r="L214" s="4413">
        <f>262330000-K214</f>
        <v>430000</v>
      </c>
      <c r="M214" s="1066" t="s">
        <v>1762</v>
      </c>
    </row>
    <row r="215" spans="1:13" ht="30" customHeight="1" x14ac:dyDescent="0.2">
      <c r="A215" s="4464"/>
      <c r="B215" s="4600"/>
      <c r="C215" s="4540"/>
      <c r="D215" s="4600"/>
      <c r="E215" s="4516"/>
      <c r="F215" s="4414"/>
      <c r="G215" s="1067">
        <v>20000000</v>
      </c>
      <c r="H215" s="501" t="s">
        <v>1749</v>
      </c>
      <c r="I215" s="508" t="s">
        <v>1768</v>
      </c>
      <c r="J215" s="33" t="s">
        <v>1769</v>
      </c>
      <c r="K215" s="4414"/>
      <c r="L215" s="4414"/>
      <c r="M215" s="1080" t="s">
        <v>1770</v>
      </c>
    </row>
    <row r="216" spans="1:13" ht="30" customHeight="1" x14ac:dyDescent="0.2">
      <c r="A216" s="4464"/>
      <c r="B216" s="4600"/>
      <c r="C216" s="4540"/>
      <c r="D216" s="4600"/>
      <c r="E216" s="4516"/>
      <c r="F216" s="4414"/>
      <c r="G216" s="1067">
        <v>7200000</v>
      </c>
      <c r="H216" s="1065" t="s">
        <v>1266</v>
      </c>
      <c r="I216" s="1090"/>
      <c r="J216" s="910"/>
      <c r="K216" s="4414"/>
      <c r="L216" s="4414"/>
      <c r="M216" s="1080"/>
    </row>
    <row r="217" spans="1:13" ht="30" customHeight="1" x14ac:dyDescent="0.2">
      <c r="A217" s="4464"/>
      <c r="B217" s="4600"/>
      <c r="C217" s="4540"/>
      <c r="D217" s="4600"/>
      <c r="E217" s="4516"/>
      <c r="F217" s="4414"/>
      <c r="G217" s="1067">
        <v>42000000</v>
      </c>
      <c r="H217" s="1065" t="s">
        <v>508</v>
      </c>
      <c r="I217" s="1090"/>
      <c r="J217" s="910"/>
      <c r="K217" s="4414"/>
      <c r="L217" s="4414"/>
      <c r="M217" s="1080"/>
    </row>
    <row r="218" spans="1:13" ht="30" customHeight="1" x14ac:dyDescent="0.2">
      <c r="A218" s="4464"/>
      <c r="B218" s="4600"/>
      <c r="C218" s="4540"/>
      <c r="D218" s="4600"/>
      <c r="E218" s="4516"/>
      <c r="F218" s="4414"/>
      <c r="G218" s="1067">
        <v>5000000</v>
      </c>
      <c r="H218" s="1065" t="s">
        <v>904</v>
      </c>
      <c r="I218" s="1090"/>
      <c r="J218" s="910"/>
      <c r="K218" s="4414"/>
      <c r="L218" s="4414"/>
      <c r="M218" s="1080"/>
    </row>
    <row r="219" spans="1:13" ht="30" customHeight="1" x14ac:dyDescent="0.2">
      <c r="A219" s="4464"/>
      <c r="B219" s="4600"/>
      <c r="C219" s="4540"/>
      <c r="D219" s="4600"/>
      <c r="E219" s="4516"/>
      <c r="F219" s="4414"/>
      <c r="G219" s="1067">
        <v>5000000</v>
      </c>
      <c r="H219" s="1065" t="s">
        <v>734</v>
      </c>
      <c r="I219" s="1090"/>
      <c r="J219" s="910"/>
      <c r="K219" s="4414"/>
      <c r="L219" s="4414"/>
      <c r="M219" s="1080"/>
    </row>
    <row r="220" spans="1:13" ht="30" customHeight="1" x14ac:dyDescent="0.2">
      <c r="A220" s="4464"/>
      <c r="B220" s="4600"/>
      <c r="C220" s="4540"/>
      <c r="D220" s="4600"/>
      <c r="E220" s="4516"/>
      <c r="F220" s="4414"/>
      <c r="G220" s="1067">
        <v>10000000</v>
      </c>
      <c r="H220" s="1065" t="s">
        <v>734</v>
      </c>
      <c r="I220" s="1090"/>
      <c r="J220" s="910"/>
      <c r="K220" s="4414"/>
      <c r="L220" s="4414"/>
      <c r="M220" s="1080"/>
    </row>
    <row r="221" spans="1:13" ht="30" customHeight="1" x14ac:dyDescent="0.2">
      <c r="A221" s="4464"/>
      <c r="B221" s="4600"/>
      <c r="C221" s="4540"/>
      <c r="D221" s="4600"/>
      <c r="E221" s="4516"/>
      <c r="F221" s="4414"/>
      <c r="G221" s="1067">
        <v>1000000</v>
      </c>
      <c r="H221" s="1065" t="s">
        <v>323</v>
      </c>
      <c r="I221" s="1090"/>
      <c r="J221" s="910"/>
      <c r="K221" s="4414"/>
      <c r="L221" s="4414"/>
      <c r="M221" s="1080"/>
    </row>
    <row r="222" spans="1:13" ht="30" customHeight="1" x14ac:dyDescent="0.2">
      <c r="A222" s="4464"/>
      <c r="B222" s="4600"/>
      <c r="C222" s="4540"/>
      <c r="D222" s="4600"/>
      <c r="E222" s="4516"/>
      <c r="F222" s="4414"/>
      <c r="G222" s="1067">
        <v>30000000</v>
      </c>
      <c r="H222" s="599" t="s">
        <v>379</v>
      </c>
      <c r="I222" s="603" t="s">
        <v>1921</v>
      </c>
      <c r="J222" s="33" t="s">
        <v>1922</v>
      </c>
      <c r="K222" s="4414"/>
      <c r="L222" s="4414"/>
      <c r="M222" s="4684" t="s">
        <v>1579</v>
      </c>
    </row>
    <row r="223" spans="1:13" ht="30" customHeight="1" x14ac:dyDescent="0.2">
      <c r="A223" s="4464"/>
      <c r="B223" s="4600"/>
      <c r="C223" s="4540"/>
      <c r="D223" s="4600"/>
      <c r="E223" s="4516"/>
      <c r="F223" s="4414"/>
      <c r="G223" s="1067">
        <v>1000000</v>
      </c>
      <c r="H223" s="610" t="s">
        <v>1881</v>
      </c>
      <c r="I223" s="619" t="s">
        <v>1935</v>
      </c>
      <c r="J223" s="33" t="s">
        <v>1937</v>
      </c>
      <c r="K223" s="4414"/>
      <c r="L223" s="4414"/>
      <c r="M223" s="4684"/>
    </row>
    <row r="224" spans="1:13" ht="30" customHeight="1" x14ac:dyDescent="0.2">
      <c r="A224" s="4464"/>
      <c r="B224" s="4600"/>
      <c r="C224" s="4540"/>
      <c r="D224" s="4600"/>
      <c r="E224" s="4516"/>
      <c r="F224" s="4414"/>
      <c r="G224" s="1067">
        <v>14000000</v>
      </c>
      <c r="H224" s="610" t="s">
        <v>1881</v>
      </c>
      <c r="I224" s="619" t="s">
        <v>1934</v>
      </c>
      <c r="J224" s="33" t="s">
        <v>1937</v>
      </c>
      <c r="K224" s="4414"/>
      <c r="L224" s="4414"/>
      <c r="M224" s="4684"/>
    </row>
    <row r="225" spans="1:13" ht="30" customHeight="1" x14ac:dyDescent="0.2">
      <c r="A225" s="4464"/>
      <c r="B225" s="4600"/>
      <c r="C225" s="4540"/>
      <c r="D225" s="4600"/>
      <c r="E225" s="4516"/>
      <c r="F225" s="4414"/>
      <c r="G225" s="1067">
        <v>20000000</v>
      </c>
      <c r="H225" s="610" t="s">
        <v>1881</v>
      </c>
      <c r="I225" s="619" t="s">
        <v>1936</v>
      </c>
      <c r="J225" s="33" t="s">
        <v>1937</v>
      </c>
      <c r="K225" s="4414"/>
      <c r="L225" s="4414"/>
      <c r="M225" s="4684"/>
    </row>
    <row r="226" spans="1:13" ht="30" customHeight="1" x14ac:dyDescent="0.2">
      <c r="A226" s="4464"/>
      <c r="B226" s="4600"/>
      <c r="C226" s="4540"/>
      <c r="D226" s="4600"/>
      <c r="E226" s="4516"/>
      <c r="F226" s="4414"/>
      <c r="G226" s="1067">
        <v>37400000</v>
      </c>
      <c r="H226" s="610" t="s">
        <v>1944</v>
      </c>
      <c r="I226" s="619" t="s">
        <v>1993</v>
      </c>
      <c r="J226" s="384" t="s">
        <v>1937</v>
      </c>
      <c r="K226" s="4414"/>
      <c r="L226" s="4414"/>
      <c r="M226" s="4684"/>
    </row>
    <row r="227" spans="1:13" ht="30" customHeight="1" x14ac:dyDescent="0.2">
      <c r="A227" s="4464"/>
      <c r="B227" s="4600"/>
      <c r="C227" s="4540"/>
      <c r="D227" s="4600"/>
      <c r="E227" s="4516"/>
      <c r="F227" s="4414"/>
      <c r="G227" s="1067">
        <v>2000000</v>
      </c>
      <c r="H227" s="1068"/>
      <c r="I227" s="1090"/>
      <c r="J227" s="910"/>
      <c r="K227" s="4414"/>
      <c r="L227" s="4414"/>
      <c r="M227" s="4684"/>
    </row>
    <row r="228" spans="1:13" ht="30" customHeight="1" x14ac:dyDescent="0.2">
      <c r="A228" s="4464"/>
      <c r="B228" s="4600"/>
      <c r="C228" s="4540"/>
      <c r="D228" s="4600"/>
      <c r="E228" s="4516"/>
      <c r="F228" s="4414"/>
      <c r="G228" s="1067">
        <v>17300000</v>
      </c>
      <c r="H228" s="610" t="s">
        <v>2296</v>
      </c>
      <c r="I228" s="619" t="s">
        <v>2310</v>
      </c>
      <c r="J228" s="637" t="s">
        <v>1937</v>
      </c>
      <c r="K228" s="4414"/>
      <c r="L228" s="4414"/>
      <c r="M228" s="4684"/>
    </row>
    <row r="229" spans="1:13" ht="30" customHeight="1" x14ac:dyDescent="0.2">
      <c r="A229" s="4460"/>
      <c r="B229" s="4607"/>
      <c r="C229" s="4538"/>
      <c r="D229" s="4607"/>
      <c r="E229" s="4477"/>
      <c r="F229" s="4415"/>
      <c r="G229" s="439">
        <v>10000000</v>
      </c>
      <c r="H229" s="439" t="s">
        <v>2441</v>
      </c>
      <c r="I229" s="1088" t="s">
        <v>2465</v>
      </c>
      <c r="J229" s="1089" t="s">
        <v>1937</v>
      </c>
      <c r="K229" s="4415"/>
      <c r="L229" s="4415"/>
      <c r="M229" s="4493"/>
    </row>
    <row r="230" spans="1:13" ht="30" customHeight="1" x14ac:dyDescent="0.2">
      <c r="A230" s="4">
        <v>143</v>
      </c>
      <c r="B230" s="41" t="s">
        <v>9</v>
      </c>
      <c r="C230" s="344"/>
      <c r="D230" s="332">
        <v>50000000</v>
      </c>
      <c r="E230" s="17">
        <v>0.04</v>
      </c>
      <c r="F230" s="332">
        <f t="shared" si="10"/>
        <v>2000000</v>
      </c>
      <c r="G230" s="332"/>
      <c r="H230" s="332"/>
      <c r="I230" s="338"/>
      <c r="J230" s="26"/>
      <c r="K230" s="332"/>
      <c r="L230" s="332">
        <f t="shared" si="11"/>
        <v>2000000</v>
      </c>
      <c r="M230" s="97"/>
    </row>
    <row r="231" spans="1:13" ht="30" customHeight="1" x14ac:dyDescent="0.2">
      <c r="A231" s="4">
        <v>144</v>
      </c>
      <c r="B231" s="41" t="s">
        <v>514</v>
      </c>
      <c r="C231" s="344"/>
      <c r="D231" s="332">
        <v>5000000</v>
      </c>
      <c r="E231" s="17">
        <v>0.05</v>
      </c>
      <c r="F231" s="332">
        <f t="shared" si="10"/>
        <v>250000</v>
      </c>
      <c r="G231" s="332">
        <v>250000</v>
      </c>
      <c r="H231" s="332" t="s">
        <v>1474</v>
      </c>
      <c r="I231" s="338" t="s">
        <v>1584</v>
      </c>
      <c r="J231" s="21" t="s">
        <v>516</v>
      </c>
      <c r="K231" s="332">
        <f>G231</f>
        <v>250000</v>
      </c>
      <c r="L231" s="332">
        <f t="shared" si="11"/>
        <v>0</v>
      </c>
      <c r="M231" s="41"/>
    </row>
    <row r="232" spans="1:13" ht="30" customHeight="1" x14ac:dyDescent="0.2">
      <c r="A232" s="4">
        <v>145</v>
      </c>
      <c r="B232" s="41" t="s">
        <v>10</v>
      </c>
      <c r="C232" s="344" t="s">
        <v>1172</v>
      </c>
      <c r="D232" s="332">
        <v>105000000</v>
      </c>
      <c r="E232" s="17">
        <v>0.04</v>
      </c>
      <c r="F232" s="332">
        <f t="shared" si="10"/>
        <v>4200000</v>
      </c>
      <c r="G232" s="332">
        <v>4200000</v>
      </c>
      <c r="H232" s="332" t="s">
        <v>1701</v>
      </c>
      <c r="I232" s="338" t="s">
        <v>1730</v>
      </c>
      <c r="J232" s="18" t="s">
        <v>1731</v>
      </c>
      <c r="K232" s="332">
        <f>G232</f>
        <v>4200000</v>
      </c>
      <c r="L232" s="332">
        <f t="shared" si="11"/>
        <v>0</v>
      </c>
      <c r="M232" s="41"/>
    </row>
    <row r="233" spans="1:13" ht="30" customHeight="1" x14ac:dyDescent="0.2">
      <c r="A233" s="4">
        <v>146</v>
      </c>
      <c r="B233" s="41" t="s">
        <v>11</v>
      </c>
      <c r="C233" s="344"/>
      <c r="D233" s="332">
        <v>50000000</v>
      </c>
      <c r="E233" s="17">
        <v>4.4999999999999998E-2</v>
      </c>
      <c r="F233" s="332">
        <f t="shared" si="10"/>
        <v>2250000</v>
      </c>
      <c r="G233" s="332"/>
      <c r="H233" s="332"/>
      <c r="I233" s="338"/>
      <c r="J233" s="21"/>
      <c r="K233" s="332"/>
      <c r="L233" s="332">
        <f t="shared" si="11"/>
        <v>2250000</v>
      </c>
      <c r="M233" s="41"/>
    </row>
    <row r="234" spans="1:13" ht="30" customHeight="1" x14ac:dyDescent="0.2">
      <c r="A234" s="4">
        <v>147</v>
      </c>
      <c r="B234" s="41" t="s">
        <v>12</v>
      </c>
      <c r="C234" s="344" t="s">
        <v>1295</v>
      </c>
      <c r="D234" s="332">
        <v>30000000</v>
      </c>
      <c r="E234" s="17">
        <v>0.04</v>
      </c>
      <c r="F234" s="332">
        <f t="shared" si="10"/>
        <v>1200000</v>
      </c>
      <c r="G234" s="332">
        <v>1200000</v>
      </c>
      <c r="H234" s="332" t="s">
        <v>1474</v>
      </c>
      <c r="I234" s="338" t="s">
        <v>1536</v>
      </c>
      <c r="J234" s="26" t="s">
        <v>512</v>
      </c>
      <c r="K234" s="332">
        <f>G234</f>
        <v>1200000</v>
      </c>
      <c r="L234" s="332">
        <f t="shared" si="11"/>
        <v>0</v>
      </c>
      <c r="M234" s="160" t="s">
        <v>513</v>
      </c>
    </row>
    <row r="235" spans="1:13" ht="30" customHeight="1" x14ac:dyDescent="0.2">
      <c r="A235" s="4459">
        <v>148</v>
      </c>
      <c r="B235" s="4457" t="s">
        <v>13</v>
      </c>
      <c r="C235" s="4537" t="s">
        <v>1497</v>
      </c>
      <c r="D235" s="4413">
        <v>55000000</v>
      </c>
      <c r="E235" s="4476">
        <v>0.05</v>
      </c>
      <c r="F235" s="4413">
        <f t="shared" si="10"/>
        <v>2750000</v>
      </c>
      <c r="G235" s="332">
        <v>500000</v>
      </c>
      <c r="H235" s="332" t="s">
        <v>1022</v>
      </c>
      <c r="I235" s="338" t="s">
        <v>1349</v>
      </c>
      <c r="J235" s="21" t="s">
        <v>386</v>
      </c>
      <c r="K235" s="4413">
        <f>G235+G236</f>
        <v>2750000</v>
      </c>
      <c r="L235" s="4413">
        <f t="shared" si="11"/>
        <v>0</v>
      </c>
      <c r="M235" s="4599"/>
    </row>
    <row r="236" spans="1:13" ht="30" customHeight="1" x14ac:dyDescent="0.2">
      <c r="A236" s="4460"/>
      <c r="B236" s="4458"/>
      <c r="C236" s="4538"/>
      <c r="D236" s="4415"/>
      <c r="E236" s="4477"/>
      <c r="F236" s="4415"/>
      <c r="G236" s="549">
        <v>2250000</v>
      </c>
      <c r="H236" s="549" t="s">
        <v>1782</v>
      </c>
      <c r="I236" s="557" t="s">
        <v>1865</v>
      </c>
      <c r="J236" s="384" t="s">
        <v>386</v>
      </c>
      <c r="K236" s="4415"/>
      <c r="L236" s="4415"/>
      <c r="M236" s="4607"/>
    </row>
    <row r="237" spans="1:13" ht="30" customHeight="1" x14ac:dyDescent="0.2">
      <c r="A237" s="4">
        <v>149</v>
      </c>
      <c r="B237" s="41" t="s">
        <v>14</v>
      </c>
      <c r="C237" s="344" t="s">
        <v>1291</v>
      </c>
      <c r="D237" s="332">
        <v>80000000</v>
      </c>
      <c r="E237" s="17">
        <v>0.05</v>
      </c>
      <c r="F237" s="332">
        <f t="shared" si="10"/>
        <v>4000000</v>
      </c>
      <c r="G237" s="332">
        <v>4000000</v>
      </c>
      <c r="H237" s="332" t="s">
        <v>2165</v>
      </c>
      <c r="I237" s="338" t="s">
        <v>2182</v>
      </c>
      <c r="J237" s="26" t="s">
        <v>474</v>
      </c>
      <c r="K237" s="332">
        <f t="shared" ref="K237:K242" si="15">G237</f>
        <v>4000000</v>
      </c>
      <c r="L237" s="332">
        <f t="shared" si="11"/>
        <v>0</v>
      </c>
      <c r="M237" s="159" t="s">
        <v>357</v>
      </c>
    </row>
    <row r="238" spans="1:13" ht="30" customHeight="1" x14ac:dyDescent="0.2">
      <c r="A238" s="4">
        <v>150</v>
      </c>
      <c r="B238" s="41" t="s">
        <v>15</v>
      </c>
      <c r="C238" s="344"/>
      <c r="D238" s="330"/>
      <c r="E238" s="40"/>
      <c r="F238" s="330">
        <f t="shared" si="10"/>
        <v>0</v>
      </c>
      <c r="G238" s="332">
        <v>6400000</v>
      </c>
      <c r="H238" s="332" t="s">
        <v>2072</v>
      </c>
      <c r="I238" s="338" t="s">
        <v>2073</v>
      </c>
      <c r="J238" s="21" t="s">
        <v>2074</v>
      </c>
      <c r="K238" s="332">
        <f t="shared" si="15"/>
        <v>6400000</v>
      </c>
      <c r="L238" s="330">
        <f t="shared" si="11"/>
        <v>-6400000</v>
      </c>
      <c r="M238" s="41"/>
    </row>
    <row r="239" spans="1:13" ht="30" customHeight="1" x14ac:dyDescent="0.2">
      <c r="A239" s="4">
        <v>151</v>
      </c>
      <c r="B239" s="41" t="s">
        <v>16</v>
      </c>
      <c r="C239" s="344" t="s">
        <v>1107</v>
      </c>
      <c r="D239" s="332">
        <v>180000000</v>
      </c>
      <c r="E239" s="17">
        <v>0.05</v>
      </c>
      <c r="F239" s="332">
        <f t="shared" si="10"/>
        <v>9000000</v>
      </c>
      <c r="G239" s="332">
        <v>9000000</v>
      </c>
      <c r="H239" s="332" t="s">
        <v>2147</v>
      </c>
      <c r="I239" s="32" t="s">
        <v>2148</v>
      </c>
      <c r="J239" s="21" t="s">
        <v>2149</v>
      </c>
      <c r="K239" s="332">
        <f t="shared" si="15"/>
        <v>9000000</v>
      </c>
      <c r="L239" s="332">
        <f t="shared" si="11"/>
        <v>0</v>
      </c>
      <c r="M239" s="41"/>
    </row>
    <row r="240" spans="1:13" ht="30" customHeight="1" x14ac:dyDescent="0.2">
      <c r="A240" s="4">
        <v>152</v>
      </c>
      <c r="B240" s="41" t="s">
        <v>1115</v>
      </c>
      <c r="C240" s="344"/>
      <c r="D240" s="332">
        <v>35000000</v>
      </c>
      <c r="E240" s="17">
        <v>4.7E-2</v>
      </c>
      <c r="F240" s="332">
        <v>1650000</v>
      </c>
      <c r="G240" s="332">
        <v>1650000</v>
      </c>
      <c r="H240" s="332" t="s">
        <v>2368</v>
      </c>
      <c r="I240" s="338" t="s">
        <v>2373</v>
      </c>
      <c r="J240" s="21" t="s">
        <v>1117</v>
      </c>
      <c r="K240" s="332">
        <f t="shared" si="15"/>
        <v>1650000</v>
      </c>
      <c r="L240" s="332">
        <f t="shared" si="11"/>
        <v>0</v>
      </c>
      <c r="M240" s="41"/>
    </row>
    <row r="241" spans="1:13" ht="30" customHeight="1" x14ac:dyDescent="0.2">
      <c r="A241" s="4">
        <v>153</v>
      </c>
      <c r="B241" s="41" t="s">
        <v>17</v>
      </c>
      <c r="C241" s="344"/>
      <c r="D241" s="332">
        <v>30000000</v>
      </c>
      <c r="E241" s="17">
        <v>0.04</v>
      </c>
      <c r="F241" s="332">
        <f t="shared" si="10"/>
        <v>1200000</v>
      </c>
      <c r="G241" s="332">
        <v>1200000</v>
      </c>
      <c r="H241" s="332" t="s">
        <v>2214</v>
      </c>
      <c r="I241" s="338" t="s">
        <v>2222</v>
      </c>
      <c r="J241" s="21" t="s">
        <v>2223</v>
      </c>
      <c r="K241" s="332">
        <f t="shared" si="15"/>
        <v>1200000</v>
      </c>
      <c r="L241" s="332">
        <f t="shared" si="11"/>
        <v>0</v>
      </c>
      <c r="M241" s="41"/>
    </row>
    <row r="242" spans="1:13" ht="30" customHeight="1" x14ac:dyDescent="0.2">
      <c r="A242" s="4">
        <v>154</v>
      </c>
      <c r="B242" s="41" t="s">
        <v>18</v>
      </c>
      <c r="C242" s="344" t="s">
        <v>1796</v>
      </c>
      <c r="D242" s="332">
        <v>15000000</v>
      </c>
      <c r="E242" s="17">
        <v>7.0000000000000007E-2</v>
      </c>
      <c r="F242" s="332">
        <f t="shared" si="10"/>
        <v>1050000</v>
      </c>
      <c r="G242" s="332">
        <v>1050000</v>
      </c>
      <c r="H242" s="332" t="s">
        <v>2484</v>
      </c>
      <c r="I242" s="338" t="s">
        <v>2492</v>
      </c>
      <c r="J242" s="21" t="s">
        <v>1278</v>
      </c>
      <c r="K242" s="332">
        <f t="shared" si="15"/>
        <v>1050000</v>
      </c>
      <c r="L242" s="332">
        <f t="shared" si="11"/>
        <v>0</v>
      </c>
      <c r="M242" s="41"/>
    </row>
    <row r="243" spans="1:13" ht="30" customHeight="1" x14ac:dyDescent="0.2">
      <c r="A243" s="4">
        <v>155</v>
      </c>
      <c r="B243" s="41" t="s">
        <v>19</v>
      </c>
      <c r="C243" s="344"/>
      <c r="D243" s="330"/>
      <c r="E243" s="40"/>
      <c r="F243" s="330">
        <f t="shared" si="10"/>
        <v>0</v>
      </c>
      <c r="G243" s="332"/>
      <c r="H243" s="332"/>
      <c r="I243" s="32"/>
      <c r="J243" s="21"/>
      <c r="K243" s="332"/>
      <c r="L243" s="330">
        <f t="shared" si="11"/>
        <v>0</v>
      </c>
      <c r="M243" s="41"/>
    </row>
    <row r="244" spans="1:13" ht="30" customHeight="1" x14ac:dyDescent="0.2">
      <c r="A244" s="641">
        <v>156</v>
      </c>
      <c r="B244" s="179" t="s">
        <v>20</v>
      </c>
      <c r="C244" s="378"/>
      <c r="D244" s="359">
        <v>50000000</v>
      </c>
      <c r="E244" s="17">
        <v>0.04</v>
      </c>
      <c r="F244" s="359">
        <f t="shared" si="10"/>
        <v>2000000</v>
      </c>
      <c r="G244" s="332">
        <v>2000000</v>
      </c>
      <c r="H244" s="332" t="s">
        <v>2005</v>
      </c>
      <c r="I244" s="338" t="s">
        <v>2024</v>
      </c>
      <c r="J244" s="18" t="s">
        <v>462</v>
      </c>
      <c r="K244" s="359">
        <f>G244</f>
        <v>2000000</v>
      </c>
      <c r="L244" s="359">
        <f t="shared" si="11"/>
        <v>0</v>
      </c>
      <c r="M244" s="422" t="s">
        <v>2028</v>
      </c>
    </row>
    <row r="245" spans="1:13" ht="30" customHeight="1" x14ac:dyDescent="0.2">
      <c r="A245" s="4">
        <v>157</v>
      </c>
      <c r="B245" s="41" t="s">
        <v>21</v>
      </c>
      <c r="C245" s="344" t="s">
        <v>1294</v>
      </c>
      <c r="D245" s="332">
        <v>20000000</v>
      </c>
      <c r="E245" s="353">
        <v>0.05</v>
      </c>
      <c r="F245" s="332">
        <f t="shared" si="10"/>
        <v>1000000</v>
      </c>
      <c r="G245" s="332">
        <v>1000000</v>
      </c>
      <c r="H245" s="332" t="s">
        <v>2165</v>
      </c>
      <c r="I245" s="338" t="s">
        <v>2185</v>
      </c>
      <c r="J245" s="21" t="s">
        <v>690</v>
      </c>
      <c r="K245" s="332">
        <f>G245</f>
        <v>1000000</v>
      </c>
      <c r="L245" s="332">
        <f t="shared" si="11"/>
        <v>0</v>
      </c>
      <c r="M245" s="41"/>
    </row>
    <row r="246" spans="1:13" ht="30" customHeight="1" x14ac:dyDescent="0.2">
      <c r="A246" s="4459">
        <v>158</v>
      </c>
      <c r="B246" s="4457" t="s">
        <v>822</v>
      </c>
      <c r="C246" s="344" t="s">
        <v>1306</v>
      </c>
      <c r="D246" s="332">
        <v>120000000</v>
      </c>
      <c r="E246" s="17">
        <v>4.4999999999999998E-2</v>
      </c>
      <c r="F246" s="332">
        <v>5400000</v>
      </c>
      <c r="G246" s="4413">
        <v>6600000</v>
      </c>
      <c r="H246" s="4325" t="s">
        <v>2404</v>
      </c>
      <c r="I246" s="4326"/>
      <c r="J246" s="4326"/>
      <c r="K246" s="4563"/>
      <c r="L246" s="4413">
        <f>(F246+F247)-K246</f>
        <v>6600000</v>
      </c>
      <c r="M246" s="41" t="s">
        <v>2204</v>
      </c>
    </row>
    <row r="247" spans="1:13" ht="30" customHeight="1" x14ac:dyDescent="0.2">
      <c r="A247" s="4464"/>
      <c r="B247" s="4488"/>
      <c r="C247" s="344" t="s">
        <v>1306</v>
      </c>
      <c r="D247" s="332">
        <v>22000000</v>
      </c>
      <c r="E247" s="17">
        <f>F247/D247</f>
        <v>5.4545454545454543E-2</v>
      </c>
      <c r="F247" s="332">
        <v>1200000</v>
      </c>
      <c r="G247" s="4415"/>
      <c r="H247" s="4564"/>
      <c r="I247" s="4596"/>
      <c r="J247" s="4596"/>
      <c r="K247" s="4565"/>
      <c r="L247" s="4415"/>
      <c r="M247" s="41" t="s">
        <v>2213</v>
      </c>
    </row>
    <row r="248" spans="1:13" ht="30" customHeight="1" x14ac:dyDescent="0.2">
      <c r="A248" s="4464"/>
      <c r="B248" s="4488"/>
      <c r="C248" s="716" t="s">
        <v>1306</v>
      </c>
      <c r="D248" s="715">
        <v>160000000</v>
      </c>
      <c r="E248" s="717">
        <v>0.05</v>
      </c>
      <c r="F248" s="715">
        <f>D248*E248</f>
        <v>8000000</v>
      </c>
      <c r="G248" s="4657" t="s">
        <v>2205</v>
      </c>
      <c r="H248" s="4658"/>
      <c r="I248" s="4658"/>
      <c r="J248" s="4658"/>
      <c r="K248" s="4659"/>
      <c r="L248" s="4413"/>
      <c r="M248" s="4599"/>
    </row>
    <row r="249" spans="1:13" ht="30" customHeight="1" x14ac:dyDescent="0.2">
      <c r="A249" s="4460"/>
      <c r="B249" s="4458"/>
      <c r="C249" s="716" t="s">
        <v>1306</v>
      </c>
      <c r="D249" s="715">
        <v>22000000</v>
      </c>
      <c r="E249" s="717">
        <v>5.5E-2</v>
      </c>
      <c r="F249" s="715">
        <v>1200000</v>
      </c>
      <c r="G249" s="4660"/>
      <c r="H249" s="4661"/>
      <c r="I249" s="4661"/>
      <c r="J249" s="4661"/>
      <c r="K249" s="4662"/>
      <c r="L249" s="4415"/>
      <c r="M249" s="4607"/>
    </row>
    <row r="250" spans="1:13" ht="30" customHeight="1" x14ac:dyDescent="0.2">
      <c r="A250" s="4">
        <v>159</v>
      </c>
      <c r="B250" s="41" t="s">
        <v>22</v>
      </c>
      <c r="C250" s="344" t="s">
        <v>1300</v>
      </c>
      <c r="D250" s="332">
        <v>25000000</v>
      </c>
      <c r="E250" s="17">
        <v>0.05</v>
      </c>
      <c r="F250" s="332">
        <f t="shared" si="10"/>
        <v>1250000</v>
      </c>
      <c r="G250" s="332">
        <v>1250000</v>
      </c>
      <c r="H250" s="332" t="s">
        <v>2165</v>
      </c>
      <c r="I250" s="338" t="s">
        <v>2191</v>
      </c>
      <c r="J250" s="21" t="s">
        <v>2192</v>
      </c>
      <c r="K250" s="332">
        <f>G250</f>
        <v>1250000</v>
      </c>
      <c r="L250" s="332">
        <f t="shared" si="11"/>
        <v>0</v>
      </c>
      <c r="M250" s="41"/>
    </row>
    <row r="251" spans="1:13" ht="30" customHeight="1" x14ac:dyDescent="0.2">
      <c r="A251" s="4">
        <v>160</v>
      </c>
      <c r="B251" s="41" t="s">
        <v>23</v>
      </c>
      <c r="C251" s="344"/>
      <c r="D251" s="332">
        <v>55000000</v>
      </c>
      <c r="E251" s="17">
        <v>0.05</v>
      </c>
      <c r="F251" s="332">
        <f t="shared" si="10"/>
        <v>2750000</v>
      </c>
      <c r="G251" s="332">
        <v>2750000</v>
      </c>
      <c r="H251" s="332" t="s">
        <v>2147</v>
      </c>
      <c r="I251" s="338" t="s">
        <v>2161</v>
      </c>
      <c r="J251" s="21" t="s">
        <v>2162</v>
      </c>
      <c r="K251" s="332">
        <f>G251</f>
        <v>2750000</v>
      </c>
      <c r="L251" s="332">
        <f t="shared" si="11"/>
        <v>0</v>
      </c>
      <c r="M251" s="41"/>
    </row>
    <row r="252" spans="1:13" ht="30" customHeight="1" x14ac:dyDescent="0.2">
      <c r="A252" s="4">
        <v>161</v>
      </c>
      <c r="B252" s="41" t="s">
        <v>24</v>
      </c>
      <c r="C252" s="344" t="s">
        <v>1306</v>
      </c>
      <c r="D252" s="332">
        <v>20000000</v>
      </c>
      <c r="E252" s="17">
        <v>4.4999999999999998E-2</v>
      </c>
      <c r="F252" s="332">
        <f t="shared" ref="F252:F320" si="16">D252*E252</f>
        <v>900000</v>
      </c>
      <c r="G252" s="332">
        <v>900000</v>
      </c>
      <c r="H252" s="332" t="s">
        <v>2214</v>
      </c>
      <c r="I252" s="338" t="s">
        <v>2261</v>
      </c>
      <c r="J252" s="21" t="s">
        <v>721</v>
      </c>
      <c r="K252" s="332">
        <f>G252</f>
        <v>900000</v>
      </c>
      <c r="L252" s="332">
        <f t="shared" si="11"/>
        <v>0</v>
      </c>
      <c r="M252" s="41"/>
    </row>
    <row r="253" spans="1:13" ht="30" customHeight="1" x14ac:dyDescent="0.2">
      <c r="A253" s="4">
        <v>162</v>
      </c>
      <c r="B253" s="41" t="s">
        <v>25</v>
      </c>
      <c r="C253" s="344"/>
      <c r="D253" s="332">
        <v>180000000</v>
      </c>
      <c r="E253" s="17">
        <v>0.05</v>
      </c>
      <c r="F253" s="332">
        <f t="shared" si="16"/>
        <v>9000000</v>
      </c>
      <c r="G253" s="332">
        <v>9000000</v>
      </c>
      <c r="H253" s="332" t="s">
        <v>2165</v>
      </c>
      <c r="I253" s="338" t="s">
        <v>2193</v>
      </c>
      <c r="J253" s="21" t="s">
        <v>2194</v>
      </c>
      <c r="K253" s="332">
        <f>G253</f>
        <v>9000000</v>
      </c>
      <c r="L253" s="332">
        <f t="shared" ref="L253:L309" si="17">F253-K253</f>
        <v>0</v>
      </c>
      <c r="M253" s="41"/>
    </row>
    <row r="254" spans="1:13" ht="30" customHeight="1" x14ac:dyDescent="0.2">
      <c r="A254" s="4">
        <v>163</v>
      </c>
      <c r="B254" s="41" t="s">
        <v>828</v>
      </c>
      <c r="C254" s="344"/>
      <c r="D254" s="332">
        <v>200000000</v>
      </c>
      <c r="E254" s="17">
        <v>0.05</v>
      </c>
      <c r="F254" s="332">
        <f t="shared" si="16"/>
        <v>10000000</v>
      </c>
      <c r="G254" s="332">
        <v>10000000</v>
      </c>
      <c r="H254" s="332" t="s">
        <v>2214</v>
      </c>
      <c r="I254" s="338" t="s">
        <v>2217</v>
      </c>
      <c r="J254" s="21" t="s">
        <v>830</v>
      </c>
      <c r="K254" s="332">
        <f>F254</f>
        <v>10000000</v>
      </c>
      <c r="L254" s="332">
        <f t="shared" si="17"/>
        <v>0</v>
      </c>
      <c r="M254" s="41"/>
    </row>
    <row r="255" spans="1:13" ht="30" customHeight="1" x14ac:dyDescent="0.2">
      <c r="A255" s="4">
        <v>164</v>
      </c>
      <c r="B255" s="41" t="s">
        <v>26</v>
      </c>
      <c r="C255" s="344"/>
      <c r="D255" s="332">
        <v>50000000</v>
      </c>
      <c r="E255" s="17">
        <v>0.05</v>
      </c>
      <c r="F255" s="332">
        <f t="shared" si="16"/>
        <v>2500000</v>
      </c>
      <c r="G255" s="332">
        <v>2500000</v>
      </c>
      <c r="H255" s="332" t="s">
        <v>2165</v>
      </c>
      <c r="I255" s="338" t="s">
        <v>2198</v>
      </c>
      <c r="J255" s="21" t="s">
        <v>2199</v>
      </c>
      <c r="K255" s="332">
        <f>G255</f>
        <v>2500000</v>
      </c>
      <c r="L255" s="332">
        <f t="shared" si="17"/>
        <v>0</v>
      </c>
      <c r="M255" s="41"/>
    </row>
    <row r="256" spans="1:13" ht="30" customHeight="1" x14ac:dyDescent="0.2">
      <c r="A256" s="4">
        <v>165</v>
      </c>
      <c r="B256" s="41" t="s">
        <v>27</v>
      </c>
      <c r="C256" s="344" t="s">
        <v>681</v>
      </c>
      <c r="D256" s="332">
        <v>20000000</v>
      </c>
      <c r="E256" s="17">
        <v>0.04</v>
      </c>
      <c r="F256" s="332">
        <f t="shared" si="16"/>
        <v>800000</v>
      </c>
      <c r="G256" s="332">
        <v>800000</v>
      </c>
      <c r="H256" s="332" t="s">
        <v>2296</v>
      </c>
      <c r="I256" s="338" t="s">
        <v>2331</v>
      </c>
      <c r="J256" s="21" t="s">
        <v>743</v>
      </c>
      <c r="K256" s="332">
        <f>G256</f>
        <v>800000</v>
      </c>
      <c r="L256" s="332">
        <f t="shared" si="17"/>
        <v>0</v>
      </c>
      <c r="M256" s="41"/>
    </row>
    <row r="257" spans="1:13" ht="30" customHeight="1" x14ac:dyDescent="0.2">
      <c r="A257" s="4">
        <v>166</v>
      </c>
      <c r="B257" s="41" t="s">
        <v>28</v>
      </c>
      <c r="C257" s="344" t="s">
        <v>551</v>
      </c>
      <c r="D257" s="332">
        <v>100000000</v>
      </c>
      <c r="E257" s="17">
        <v>0.05</v>
      </c>
      <c r="F257" s="332">
        <f t="shared" si="16"/>
        <v>5000000</v>
      </c>
      <c r="G257" s="332">
        <v>5000000</v>
      </c>
      <c r="H257" s="332" t="s">
        <v>2214</v>
      </c>
      <c r="I257" s="338" t="s">
        <v>2226</v>
      </c>
      <c r="J257" s="26" t="s">
        <v>2227</v>
      </c>
      <c r="K257" s="332">
        <f>G257</f>
        <v>5000000</v>
      </c>
      <c r="L257" s="332">
        <f t="shared" si="17"/>
        <v>0</v>
      </c>
      <c r="M257" s="41"/>
    </row>
    <row r="258" spans="1:13" ht="30" customHeight="1" x14ac:dyDescent="0.2">
      <c r="A258" s="4">
        <v>167</v>
      </c>
      <c r="B258" s="41" t="s">
        <v>737</v>
      </c>
      <c r="C258" s="344"/>
      <c r="D258" s="332">
        <v>50000000</v>
      </c>
      <c r="E258" s="17">
        <v>0.05</v>
      </c>
      <c r="F258" s="332">
        <f t="shared" si="16"/>
        <v>2500000</v>
      </c>
      <c r="G258" s="332">
        <v>2500000</v>
      </c>
      <c r="H258" s="332" t="s">
        <v>2165</v>
      </c>
      <c r="I258" s="338" t="s">
        <v>2187</v>
      </c>
      <c r="J258" s="21" t="s">
        <v>739</v>
      </c>
      <c r="K258" s="332">
        <f>G258</f>
        <v>2500000</v>
      </c>
      <c r="L258" s="332">
        <f t="shared" si="17"/>
        <v>0</v>
      </c>
      <c r="M258" s="41"/>
    </row>
    <row r="259" spans="1:13" ht="30" customHeight="1" x14ac:dyDescent="0.2">
      <c r="A259" s="4">
        <v>168</v>
      </c>
      <c r="B259" s="41" t="s">
        <v>818</v>
      </c>
      <c r="C259" s="344"/>
      <c r="D259" s="332">
        <v>50000000</v>
      </c>
      <c r="E259" s="17">
        <v>7.0000000000000007E-2</v>
      </c>
      <c r="F259" s="332">
        <f t="shared" si="16"/>
        <v>3500000.0000000005</v>
      </c>
      <c r="G259" s="332">
        <v>3500000</v>
      </c>
      <c r="H259" s="332" t="s">
        <v>2262</v>
      </c>
      <c r="I259" s="338" t="s">
        <v>2294</v>
      </c>
      <c r="J259" s="21" t="s">
        <v>2295</v>
      </c>
      <c r="K259" s="332">
        <f>G259</f>
        <v>3500000</v>
      </c>
      <c r="L259" s="332">
        <f t="shared" si="17"/>
        <v>0</v>
      </c>
      <c r="M259" s="41"/>
    </row>
    <row r="260" spans="1:13" ht="30" customHeight="1" x14ac:dyDescent="0.2">
      <c r="A260" s="4459">
        <v>169</v>
      </c>
      <c r="B260" s="4457" t="s">
        <v>29</v>
      </c>
      <c r="C260" s="344"/>
      <c r="D260" s="332">
        <v>18000000</v>
      </c>
      <c r="E260" s="17">
        <v>4.4999999999999998E-2</v>
      </c>
      <c r="F260" s="332">
        <f t="shared" si="16"/>
        <v>810000</v>
      </c>
      <c r="G260" s="332"/>
      <c r="H260" s="332"/>
      <c r="I260" s="338"/>
      <c r="J260" s="341"/>
      <c r="K260" s="332"/>
      <c r="L260" s="332">
        <f t="shared" si="17"/>
        <v>810000</v>
      </c>
      <c r="M260" s="41"/>
    </row>
    <row r="261" spans="1:13" ht="30" customHeight="1" x14ac:dyDescent="0.2">
      <c r="A261" s="4460"/>
      <c r="B261" s="4458"/>
      <c r="C261" s="840"/>
      <c r="D261" s="837">
        <v>2000000</v>
      </c>
      <c r="E261" s="846"/>
      <c r="F261" s="837"/>
      <c r="G261" s="4623" t="s">
        <v>2207</v>
      </c>
      <c r="H261" s="4624"/>
      <c r="I261" s="4624"/>
      <c r="J261" s="4624"/>
      <c r="K261" s="4625"/>
      <c r="L261" s="837"/>
      <c r="M261" s="847"/>
    </row>
    <row r="262" spans="1:13" ht="30" customHeight="1" x14ac:dyDescent="0.2">
      <c r="A262" s="4">
        <v>170</v>
      </c>
      <c r="B262" s="41" t="s">
        <v>30</v>
      </c>
      <c r="C262" s="344" t="s">
        <v>1107</v>
      </c>
      <c r="D262" s="332">
        <v>70000000</v>
      </c>
      <c r="E262" s="17">
        <v>0.05</v>
      </c>
      <c r="F262" s="332">
        <f t="shared" si="16"/>
        <v>3500000</v>
      </c>
      <c r="G262" s="332">
        <v>3500000</v>
      </c>
      <c r="H262" s="332" t="s">
        <v>2319</v>
      </c>
      <c r="I262" s="338" t="s">
        <v>2328</v>
      </c>
      <c r="J262" s="21" t="s">
        <v>1127</v>
      </c>
      <c r="K262" s="332">
        <f>G262</f>
        <v>3500000</v>
      </c>
      <c r="L262" s="332">
        <f t="shared" si="17"/>
        <v>0</v>
      </c>
      <c r="M262" s="41"/>
    </row>
    <row r="263" spans="1:13" ht="30" customHeight="1" x14ac:dyDescent="0.2">
      <c r="A263" s="4">
        <v>171</v>
      </c>
      <c r="B263" s="41" t="s">
        <v>31</v>
      </c>
      <c r="C263" s="344" t="s">
        <v>1293</v>
      </c>
      <c r="D263" s="330"/>
      <c r="E263" s="40"/>
      <c r="F263" s="332">
        <v>400000</v>
      </c>
      <c r="G263" s="332"/>
      <c r="H263" s="332"/>
      <c r="I263" s="338"/>
      <c r="J263" s="21"/>
      <c r="K263" s="332"/>
      <c r="L263" s="332">
        <f t="shared" si="17"/>
        <v>400000</v>
      </c>
      <c r="M263" s="97" t="s">
        <v>2934</v>
      </c>
    </row>
    <row r="264" spans="1:13" ht="30" customHeight="1" x14ac:dyDescent="0.2">
      <c r="A264" s="688">
        <v>172</v>
      </c>
      <c r="B264" s="179" t="s">
        <v>32</v>
      </c>
      <c r="C264" s="697"/>
      <c r="D264" s="330">
        <v>5000000</v>
      </c>
      <c r="E264" s="40">
        <v>0.05</v>
      </c>
      <c r="F264" s="330">
        <f t="shared" si="16"/>
        <v>250000</v>
      </c>
      <c r="G264" s="690">
        <v>300000</v>
      </c>
      <c r="H264" s="690" t="s">
        <v>2165</v>
      </c>
      <c r="I264" s="700" t="s">
        <v>2197</v>
      </c>
      <c r="J264" s="21" t="s">
        <v>632</v>
      </c>
      <c r="K264" s="690">
        <f>G264</f>
        <v>300000</v>
      </c>
      <c r="L264" s="692">
        <f t="shared" si="17"/>
        <v>-50000</v>
      </c>
      <c r="M264" s="41"/>
    </row>
    <row r="265" spans="1:13" ht="30" customHeight="1" x14ac:dyDescent="0.2">
      <c r="A265" s="4">
        <v>173</v>
      </c>
      <c r="B265" s="41" t="s">
        <v>33</v>
      </c>
      <c r="C265" s="344"/>
      <c r="D265" s="332">
        <v>40000000</v>
      </c>
      <c r="E265" s="17">
        <v>0.05</v>
      </c>
      <c r="F265" s="332">
        <f t="shared" si="16"/>
        <v>2000000</v>
      </c>
      <c r="G265" s="332">
        <v>2000000</v>
      </c>
      <c r="H265" s="332" t="s">
        <v>2345</v>
      </c>
      <c r="I265" s="338" t="s">
        <v>2353</v>
      </c>
      <c r="J265" s="21" t="s">
        <v>838</v>
      </c>
      <c r="K265" s="332">
        <f>G265</f>
        <v>2000000</v>
      </c>
      <c r="L265" s="332">
        <f t="shared" si="17"/>
        <v>0</v>
      </c>
      <c r="M265" s="41"/>
    </row>
    <row r="266" spans="1:13" ht="30" customHeight="1" x14ac:dyDescent="0.2">
      <c r="A266" s="4459">
        <v>174</v>
      </c>
      <c r="B266" s="4457" t="s">
        <v>34</v>
      </c>
      <c r="C266" s="4537"/>
      <c r="D266" s="780">
        <v>4020000000</v>
      </c>
      <c r="E266" s="783">
        <v>7.0000000000000007E-2</v>
      </c>
      <c r="F266" s="359">
        <f>D266*E266</f>
        <v>281400000</v>
      </c>
      <c r="G266" s="774"/>
      <c r="H266" s="774"/>
      <c r="I266" s="786"/>
      <c r="J266" s="56"/>
      <c r="K266" s="776"/>
      <c r="L266" s="359">
        <f t="shared" si="17"/>
        <v>281400000</v>
      </c>
      <c r="M266" s="41" t="s">
        <v>2323</v>
      </c>
    </row>
    <row r="267" spans="1:13" ht="30" customHeight="1" x14ac:dyDescent="0.2">
      <c r="A267" s="4460"/>
      <c r="B267" s="4458"/>
      <c r="C267" s="4538"/>
      <c r="D267" s="780">
        <v>4545000000</v>
      </c>
      <c r="E267" s="783">
        <v>7.0000000000000007E-2</v>
      </c>
      <c r="F267" s="780">
        <v>318000000</v>
      </c>
      <c r="G267" s="4623" t="s">
        <v>2322</v>
      </c>
      <c r="H267" s="4624"/>
      <c r="I267" s="4624"/>
      <c r="J267" s="4624"/>
      <c r="K267" s="4625"/>
      <c r="L267" s="773"/>
      <c r="M267" s="785" t="s">
        <v>2324</v>
      </c>
    </row>
    <row r="268" spans="1:13" ht="30" customHeight="1" x14ac:dyDescent="0.2">
      <c r="A268" s="4">
        <v>175</v>
      </c>
      <c r="B268" s="41" t="s">
        <v>36</v>
      </c>
      <c r="C268" s="344"/>
      <c r="D268" s="332">
        <v>200000000</v>
      </c>
      <c r="E268" s="353">
        <v>0.05</v>
      </c>
      <c r="F268" s="332">
        <f t="shared" si="16"/>
        <v>10000000</v>
      </c>
      <c r="G268" s="332">
        <v>10000000</v>
      </c>
      <c r="H268" s="332" t="s">
        <v>2214</v>
      </c>
      <c r="I268" s="340" t="s">
        <v>2220</v>
      </c>
      <c r="J268" s="21" t="s">
        <v>2221</v>
      </c>
      <c r="K268" s="332">
        <f t="shared" ref="K268:K271" si="18">G268</f>
        <v>10000000</v>
      </c>
      <c r="L268" s="332">
        <f t="shared" si="17"/>
        <v>0</v>
      </c>
      <c r="M268" s="41"/>
    </row>
    <row r="269" spans="1:13" ht="30" customHeight="1" x14ac:dyDescent="0.2">
      <c r="A269" s="4">
        <v>176</v>
      </c>
      <c r="B269" s="41" t="s">
        <v>37</v>
      </c>
      <c r="C269" s="344" t="s">
        <v>1107</v>
      </c>
      <c r="D269" s="332">
        <v>150000000</v>
      </c>
      <c r="E269" s="17">
        <v>7.0000000000000007E-2</v>
      </c>
      <c r="F269" s="332">
        <f t="shared" si="16"/>
        <v>10500000.000000002</v>
      </c>
      <c r="G269" s="332">
        <v>10500000</v>
      </c>
      <c r="H269" s="332" t="s">
        <v>2296</v>
      </c>
      <c r="I269" s="340" t="s">
        <v>2297</v>
      </c>
      <c r="J269" s="21" t="s">
        <v>2298</v>
      </c>
      <c r="K269" s="332">
        <f t="shared" si="18"/>
        <v>10500000</v>
      </c>
      <c r="L269" s="332">
        <f t="shared" si="17"/>
        <v>0</v>
      </c>
      <c r="M269" s="41"/>
    </row>
    <row r="270" spans="1:13" ht="30" customHeight="1" x14ac:dyDescent="0.2">
      <c r="A270" s="4">
        <v>177</v>
      </c>
      <c r="B270" s="41" t="s">
        <v>38</v>
      </c>
      <c r="C270" s="344"/>
      <c r="D270" s="332">
        <v>25000000</v>
      </c>
      <c r="E270" s="17">
        <v>0.04</v>
      </c>
      <c r="F270" s="332">
        <f t="shared" si="16"/>
        <v>1000000</v>
      </c>
      <c r="G270" s="332">
        <v>1000000</v>
      </c>
      <c r="H270" s="332" t="s">
        <v>2165</v>
      </c>
      <c r="I270" s="338" t="s">
        <v>2174</v>
      </c>
      <c r="J270" s="18" t="s">
        <v>2175</v>
      </c>
      <c r="K270" s="332">
        <f t="shared" si="18"/>
        <v>1000000</v>
      </c>
      <c r="L270" s="332">
        <f t="shared" si="17"/>
        <v>0</v>
      </c>
      <c r="M270" s="41"/>
    </row>
    <row r="271" spans="1:13" ht="30" customHeight="1" x14ac:dyDescent="0.2">
      <c r="A271" s="4">
        <v>178</v>
      </c>
      <c r="B271" s="41" t="s">
        <v>39</v>
      </c>
      <c r="C271" s="344"/>
      <c r="D271" s="332">
        <v>90000000</v>
      </c>
      <c r="E271" s="17">
        <v>4.4999999999999998E-2</v>
      </c>
      <c r="F271" s="332">
        <v>4000000</v>
      </c>
      <c r="G271" s="332">
        <v>4000000</v>
      </c>
      <c r="H271" s="332" t="s">
        <v>2147</v>
      </c>
      <c r="I271" s="338" t="s">
        <v>2163</v>
      </c>
      <c r="J271" s="21" t="s">
        <v>2164</v>
      </c>
      <c r="K271" s="332">
        <f t="shared" si="18"/>
        <v>4000000</v>
      </c>
      <c r="L271" s="332">
        <f t="shared" si="17"/>
        <v>0</v>
      </c>
      <c r="M271" s="41"/>
    </row>
    <row r="272" spans="1:13" ht="30" customHeight="1" x14ac:dyDescent="0.2">
      <c r="A272" s="4459">
        <v>179</v>
      </c>
      <c r="B272" s="4457" t="s">
        <v>40</v>
      </c>
      <c r="C272" s="4537"/>
      <c r="D272" s="4506"/>
      <c r="E272" s="4512"/>
      <c r="F272" s="4506">
        <f t="shared" si="16"/>
        <v>0</v>
      </c>
      <c r="G272" s="820">
        <v>65000000</v>
      </c>
      <c r="H272" s="820" t="s">
        <v>1749</v>
      </c>
      <c r="I272" s="833" t="s">
        <v>1962</v>
      </c>
      <c r="J272" s="21" t="s">
        <v>1963</v>
      </c>
      <c r="K272" s="4413">
        <f>G272+G273</f>
        <v>81000000</v>
      </c>
      <c r="L272" s="4506">
        <f t="shared" si="17"/>
        <v>-81000000</v>
      </c>
      <c r="M272" s="4599"/>
    </row>
    <row r="273" spans="1:13" ht="30" customHeight="1" x14ac:dyDescent="0.2">
      <c r="A273" s="4460"/>
      <c r="B273" s="4458"/>
      <c r="C273" s="4538"/>
      <c r="D273" s="4508"/>
      <c r="E273" s="4514"/>
      <c r="F273" s="4508"/>
      <c r="G273" s="820">
        <v>16000000</v>
      </c>
      <c r="H273" s="820" t="s">
        <v>2368</v>
      </c>
      <c r="I273" s="833" t="s">
        <v>2395</v>
      </c>
      <c r="J273" s="21" t="s">
        <v>1090</v>
      </c>
      <c r="K273" s="4415"/>
      <c r="L273" s="4508"/>
      <c r="M273" s="4607"/>
    </row>
    <row r="274" spans="1:13" ht="30" customHeight="1" x14ac:dyDescent="0.2">
      <c r="A274" s="4459">
        <v>180</v>
      </c>
      <c r="B274" s="4457" t="s">
        <v>41</v>
      </c>
      <c r="C274" s="4498" t="s">
        <v>2403</v>
      </c>
      <c r="D274" s="4413">
        <v>300000000</v>
      </c>
      <c r="E274" s="4476">
        <v>5.7000000000000002E-2</v>
      </c>
      <c r="F274" s="4413">
        <v>17000000</v>
      </c>
      <c r="G274" s="332">
        <v>7000000</v>
      </c>
      <c r="H274" s="332" t="s">
        <v>2214</v>
      </c>
      <c r="I274" s="32" t="s">
        <v>2259</v>
      </c>
      <c r="J274" s="21" t="s">
        <v>2260</v>
      </c>
      <c r="K274" s="4413">
        <f>G274+G275</f>
        <v>17000000</v>
      </c>
      <c r="L274" s="4413">
        <f t="shared" si="17"/>
        <v>0</v>
      </c>
      <c r="M274" s="4599"/>
    </row>
    <row r="275" spans="1:13" ht="30" customHeight="1" x14ac:dyDescent="0.2">
      <c r="A275" s="4460"/>
      <c r="B275" s="4458"/>
      <c r="C275" s="4499"/>
      <c r="D275" s="4415"/>
      <c r="E275" s="4477"/>
      <c r="F275" s="4415"/>
      <c r="G275" s="820">
        <v>10000000</v>
      </c>
      <c r="H275" s="820" t="s">
        <v>2368</v>
      </c>
      <c r="I275" s="833" t="s">
        <v>2392</v>
      </c>
      <c r="J275" s="21" t="s">
        <v>2260</v>
      </c>
      <c r="K275" s="4415"/>
      <c r="L275" s="4415"/>
      <c r="M275" s="4607"/>
    </row>
    <row r="276" spans="1:13" ht="30" customHeight="1" x14ac:dyDescent="0.2">
      <c r="A276" s="4">
        <v>181</v>
      </c>
      <c r="B276" s="41" t="s">
        <v>42</v>
      </c>
      <c r="C276" s="344" t="s">
        <v>989</v>
      </c>
      <c r="D276" s="332">
        <v>50000000</v>
      </c>
      <c r="E276" s="17">
        <v>0.05</v>
      </c>
      <c r="F276" s="332">
        <f t="shared" si="16"/>
        <v>2500000</v>
      </c>
      <c r="G276" s="332">
        <v>2500000</v>
      </c>
      <c r="H276" s="332" t="s">
        <v>2414</v>
      </c>
      <c r="I276" s="338" t="s">
        <v>2416</v>
      </c>
      <c r="J276" s="21" t="s">
        <v>988</v>
      </c>
      <c r="K276" s="332">
        <f t="shared" ref="K276:K281" si="19">G276</f>
        <v>2500000</v>
      </c>
      <c r="L276" s="332">
        <f t="shared" si="17"/>
        <v>0</v>
      </c>
      <c r="M276" s="41"/>
    </row>
    <row r="277" spans="1:13" ht="30" customHeight="1" x14ac:dyDescent="0.2">
      <c r="A277" s="4">
        <v>182</v>
      </c>
      <c r="B277" s="41" t="s">
        <v>43</v>
      </c>
      <c r="C277" s="827" t="s">
        <v>989</v>
      </c>
      <c r="D277" s="332">
        <v>25000000</v>
      </c>
      <c r="E277" s="17">
        <v>0.05</v>
      </c>
      <c r="F277" s="332">
        <f t="shared" si="16"/>
        <v>1250000</v>
      </c>
      <c r="G277" s="332">
        <v>1250000</v>
      </c>
      <c r="H277" s="332" t="s">
        <v>2368</v>
      </c>
      <c r="I277" s="338" t="s">
        <v>2379</v>
      </c>
      <c r="J277" s="21" t="s">
        <v>1006</v>
      </c>
      <c r="K277" s="332">
        <f t="shared" si="19"/>
        <v>1250000</v>
      </c>
      <c r="L277" s="332">
        <f t="shared" si="17"/>
        <v>0</v>
      </c>
      <c r="M277" s="41"/>
    </row>
    <row r="278" spans="1:13" ht="30" customHeight="1" x14ac:dyDescent="0.2">
      <c r="A278" s="4">
        <v>183</v>
      </c>
      <c r="B278" s="41" t="s">
        <v>44</v>
      </c>
      <c r="C278" s="344" t="s">
        <v>1100</v>
      </c>
      <c r="D278" s="332">
        <v>100000000</v>
      </c>
      <c r="E278" s="17">
        <v>0.05</v>
      </c>
      <c r="F278" s="332">
        <f t="shared" si="16"/>
        <v>5000000</v>
      </c>
      <c r="G278" s="332">
        <v>5000000</v>
      </c>
      <c r="H278" s="332" t="s">
        <v>2345</v>
      </c>
      <c r="I278" s="338" t="s">
        <v>2354</v>
      </c>
      <c r="J278" s="21" t="s">
        <v>1148</v>
      </c>
      <c r="K278" s="332">
        <f t="shared" si="19"/>
        <v>5000000</v>
      </c>
      <c r="L278" s="332">
        <f t="shared" si="17"/>
        <v>0</v>
      </c>
      <c r="M278" s="159" t="s">
        <v>2355</v>
      </c>
    </row>
    <row r="279" spans="1:13" ht="30" customHeight="1" x14ac:dyDescent="0.2">
      <c r="A279" s="4">
        <v>184</v>
      </c>
      <c r="B279" s="41" t="s">
        <v>45</v>
      </c>
      <c r="C279" s="344" t="s">
        <v>989</v>
      </c>
      <c r="D279" s="332">
        <v>20000000</v>
      </c>
      <c r="E279" s="17">
        <v>0.05</v>
      </c>
      <c r="F279" s="332">
        <f t="shared" si="16"/>
        <v>1000000</v>
      </c>
      <c r="G279" s="332">
        <v>1000000</v>
      </c>
      <c r="H279" s="332" t="s">
        <v>2325</v>
      </c>
      <c r="I279" s="338" t="s">
        <v>2326</v>
      </c>
      <c r="J279" s="21" t="s">
        <v>2327</v>
      </c>
      <c r="K279" s="332">
        <f t="shared" si="19"/>
        <v>1000000</v>
      </c>
      <c r="L279" s="332">
        <f t="shared" si="17"/>
        <v>0</v>
      </c>
      <c r="M279" s="41"/>
    </row>
    <row r="280" spans="1:13" ht="30" customHeight="1" x14ac:dyDescent="0.2">
      <c r="A280" s="4">
        <v>185</v>
      </c>
      <c r="B280" s="41" t="s">
        <v>46</v>
      </c>
      <c r="C280" s="344" t="s">
        <v>990</v>
      </c>
      <c r="D280" s="332">
        <v>70000000</v>
      </c>
      <c r="E280" s="17">
        <v>0.05</v>
      </c>
      <c r="F280" s="332">
        <f t="shared" si="16"/>
        <v>3500000</v>
      </c>
      <c r="G280" s="332">
        <v>3500000</v>
      </c>
      <c r="H280" s="332" t="s">
        <v>2368</v>
      </c>
      <c r="I280" s="338" t="s">
        <v>2374</v>
      </c>
      <c r="J280" s="21" t="s">
        <v>2375</v>
      </c>
      <c r="K280" s="332">
        <f t="shared" si="19"/>
        <v>3500000</v>
      </c>
      <c r="L280" s="332">
        <f t="shared" si="17"/>
        <v>0</v>
      </c>
      <c r="M280" s="41"/>
    </row>
    <row r="281" spans="1:13" ht="30" customHeight="1" x14ac:dyDescent="0.2">
      <c r="A281" s="4">
        <v>186</v>
      </c>
      <c r="B281" s="41" t="s">
        <v>47</v>
      </c>
      <c r="C281" s="344"/>
      <c r="D281" s="332">
        <v>8000000</v>
      </c>
      <c r="E281" s="17">
        <v>0.04</v>
      </c>
      <c r="F281" s="332">
        <f t="shared" si="16"/>
        <v>320000</v>
      </c>
      <c r="G281" s="332">
        <v>320000</v>
      </c>
      <c r="H281" s="332" t="s">
        <v>2296</v>
      </c>
      <c r="I281" s="338" t="s">
        <v>2299</v>
      </c>
      <c r="J281" s="21" t="s">
        <v>2300</v>
      </c>
      <c r="K281" s="332">
        <f t="shared" si="19"/>
        <v>320000</v>
      </c>
      <c r="L281" s="332">
        <f t="shared" si="17"/>
        <v>0</v>
      </c>
      <c r="M281" s="41"/>
    </row>
    <row r="282" spans="1:13" ht="30" customHeight="1" x14ac:dyDescent="0.2">
      <c r="A282" s="4">
        <v>187</v>
      </c>
      <c r="B282" s="41" t="s">
        <v>2470</v>
      </c>
      <c r="C282" s="344" t="s">
        <v>1138</v>
      </c>
      <c r="D282" s="332">
        <v>200000000</v>
      </c>
      <c r="E282" s="17">
        <v>0.05</v>
      </c>
      <c r="F282" s="332">
        <f t="shared" si="16"/>
        <v>10000000</v>
      </c>
      <c r="G282" s="332"/>
      <c r="H282" s="332"/>
      <c r="I282" s="338"/>
      <c r="J282" s="21"/>
      <c r="K282" s="332"/>
      <c r="L282" s="332">
        <f t="shared" si="17"/>
        <v>10000000</v>
      </c>
      <c r="M282" s="41"/>
    </row>
    <row r="283" spans="1:13" ht="30" customHeight="1" x14ac:dyDescent="0.2">
      <c r="A283" s="4">
        <v>188</v>
      </c>
      <c r="B283" s="41" t="s">
        <v>49</v>
      </c>
      <c r="C283" s="344"/>
      <c r="D283" s="332">
        <v>200000000</v>
      </c>
      <c r="E283" s="17">
        <v>0.05</v>
      </c>
      <c r="F283" s="332">
        <f t="shared" si="16"/>
        <v>10000000</v>
      </c>
      <c r="G283" s="332">
        <v>10000000</v>
      </c>
      <c r="H283" s="332" t="s">
        <v>2147</v>
      </c>
      <c r="I283" s="338" t="s">
        <v>2157</v>
      </c>
      <c r="J283" s="21" t="s">
        <v>2158</v>
      </c>
      <c r="K283" s="332">
        <f>G283</f>
        <v>10000000</v>
      </c>
      <c r="L283" s="332">
        <f t="shared" si="17"/>
        <v>0</v>
      </c>
      <c r="M283" s="41"/>
    </row>
    <row r="284" spans="1:13" ht="30" customHeight="1" x14ac:dyDescent="0.2">
      <c r="A284" s="4">
        <v>189</v>
      </c>
      <c r="B284" s="41" t="s">
        <v>50</v>
      </c>
      <c r="C284" s="344" t="s">
        <v>681</v>
      </c>
      <c r="D284" s="332">
        <v>15000000</v>
      </c>
      <c r="E284" s="17">
        <v>0.05</v>
      </c>
      <c r="F284" s="332">
        <f t="shared" si="16"/>
        <v>750000</v>
      </c>
      <c r="G284" s="332">
        <v>750000</v>
      </c>
      <c r="H284" s="332" t="s">
        <v>2319</v>
      </c>
      <c r="I284" s="338" t="s">
        <v>2336</v>
      </c>
      <c r="J284" s="21" t="s">
        <v>834</v>
      </c>
      <c r="K284" s="332">
        <f>G284</f>
        <v>750000</v>
      </c>
      <c r="L284" s="332">
        <f t="shared" si="17"/>
        <v>0</v>
      </c>
      <c r="M284" s="41"/>
    </row>
    <row r="285" spans="1:13" ht="30" customHeight="1" x14ac:dyDescent="0.2">
      <c r="A285" s="4459">
        <v>190</v>
      </c>
      <c r="B285" s="4457" t="s">
        <v>51</v>
      </c>
      <c r="C285" s="344" t="s">
        <v>1100</v>
      </c>
      <c r="D285" s="332">
        <v>80000000</v>
      </c>
      <c r="E285" s="17">
        <v>0.05</v>
      </c>
      <c r="F285" s="332">
        <f t="shared" si="16"/>
        <v>4000000</v>
      </c>
      <c r="G285" s="4413">
        <v>14000000</v>
      </c>
      <c r="H285" s="4413" t="s">
        <v>2484</v>
      </c>
      <c r="I285" s="4555" t="s">
        <v>2485</v>
      </c>
      <c r="J285" s="4478" t="s">
        <v>2456</v>
      </c>
      <c r="K285" s="4413">
        <f>G285</f>
        <v>14000000</v>
      </c>
      <c r="L285" s="4413">
        <f>(F285+F286)-K285</f>
        <v>0</v>
      </c>
      <c r="M285" s="4599"/>
    </row>
    <row r="286" spans="1:13" ht="30" customHeight="1" x14ac:dyDescent="0.2">
      <c r="A286" s="4460"/>
      <c r="B286" s="4458"/>
      <c r="C286" s="344" t="s">
        <v>1100</v>
      </c>
      <c r="D286" s="332">
        <v>200000000</v>
      </c>
      <c r="E286" s="17">
        <v>0.05</v>
      </c>
      <c r="F286" s="332">
        <f t="shared" si="16"/>
        <v>10000000</v>
      </c>
      <c r="G286" s="4415"/>
      <c r="H286" s="4415"/>
      <c r="I286" s="4557"/>
      <c r="J286" s="4479"/>
      <c r="K286" s="4415"/>
      <c r="L286" s="4415"/>
      <c r="M286" s="4607"/>
    </row>
    <row r="287" spans="1:13" ht="30" customHeight="1" x14ac:dyDescent="0.2">
      <c r="A287" s="346">
        <v>191</v>
      </c>
      <c r="B287" s="179" t="s">
        <v>52</v>
      </c>
      <c r="C287" s="344" t="s">
        <v>262</v>
      </c>
      <c r="D287" s="332">
        <v>700000000</v>
      </c>
      <c r="E287" s="17">
        <v>7.6999999999999999E-2</v>
      </c>
      <c r="F287" s="332">
        <v>54000000</v>
      </c>
      <c r="G287" s="332">
        <v>34000000</v>
      </c>
      <c r="H287" s="332" t="s">
        <v>1782</v>
      </c>
      <c r="I287" s="32" t="s">
        <v>1821</v>
      </c>
      <c r="J287" s="21" t="s">
        <v>678</v>
      </c>
      <c r="K287" s="332">
        <f>G287</f>
        <v>34000000</v>
      </c>
      <c r="L287" s="332">
        <f t="shared" si="17"/>
        <v>20000000</v>
      </c>
      <c r="M287" s="159" t="s">
        <v>1324</v>
      </c>
    </row>
    <row r="288" spans="1:13" ht="30" customHeight="1" x14ac:dyDescent="0.2">
      <c r="A288" s="4459">
        <v>192</v>
      </c>
      <c r="B288" s="4457" t="s">
        <v>53</v>
      </c>
      <c r="C288" s="4537" t="s">
        <v>1287</v>
      </c>
      <c r="D288" s="797">
        <v>1500000000</v>
      </c>
      <c r="E288" s="805">
        <v>7.0000000000000007E-2</v>
      </c>
      <c r="F288" s="797">
        <f t="shared" si="16"/>
        <v>105000000.00000001</v>
      </c>
      <c r="G288" s="797">
        <v>45000000</v>
      </c>
      <c r="H288" s="4413" t="s">
        <v>2005</v>
      </c>
      <c r="I288" s="4555" t="s">
        <v>2006</v>
      </c>
      <c r="J288" s="4478" t="s">
        <v>861</v>
      </c>
      <c r="K288" s="797">
        <f>G288</f>
        <v>45000000</v>
      </c>
      <c r="L288" s="797">
        <f>F288-60000000-G288</f>
        <v>0</v>
      </c>
      <c r="M288" s="345" t="s">
        <v>1992</v>
      </c>
    </row>
    <row r="289" spans="1:13" ht="30" customHeight="1" x14ac:dyDescent="0.2">
      <c r="A289" s="4464"/>
      <c r="B289" s="4488"/>
      <c r="C289" s="4540"/>
      <c r="D289" s="4325" t="s">
        <v>2281</v>
      </c>
      <c r="E289" s="4326"/>
      <c r="F289" s="4563"/>
      <c r="G289" s="797">
        <v>5000000</v>
      </c>
      <c r="H289" s="4415"/>
      <c r="I289" s="4557"/>
      <c r="J289" s="4479"/>
      <c r="K289" s="4413">
        <f>G289+G290+G291</f>
        <v>95000000</v>
      </c>
      <c r="L289" s="4413">
        <f>100000000-K289</f>
        <v>5000000</v>
      </c>
      <c r="M289" s="766" t="s">
        <v>2288</v>
      </c>
    </row>
    <row r="290" spans="1:13" ht="30" customHeight="1" x14ac:dyDescent="0.2">
      <c r="A290" s="4464"/>
      <c r="B290" s="4488"/>
      <c r="C290" s="4540"/>
      <c r="D290" s="4612"/>
      <c r="E290" s="4359"/>
      <c r="F290" s="4613"/>
      <c r="G290" s="797">
        <v>50000000</v>
      </c>
      <c r="H290" s="797" t="s">
        <v>2165</v>
      </c>
      <c r="I290" s="803" t="s">
        <v>2166</v>
      </c>
      <c r="J290" s="21" t="s">
        <v>861</v>
      </c>
      <c r="K290" s="4414"/>
      <c r="L290" s="4414"/>
      <c r="M290" s="180" t="s">
        <v>2289</v>
      </c>
    </row>
    <row r="291" spans="1:13" ht="30" customHeight="1" x14ac:dyDescent="0.2">
      <c r="A291" s="4464"/>
      <c r="B291" s="4488"/>
      <c r="C291" s="4540"/>
      <c r="D291" s="4612"/>
      <c r="E291" s="4359"/>
      <c r="F291" s="4613"/>
      <c r="G291" s="797">
        <v>40000000</v>
      </c>
      <c r="H291" s="797" t="s">
        <v>2319</v>
      </c>
      <c r="I291" s="803" t="s">
        <v>2343</v>
      </c>
      <c r="J291" s="21" t="s">
        <v>861</v>
      </c>
      <c r="K291" s="4415"/>
      <c r="L291" s="4415"/>
      <c r="M291" s="4684" t="s">
        <v>2287</v>
      </c>
    </row>
    <row r="292" spans="1:13" ht="30" customHeight="1" x14ac:dyDescent="0.2">
      <c r="A292" s="4464"/>
      <c r="B292" s="4488"/>
      <c r="C292" s="4540"/>
      <c r="D292" s="4564"/>
      <c r="E292" s="4596"/>
      <c r="F292" s="4565"/>
      <c r="G292" s="801"/>
      <c r="H292" s="804"/>
      <c r="I292" s="819"/>
      <c r="J292" s="543"/>
      <c r="K292" s="802"/>
      <c r="L292" s="797"/>
      <c r="M292" s="4684"/>
    </row>
    <row r="293" spans="1:13" ht="30" customHeight="1" x14ac:dyDescent="0.2">
      <c r="A293" s="4460"/>
      <c r="B293" s="4458"/>
      <c r="C293" s="4538"/>
      <c r="D293" s="797">
        <v>1400000000</v>
      </c>
      <c r="E293" s="805">
        <v>7.0000000000000007E-2</v>
      </c>
      <c r="F293" s="797">
        <f>D293*E293</f>
        <v>98000000.000000015</v>
      </c>
      <c r="G293" s="4469" t="s">
        <v>1991</v>
      </c>
      <c r="H293" s="4470"/>
      <c r="I293" s="4470"/>
      <c r="J293" s="4470"/>
      <c r="K293" s="4471"/>
      <c r="L293" s="797"/>
      <c r="M293" s="4493"/>
    </row>
    <row r="294" spans="1:13" ht="30" customHeight="1" x14ac:dyDescent="0.2">
      <c r="A294" s="4">
        <v>193</v>
      </c>
      <c r="B294" s="41" t="s">
        <v>54</v>
      </c>
      <c r="C294" s="344" t="s">
        <v>1306</v>
      </c>
      <c r="D294" s="332">
        <v>45000000</v>
      </c>
      <c r="E294" s="17">
        <v>0.04</v>
      </c>
      <c r="F294" s="332">
        <f t="shared" si="16"/>
        <v>1800000</v>
      </c>
      <c r="G294" s="332">
        <v>1800000</v>
      </c>
      <c r="H294" s="332">
        <v>184048</v>
      </c>
      <c r="I294" s="338" t="s">
        <v>2345</v>
      </c>
      <c r="J294" s="341" t="s">
        <v>997</v>
      </c>
      <c r="K294" s="332">
        <f>G294</f>
        <v>1800000</v>
      </c>
      <c r="L294" s="332">
        <f t="shared" si="17"/>
        <v>0</v>
      </c>
      <c r="M294" s="41"/>
    </row>
    <row r="295" spans="1:13" ht="30" customHeight="1" x14ac:dyDescent="0.2">
      <c r="A295" s="4459">
        <v>194</v>
      </c>
      <c r="B295" s="4599" t="s">
        <v>55</v>
      </c>
      <c r="C295" s="4537"/>
      <c r="D295" s="4506"/>
      <c r="E295" s="4576"/>
      <c r="F295" s="4506">
        <f t="shared" si="16"/>
        <v>0</v>
      </c>
      <c r="G295" s="359">
        <v>6000000</v>
      </c>
      <c r="H295" s="359" t="s">
        <v>2345</v>
      </c>
      <c r="I295" s="381" t="s">
        <v>2350</v>
      </c>
      <c r="J295" s="33" t="s">
        <v>2351</v>
      </c>
      <c r="K295" s="4413">
        <f>G295+G296</f>
        <v>6500000</v>
      </c>
      <c r="L295" s="4506">
        <f t="shared" si="17"/>
        <v>-6500000</v>
      </c>
      <c r="M295" s="4599"/>
    </row>
    <row r="296" spans="1:13" ht="30" customHeight="1" x14ac:dyDescent="0.2">
      <c r="A296" s="4460"/>
      <c r="B296" s="4607"/>
      <c r="C296" s="4538"/>
      <c r="D296" s="4508"/>
      <c r="E296" s="4577"/>
      <c r="F296" s="4508"/>
      <c r="G296" s="797">
        <v>500000</v>
      </c>
      <c r="H296" s="797" t="s">
        <v>2345</v>
      </c>
      <c r="I296" s="803" t="s">
        <v>2352</v>
      </c>
      <c r="J296" s="807" t="s">
        <v>2351</v>
      </c>
      <c r="K296" s="4415"/>
      <c r="L296" s="4508"/>
      <c r="M296" s="4607"/>
    </row>
    <row r="297" spans="1:13" ht="30" customHeight="1" x14ac:dyDescent="0.2">
      <c r="A297" s="4">
        <v>195</v>
      </c>
      <c r="B297" s="348" t="s">
        <v>56</v>
      </c>
      <c r="C297" s="344" t="s">
        <v>990</v>
      </c>
      <c r="D297" s="332">
        <v>10000000</v>
      </c>
      <c r="E297" s="353">
        <v>0.05</v>
      </c>
      <c r="F297" s="332">
        <f t="shared" si="16"/>
        <v>500000</v>
      </c>
      <c r="G297" s="332">
        <v>500000</v>
      </c>
      <c r="H297" s="332" t="s">
        <v>2368</v>
      </c>
      <c r="I297" s="338" t="s">
        <v>2378</v>
      </c>
      <c r="J297" s="21" t="s">
        <v>1121</v>
      </c>
      <c r="K297" s="332">
        <f>G297</f>
        <v>500000</v>
      </c>
      <c r="L297" s="332">
        <f t="shared" si="17"/>
        <v>0</v>
      </c>
      <c r="M297" s="41"/>
    </row>
    <row r="298" spans="1:13" ht="30" customHeight="1" x14ac:dyDescent="0.2">
      <c r="A298" s="4459">
        <v>196</v>
      </c>
      <c r="B298" s="4457" t="s">
        <v>57</v>
      </c>
      <c r="C298" s="344" t="s">
        <v>1107</v>
      </c>
      <c r="D298" s="332">
        <v>20000000</v>
      </c>
      <c r="E298" s="17">
        <v>0.04</v>
      </c>
      <c r="F298" s="332">
        <f t="shared" si="16"/>
        <v>800000</v>
      </c>
      <c r="G298" s="332">
        <v>800000</v>
      </c>
      <c r="H298" s="332" t="s">
        <v>2319</v>
      </c>
      <c r="I298" s="338" t="s">
        <v>2332</v>
      </c>
      <c r="J298" s="21" t="s">
        <v>2333</v>
      </c>
      <c r="K298" s="332">
        <f>G298</f>
        <v>800000</v>
      </c>
      <c r="L298" s="332">
        <f t="shared" si="17"/>
        <v>0</v>
      </c>
      <c r="M298" s="41"/>
    </row>
    <row r="299" spans="1:13" ht="30" customHeight="1" x14ac:dyDescent="0.2">
      <c r="A299" s="4460"/>
      <c r="B299" s="4458"/>
      <c r="C299" s="634" t="s">
        <v>2001</v>
      </c>
      <c r="D299" s="629">
        <v>30000000</v>
      </c>
      <c r="E299" s="635">
        <v>0.05</v>
      </c>
      <c r="F299" s="629">
        <f t="shared" si="16"/>
        <v>1500000</v>
      </c>
      <c r="G299" s="4623" t="s">
        <v>2002</v>
      </c>
      <c r="H299" s="4624"/>
      <c r="I299" s="4624"/>
      <c r="J299" s="4624"/>
      <c r="K299" s="4625"/>
      <c r="L299" s="629">
        <f t="shared" si="17"/>
        <v>1500000</v>
      </c>
      <c r="M299" s="41"/>
    </row>
    <row r="300" spans="1:13" ht="30" customHeight="1" x14ac:dyDescent="0.2">
      <c r="A300" s="4">
        <v>197</v>
      </c>
      <c r="B300" s="41" t="s">
        <v>58</v>
      </c>
      <c r="C300" s="344"/>
      <c r="D300" s="332">
        <v>150000000</v>
      </c>
      <c r="E300" s="17">
        <v>0.04</v>
      </c>
      <c r="F300" s="332">
        <f t="shared" si="16"/>
        <v>6000000</v>
      </c>
      <c r="G300" s="332">
        <v>6000000</v>
      </c>
      <c r="H300" s="332" t="s">
        <v>2319</v>
      </c>
      <c r="I300" s="338" t="s">
        <v>2320</v>
      </c>
      <c r="J300" s="341" t="s">
        <v>2321</v>
      </c>
      <c r="K300" s="332">
        <f>G300</f>
        <v>6000000</v>
      </c>
      <c r="L300" s="332">
        <f t="shared" si="17"/>
        <v>0</v>
      </c>
      <c r="M300" s="41"/>
    </row>
    <row r="301" spans="1:13" ht="30" customHeight="1" x14ac:dyDescent="0.2">
      <c r="A301" s="4">
        <v>198</v>
      </c>
      <c r="B301" s="41" t="s">
        <v>59</v>
      </c>
      <c r="C301" s="344"/>
      <c r="D301" s="332">
        <v>30000000</v>
      </c>
      <c r="E301" s="17">
        <v>8.5000000000000006E-2</v>
      </c>
      <c r="F301" s="332">
        <v>2500000</v>
      </c>
      <c r="G301" s="332">
        <v>2500000</v>
      </c>
      <c r="H301" s="332" t="s">
        <v>2484</v>
      </c>
      <c r="I301" s="338" t="s">
        <v>2502</v>
      </c>
      <c r="J301" s="341" t="s">
        <v>2503</v>
      </c>
      <c r="K301" s="332">
        <f>G301</f>
        <v>2500000</v>
      </c>
      <c r="L301" s="923">
        <f t="shared" si="17"/>
        <v>0</v>
      </c>
      <c r="M301" s="41"/>
    </row>
    <row r="302" spans="1:13" ht="30" customHeight="1" x14ac:dyDescent="0.2">
      <c r="A302" s="4">
        <v>199</v>
      </c>
      <c r="B302" s="41" t="s">
        <v>60</v>
      </c>
      <c r="C302" s="344" t="s">
        <v>1100</v>
      </c>
      <c r="D302" s="332">
        <v>50000000</v>
      </c>
      <c r="E302" s="17">
        <v>0.05</v>
      </c>
      <c r="F302" s="332">
        <f t="shared" si="16"/>
        <v>2500000</v>
      </c>
      <c r="G302" s="332">
        <v>2500000</v>
      </c>
      <c r="H302" s="332" t="s">
        <v>2368</v>
      </c>
      <c r="I302" s="338" t="s">
        <v>2410</v>
      </c>
      <c r="J302" s="341" t="s">
        <v>2411</v>
      </c>
      <c r="K302" s="332">
        <f>G302</f>
        <v>2500000</v>
      </c>
      <c r="L302" s="332">
        <f t="shared" si="17"/>
        <v>0</v>
      </c>
      <c r="M302" s="41"/>
    </row>
    <row r="303" spans="1:13" ht="30" customHeight="1" x14ac:dyDescent="0.2">
      <c r="A303" s="4">
        <v>200</v>
      </c>
      <c r="B303" s="41" t="s">
        <v>61</v>
      </c>
      <c r="C303" s="344" t="s">
        <v>1081</v>
      </c>
      <c r="D303" s="332">
        <v>350000000</v>
      </c>
      <c r="E303" s="17">
        <v>7.0000000000000007E-2</v>
      </c>
      <c r="F303" s="332">
        <f t="shared" si="16"/>
        <v>24500000.000000004</v>
      </c>
      <c r="G303" s="332">
        <v>24500000</v>
      </c>
      <c r="H303" s="332" t="s">
        <v>2441</v>
      </c>
      <c r="I303" s="340" t="s">
        <v>2444</v>
      </c>
      <c r="J303" s="21" t="s">
        <v>1574</v>
      </c>
      <c r="K303" s="332">
        <f>G303</f>
        <v>24500000</v>
      </c>
      <c r="L303" s="332">
        <f t="shared" si="17"/>
        <v>0</v>
      </c>
      <c r="M303" s="41"/>
    </row>
    <row r="304" spans="1:13" ht="30" customHeight="1" x14ac:dyDescent="0.2">
      <c r="A304" s="4">
        <v>201</v>
      </c>
      <c r="B304" s="41" t="s">
        <v>62</v>
      </c>
      <c r="C304" s="344"/>
      <c r="D304" s="330"/>
      <c r="E304" s="40"/>
      <c r="F304" s="330">
        <f t="shared" si="16"/>
        <v>0</v>
      </c>
      <c r="G304" s="332">
        <v>4000000</v>
      </c>
      <c r="H304" s="332" t="s">
        <v>2441</v>
      </c>
      <c r="I304" s="338" t="s">
        <v>2445</v>
      </c>
      <c r="J304" s="83" t="s">
        <v>1211</v>
      </c>
      <c r="K304" s="332">
        <f>G304</f>
        <v>4000000</v>
      </c>
      <c r="L304" s="878">
        <f t="shared" si="17"/>
        <v>-4000000</v>
      </c>
      <c r="M304" s="41"/>
    </row>
    <row r="305" spans="1:13" ht="30" customHeight="1" x14ac:dyDescent="0.2">
      <c r="A305" s="4">
        <v>202</v>
      </c>
      <c r="B305" s="41" t="s">
        <v>63</v>
      </c>
      <c r="C305" s="344"/>
      <c r="D305" s="332">
        <v>100000000</v>
      </c>
      <c r="E305" s="17">
        <v>4.4999999999999998E-2</v>
      </c>
      <c r="F305" s="332">
        <f t="shared" si="16"/>
        <v>4500000</v>
      </c>
      <c r="G305" s="332"/>
      <c r="H305" s="332"/>
      <c r="I305" s="338"/>
      <c r="J305" s="21"/>
      <c r="K305" s="332"/>
      <c r="L305" s="332">
        <f t="shared" si="17"/>
        <v>4500000</v>
      </c>
      <c r="M305" s="41"/>
    </row>
    <row r="306" spans="1:13" ht="30" customHeight="1" x14ac:dyDescent="0.2">
      <c r="A306" s="4">
        <v>203</v>
      </c>
      <c r="B306" s="41" t="s">
        <v>1244</v>
      </c>
      <c r="C306" s="344" t="s">
        <v>1081</v>
      </c>
      <c r="D306" s="332">
        <v>60000000</v>
      </c>
      <c r="E306" s="17">
        <v>0.05</v>
      </c>
      <c r="F306" s="332">
        <f t="shared" si="16"/>
        <v>3000000</v>
      </c>
      <c r="G306" s="332">
        <v>3000000</v>
      </c>
      <c r="H306" s="332" t="s">
        <v>2414</v>
      </c>
      <c r="I306" s="338" t="s">
        <v>2415</v>
      </c>
      <c r="J306" s="21" t="s">
        <v>1693</v>
      </c>
      <c r="K306" s="332">
        <f>G306</f>
        <v>3000000</v>
      </c>
      <c r="L306" s="332">
        <f t="shared" si="17"/>
        <v>0</v>
      </c>
      <c r="M306" s="41"/>
    </row>
    <row r="307" spans="1:13" ht="30" customHeight="1" x14ac:dyDescent="0.2">
      <c r="A307" s="4">
        <v>204</v>
      </c>
      <c r="B307" s="41" t="s">
        <v>64</v>
      </c>
      <c r="C307" s="344"/>
      <c r="D307" s="332">
        <v>30000000</v>
      </c>
      <c r="E307" s="17">
        <v>4.4999999999999998E-2</v>
      </c>
      <c r="F307" s="332">
        <f t="shared" si="16"/>
        <v>1350000</v>
      </c>
      <c r="G307" s="332">
        <v>1350000</v>
      </c>
      <c r="H307" s="332" t="s">
        <v>2441</v>
      </c>
      <c r="I307" s="338" t="s">
        <v>2446</v>
      </c>
      <c r="J307" s="21" t="s">
        <v>2447</v>
      </c>
      <c r="K307" s="332">
        <f>G307</f>
        <v>1350000</v>
      </c>
      <c r="L307" s="332">
        <f t="shared" si="17"/>
        <v>0</v>
      </c>
      <c r="M307" s="41"/>
    </row>
    <row r="308" spans="1:13" ht="30" customHeight="1" x14ac:dyDescent="0.2">
      <c r="A308" s="4">
        <v>205</v>
      </c>
      <c r="B308" s="41" t="s">
        <v>65</v>
      </c>
      <c r="C308" s="344"/>
      <c r="D308" s="330"/>
      <c r="E308" s="40"/>
      <c r="F308" s="330">
        <f t="shared" si="16"/>
        <v>0</v>
      </c>
      <c r="G308" s="332">
        <v>600000</v>
      </c>
      <c r="H308" s="332" t="s">
        <v>2368</v>
      </c>
      <c r="I308" s="338" t="s">
        <v>2382</v>
      </c>
      <c r="J308" s="21" t="s">
        <v>2383</v>
      </c>
      <c r="K308" s="332">
        <f>G308</f>
        <v>600000</v>
      </c>
      <c r="L308" s="330">
        <f t="shared" si="17"/>
        <v>-600000</v>
      </c>
      <c r="M308" s="41"/>
    </row>
    <row r="309" spans="1:13" ht="30" customHeight="1" x14ac:dyDescent="0.2">
      <c r="A309" s="4">
        <v>206</v>
      </c>
      <c r="B309" s="41" t="s">
        <v>2401</v>
      </c>
      <c r="C309" s="344" t="s">
        <v>990</v>
      </c>
      <c r="D309" s="332">
        <v>150000000</v>
      </c>
      <c r="E309" s="17">
        <v>0.05</v>
      </c>
      <c r="F309" s="332">
        <f t="shared" si="16"/>
        <v>7500000</v>
      </c>
      <c r="G309" s="332">
        <v>7500000</v>
      </c>
      <c r="H309" s="332" t="s">
        <v>2368</v>
      </c>
      <c r="I309" s="338" t="s">
        <v>2400</v>
      </c>
      <c r="J309" s="65" t="s">
        <v>986</v>
      </c>
      <c r="K309" s="332">
        <f>G309</f>
        <v>7500000</v>
      </c>
      <c r="L309" s="332">
        <f t="shared" si="17"/>
        <v>0</v>
      </c>
      <c r="M309" s="41"/>
    </row>
    <row r="310" spans="1:13" ht="30" customHeight="1" x14ac:dyDescent="0.2">
      <c r="A310" s="4459">
        <v>207</v>
      </c>
      <c r="B310" s="4457" t="s">
        <v>68</v>
      </c>
      <c r="C310" s="4537" t="s">
        <v>681</v>
      </c>
      <c r="D310" s="332">
        <v>45000000</v>
      </c>
      <c r="E310" s="17">
        <v>0.04</v>
      </c>
      <c r="F310" s="332">
        <f t="shared" si="16"/>
        <v>1800000</v>
      </c>
      <c r="G310" s="332"/>
      <c r="H310" s="332"/>
      <c r="I310" s="338"/>
      <c r="J310" s="4478"/>
      <c r="K310" s="4413"/>
      <c r="L310" s="4413">
        <f>(F310+F311)-K310</f>
        <v>3800000</v>
      </c>
      <c r="M310" s="4599"/>
    </row>
    <row r="311" spans="1:13" ht="30" customHeight="1" x14ac:dyDescent="0.2">
      <c r="A311" s="4460"/>
      <c r="B311" s="4458"/>
      <c r="C311" s="4538"/>
      <c r="D311" s="332">
        <v>50000000</v>
      </c>
      <c r="E311" s="17">
        <v>0.04</v>
      </c>
      <c r="F311" s="332">
        <f t="shared" si="16"/>
        <v>2000000</v>
      </c>
      <c r="G311" s="332"/>
      <c r="H311" s="332"/>
      <c r="I311" s="338"/>
      <c r="J311" s="4479"/>
      <c r="K311" s="4415"/>
      <c r="L311" s="4415"/>
      <c r="M311" s="4607"/>
    </row>
    <row r="312" spans="1:13" ht="30" customHeight="1" x14ac:dyDescent="0.2">
      <c r="A312" s="4">
        <v>208</v>
      </c>
      <c r="B312" s="41" t="s">
        <v>69</v>
      </c>
      <c r="C312" s="344" t="s">
        <v>1100</v>
      </c>
      <c r="D312" s="332">
        <v>15000000</v>
      </c>
      <c r="E312" s="17">
        <v>0.04</v>
      </c>
      <c r="F312" s="332">
        <f t="shared" si="16"/>
        <v>600000</v>
      </c>
      <c r="G312" s="332">
        <v>600000</v>
      </c>
      <c r="H312" s="332" t="s">
        <v>2368</v>
      </c>
      <c r="I312" s="338" t="s">
        <v>2376</v>
      </c>
      <c r="J312" s="21" t="s">
        <v>1099</v>
      </c>
      <c r="K312" s="332">
        <f t="shared" ref="K312:K320" si="20">G312</f>
        <v>600000</v>
      </c>
      <c r="L312" s="332">
        <f t="shared" ref="L312:L378" si="21">F312-K312</f>
        <v>0</v>
      </c>
      <c r="M312" s="41"/>
    </row>
    <row r="313" spans="1:13" ht="30" customHeight="1" x14ac:dyDescent="0.2">
      <c r="A313" s="4">
        <v>209</v>
      </c>
      <c r="B313" s="41" t="s">
        <v>70</v>
      </c>
      <c r="C313" s="344"/>
      <c r="D313" s="332">
        <v>10000000</v>
      </c>
      <c r="E313" s="17">
        <v>0.05</v>
      </c>
      <c r="F313" s="332">
        <f t="shared" si="16"/>
        <v>500000</v>
      </c>
      <c r="G313" s="332">
        <v>500000</v>
      </c>
      <c r="H313" s="332" t="s">
        <v>1939</v>
      </c>
      <c r="I313" s="338" t="s">
        <v>2466</v>
      </c>
      <c r="J313" s="83" t="s">
        <v>1229</v>
      </c>
      <c r="K313" s="332">
        <f t="shared" si="20"/>
        <v>500000</v>
      </c>
      <c r="L313" s="332">
        <f t="shared" si="21"/>
        <v>0</v>
      </c>
      <c r="M313" s="41"/>
    </row>
    <row r="314" spans="1:13" ht="30" customHeight="1" x14ac:dyDescent="0.2">
      <c r="A314" s="4">
        <v>210</v>
      </c>
      <c r="B314" s="41" t="s">
        <v>72</v>
      </c>
      <c r="C314" s="344"/>
      <c r="D314" s="330"/>
      <c r="E314" s="40"/>
      <c r="F314" s="330">
        <f t="shared" si="16"/>
        <v>0</v>
      </c>
      <c r="G314" s="332">
        <v>3500000</v>
      </c>
      <c r="H314" s="332" t="s">
        <v>1658</v>
      </c>
      <c r="I314" s="338" t="s">
        <v>1700</v>
      </c>
      <c r="J314" s="21" t="s">
        <v>701</v>
      </c>
      <c r="K314" s="332">
        <f t="shared" si="20"/>
        <v>3500000</v>
      </c>
      <c r="L314" s="330">
        <f t="shared" si="21"/>
        <v>-3500000</v>
      </c>
      <c r="M314" s="41"/>
    </row>
    <row r="315" spans="1:13" ht="30" customHeight="1" x14ac:dyDescent="0.2">
      <c r="A315" s="4">
        <v>211</v>
      </c>
      <c r="B315" s="41" t="s">
        <v>73</v>
      </c>
      <c r="C315" s="344" t="s">
        <v>1295</v>
      </c>
      <c r="D315" s="332">
        <v>100000000</v>
      </c>
      <c r="E315" s="17">
        <v>0.05</v>
      </c>
      <c r="F315" s="332">
        <f t="shared" si="16"/>
        <v>5000000</v>
      </c>
      <c r="G315" s="332">
        <v>5000000</v>
      </c>
      <c r="H315" s="332" t="s">
        <v>1405</v>
      </c>
      <c r="I315" s="338" t="s">
        <v>1410</v>
      </c>
      <c r="J315" s="21" t="s">
        <v>1411</v>
      </c>
      <c r="K315" s="332">
        <f t="shared" si="20"/>
        <v>5000000</v>
      </c>
      <c r="L315" s="332">
        <f t="shared" si="21"/>
        <v>0</v>
      </c>
      <c r="M315" s="41"/>
    </row>
    <row r="316" spans="1:13" ht="30" customHeight="1" x14ac:dyDescent="0.2">
      <c r="A316" s="4">
        <v>212</v>
      </c>
      <c r="B316" s="41" t="s">
        <v>74</v>
      </c>
      <c r="C316" s="344"/>
      <c r="D316" s="332">
        <v>30000000</v>
      </c>
      <c r="E316" s="17">
        <v>0.05</v>
      </c>
      <c r="F316" s="332">
        <f t="shared" si="16"/>
        <v>1500000</v>
      </c>
      <c r="G316" s="332">
        <v>1500000</v>
      </c>
      <c r="H316" s="332" t="s">
        <v>2484</v>
      </c>
      <c r="I316" s="338" t="s">
        <v>2504</v>
      </c>
      <c r="J316" s="21" t="s">
        <v>2505</v>
      </c>
      <c r="K316" s="332">
        <f t="shared" si="20"/>
        <v>1500000</v>
      </c>
      <c r="L316" s="332">
        <f t="shared" si="21"/>
        <v>0</v>
      </c>
      <c r="M316" s="41"/>
    </row>
    <row r="317" spans="1:13" ht="30" customHeight="1" x14ac:dyDescent="0.2">
      <c r="A317" s="4">
        <v>213</v>
      </c>
      <c r="B317" s="41" t="s">
        <v>75</v>
      </c>
      <c r="C317" s="344"/>
      <c r="D317" s="332">
        <v>15000000</v>
      </c>
      <c r="E317" s="17">
        <v>4.7E-2</v>
      </c>
      <c r="F317" s="332">
        <v>700000</v>
      </c>
      <c r="G317" s="332">
        <v>700000</v>
      </c>
      <c r="H317" s="332" t="s">
        <v>1359</v>
      </c>
      <c r="I317" s="338" t="s">
        <v>1375</v>
      </c>
      <c r="J317" s="21" t="s">
        <v>325</v>
      </c>
      <c r="K317" s="332">
        <f t="shared" si="20"/>
        <v>700000</v>
      </c>
      <c r="L317" s="332">
        <f t="shared" si="21"/>
        <v>0</v>
      </c>
      <c r="M317" s="41"/>
    </row>
    <row r="318" spans="1:13" ht="30" customHeight="1" x14ac:dyDescent="0.2">
      <c r="A318" s="4">
        <v>214</v>
      </c>
      <c r="B318" s="41" t="s">
        <v>937</v>
      </c>
      <c r="C318" s="344"/>
      <c r="D318" s="332">
        <v>200000000</v>
      </c>
      <c r="E318" s="17">
        <v>5.5E-2</v>
      </c>
      <c r="F318" s="332">
        <f t="shared" si="16"/>
        <v>11000000</v>
      </c>
      <c r="G318" s="332">
        <v>11000000</v>
      </c>
      <c r="H318" s="332" t="s">
        <v>1359</v>
      </c>
      <c r="I318" s="340" t="s">
        <v>1369</v>
      </c>
      <c r="J318" s="21" t="s">
        <v>1370</v>
      </c>
      <c r="K318" s="332">
        <f t="shared" si="20"/>
        <v>11000000</v>
      </c>
      <c r="L318" s="332">
        <f t="shared" si="21"/>
        <v>0</v>
      </c>
      <c r="M318" s="41"/>
    </row>
    <row r="319" spans="1:13" ht="30" customHeight="1" x14ac:dyDescent="0.2">
      <c r="A319" s="4">
        <v>215</v>
      </c>
      <c r="B319" s="41" t="s">
        <v>76</v>
      </c>
      <c r="C319" s="344"/>
      <c r="D319" s="332">
        <v>70000000</v>
      </c>
      <c r="E319" s="17">
        <v>0.05</v>
      </c>
      <c r="F319" s="332">
        <f t="shared" si="16"/>
        <v>3500000</v>
      </c>
      <c r="G319" s="332">
        <v>3500000</v>
      </c>
      <c r="H319" s="332" t="s">
        <v>1782</v>
      </c>
      <c r="I319" s="338" t="s">
        <v>1826</v>
      </c>
      <c r="J319" s="21" t="s">
        <v>1827</v>
      </c>
      <c r="K319" s="332">
        <f t="shared" si="20"/>
        <v>3500000</v>
      </c>
      <c r="L319" s="332">
        <f t="shared" si="21"/>
        <v>0</v>
      </c>
      <c r="M319" s="41"/>
    </row>
    <row r="320" spans="1:13" ht="30" customHeight="1" x14ac:dyDescent="0.2">
      <c r="A320" s="4">
        <v>216</v>
      </c>
      <c r="B320" s="41" t="s">
        <v>77</v>
      </c>
      <c r="C320" s="344" t="s">
        <v>889</v>
      </c>
      <c r="D320" s="417">
        <v>250000000</v>
      </c>
      <c r="E320" s="17">
        <v>4.4999999999999998E-2</v>
      </c>
      <c r="F320" s="417">
        <f t="shared" si="16"/>
        <v>11250000</v>
      </c>
      <c r="G320" s="332">
        <v>11250000</v>
      </c>
      <c r="H320" s="332" t="s">
        <v>1405</v>
      </c>
      <c r="I320" s="338" t="s">
        <v>1429</v>
      </c>
      <c r="J320" s="18" t="s">
        <v>1430</v>
      </c>
      <c r="K320" s="332">
        <f t="shared" si="20"/>
        <v>11250000</v>
      </c>
      <c r="L320" s="330">
        <f t="shared" si="21"/>
        <v>0</v>
      </c>
      <c r="M320" s="41"/>
    </row>
    <row r="321" spans="1:13" ht="30" customHeight="1" x14ac:dyDescent="0.2">
      <c r="A321" s="4459">
        <v>217</v>
      </c>
      <c r="B321" s="4457" t="s">
        <v>79</v>
      </c>
      <c r="C321" s="344"/>
      <c r="D321" s="4413">
        <v>160000000</v>
      </c>
      <c r="E321" s="4476">
        <v>0.05</v>
      </c>
      <c r="F321" s="4413">
        <f t="shared" ref="F321:F384" si="22">D321*E321</f>
        <v>8000000</v>
      </c>
      <c r="G321" s="332">
        <v>1000000</v>
      </c>
      <c r="H321" s="332" t="s">
        <v>2484</v>
      </c>
      <c r="I321" s="338" t="s">
        <v>2493</v>
      </c>
      <c r="J321" s="83" t="s">
        <v>2494</v>
      </c>
      <c r="K321" s="4413">
        <f>G321+G322</f>
        <v>2000000</v>
      </c>
      <c r="L321" s="4413">
        <f t="shared" si="21"/>
        <v>6000000</v>
      </c>
      <c r="M321" s="4492" t="s">
        <v>2495</v>
      </c>
    </row>
    <row r="322" spans="1:13" ht="30" customHeight="1" x14ac:dyDescent="0.2">
      <c r="A322" s="4460"/>
      <c r="B322" s="4458"/>
      <c r="C322" s="928"/>
      <c r="D322" s="4415"/>
      <c r="E322" s="4477"/>
      <c r="F322" s="4415"/>
      <c r="G322" s="923">
        <v>1000000</v>
      </c>
      <c r="H322" s="923" t="s">
        <v>2484</v>
      </c>
      <c r="I322" s="931" t="s">
        <v>2507</v>
      </c>
      <c r="J322" s="83" t="s">
        <v>2494</v>
      </c>
      <c r="K322" s="4415"/>
      <c r="L322" s="4415"/>
      <c r="M322" s="4493"/>
    </row>
    <row r="323" spans="1:13" ht="30" customHeight="1" x14ac:dyDescent="0.2">
      <c r="A323" s="4">
        <v>218</v>
      </c>
      <c r="B323" s="41" t="s">
        <v>80</v>
      </c>
      <c r="C323" s="344"/>
      <c r="D323" s="332">
        <v>45000000</v>
      </c>
      <c r="E323" s="17">
        <v>0.04</v>
      </c>
      <c r="F323" s="332">
        <f t="shared" si="22"/>
        <v>1800000</v>
      </c>
      <c r="G323" s="332">
        <v>1800000</v>
      </c>
      <c r="H323" s="332" t="s">
        <v>1658</v>
      </c>
      <c r="I323" s="338" t="s">
        <v>1694</v>
      </c>
      <c r="J323" s="65" t="s">
        <v>1695</v>
      </c>
      <c r="K323" s="332">
        <f>G323</f>
        <v>1800000</v>
      </c>
      <c r="L323" s="332">
        <f t="shared" si="21"/>
        <v>0</v>
      </c>
      <c r="M323" s="41"/>
    </row>
    <row r="324" spans="1:13" ht="30" customHeight="1" x14ac:dyDescent="0.2">
      <c r="A324" s="4">
        <v>219</v>
      </c>
      <c r="B324" s="41" t="s">
        <v>1791</v>
      </c>
      <c r="C324" s="344"/>
      <c r="D324" s="330"/>
      <c r="E324" s="40"/>
      <c r="F324" s="330">
        <f t="shared" si="22"/>
        <v>0</v>
      </c>
      <c r="G324" s="332"/>
      <c r="H324" s="332"/>
      <c r="I324" s="338"/>
      <c r="J324" s="21"/>
      <c r="K324" s="332"/>
      <c r="L324" s="330">
        <f t="shared" si="21"/>
        <v>0</v>
      </c>
      <c r="M324" s="41"/>
    </row>
    <row r="325" spans="1:13" ht="30" customHeight="1" x14ac:dyDescent="0.2">
      <c r="A325" s="4">
        <v>220</v>
      </c>
      <c r="B325" s="179" t="s">
        <v>81</v>
      </c>
      <c r="C325" s="345"/>
      <c r="D325" s="349">
        <v>203000000</v>
      </c>
      <c r="E325" s="352">
        <v>0.05</v>
      </c>
      <c r="F325" s="349">
        <f t="shared" si="22"/>
        <v>10150000</v>
      </c>
      <c r="G325" s="332">
        <v>10150000</v>
      </c>
      <c r="H325" s="332" t="s">
        <v>1359</v>
      </c>
      <c r="I325" s="377" t="s">
        <v>1392</v>
      </c>
      <c r="J325" s="21" t="s">
        <v>1393</v>
      </c>
      <c r="K325" s="227">
        <f>G325</f>
        <v>10150000</v>
      </c>
      <c r="L325" s="349">
        <f t="shared" si="21"/>
        <v>0</v>
      </c>
      <c r="M325" s="41"/>
    </row>
    <row r="326" spans="1:13" ht="30" customHeight="1" x14ac:dyDescent="0.2">
      <c r="A326" s="4">
        <v>221</v>
      </c>
      <c r="B326" s="179" t="s">
        <v>326</v>
      </c>
      <c r="C326" s="345"/>
      <c r="D326" s="349">
        <v>275000000</v>
      </c>
      <c r="E326" s="352">
        <v>4.2000000000000003E-2</v>
      </c>
      <c r="F326" s="349">
        <f>D326*E326</f>
        <v>11550000</v>
      </c>
      <c r="G326" s="357">
        <v>11550000</v>
      </c>
      <c r="H326" s="357" t="s">
        <v>1616</v>
      </c>
      <c r="I326" s="362" t="s">
        <v>1653</v>
      </c>
      <c r="J326" s="384" t="s">
        <v>1654</v>
      </c>
      <c r="K326" s="227">
        <f>G326</f>
        <v>11550000</v>
      </c>
      <c r="L326" s="349">
        <f t="shared" si="21"/>
        <v>0</v>
      </c>
      <c r="M326" s="356"/>
    </row>
    <row r="327" spans="1:13" ht="30" customHeight="1" x14ac:dyDescent="0.2">
      <c r="A327" s="4459">
        <v>222</v>
      </c>
      <c r="B327" s="4599" t="s">
        <v>1818</v>
      </c>
      <c r="C327" s="4537" t="s">
        <v>1287</v>
      </c>
      <c r="D327" s="359">
        <v>700000000</v>
      </c>
      <c r="E327" s="560">
        <v>5.5E-2</v>
      </c>
      <c r="F327" s="359">
        <f>D327*E327</f>
        <v>38500000</v>
      </c>
      <c r="G327" s="359">
        <v>3500000</v>
      </c>
      <c r="H327" s="359" t="s">
        <v>1022</v>
      </c>
      <c r="I327" s="265" t="s">
        <v>1344</v>
      </c>
      <c r="J327" s="33" t="s">
        <v>1346</v>
      </c>
      <c r="K327" s="359">
        <f>G327+خرداد!G277+خرداد!G278</f>
        <v>38500000</v>
      </c>
      <c r="L327" s="359">
        <f>F327-K327</f>
        <v>0</v>
      </c>
      <c r="M327" s="159" t="s">
        <v>1348</v>
      </c>
    </row>
    <row r="328" spans="1:13" ht="30" customHeight="1" x14ac:dyDescent="0.2">
      <c r="A328" s="4464"/>
      <c r="B328" s="4600"/>
      <c r="C328" s="4540"/>
      <c r="D328" s="529">
        <v>715000000</v>
      </c>
      <c r="E328" s="550"/>
      <c r="F328" s="529"/>
      <c r="G328" s="529">
        <v>15000000</v>
      </c>
      <c r="H328" s="529" t="s">
        <v>1782</v>
      </c>
      <c r="I328" s="540" t="s">
        <v>1816</v>
      </c>
      <c r="J328" s="21" t="s">
        <v>1817</v>
      </c>
      <c r="K328" s="529">
        <f>G328</f>
        <v>15000000</v>
      </c>
      <c r="L328" s="529"/>
      <c r="M328" s="159" t="s">
        <v>1819</v>
      </c>
    </row>
    <row r="329" spans="1:13" ht="30" customHeight="1" x14ac:dyDescent="0.2">
      <c r="A329" s="4464"/>
      <c r="B329" s="4600"/>
      <c r="C329" s="4540"/>
      <c r="D329" s="4597">
        <v>700000000</v>
      </c>
      <c r="E329" s="4672">
        <v>0.06</v>
      </c>
      <c r="F329" s="4597">
        <f>D329*E329</f>
        <v>42000000</v>
      </c>
      <c r="G329" s="562">
        <v>5000000</v>
      </c>
      <c r="H329" s="562" t="s">
        <v>1881</v>
      </c>
      <c r="I329" s="563" t="s">
        <v>1887</v>
      </c>
      <c r="J329" s="564" t="s">
        <v>2144</v>
      </c>
      <c r="K329" s="4597">
        <f>G329+G330+G331+G332+G333+G334</f>
        <v>39500000</v>
      </c>
      <c r="L329" s="4597">
        <f>F329-K329</f>
        <v>2500000</v>
      </c>
      <c r="M329" s="4663" t="s">
        <v>2201</v>
      </c>
    </row>
    <row r="330" spans="1:13" ht="30" customHeight="1" x14ac:dyDescent="0.2">
      <c r="A330" s="4464"/>
      <c r="B330" s="4600"/>
      <c r="C330" s="4540"/>
      <c r="D330" s="4619"/>
      <c r="E330" s="4673"/>
      <c r="F330" s="4619"/>
      <c r="G330" s="562">
        <v>10000000</v>
      </c>
      <c r="H330" s="562" t="s">
        <v>1994</v>
      </c>
      <c r="I330" s="563" t="s">
        <v>2008</v>
      </c>
      <c r="J330" s="564" t="s">
        <v>2144</v>
      </c>
      <c r="K330" s="4619"/>
      <c r="L330" s="4619"/>
      <c r="M330" s="4664"/>
    </row>
    <row r="331" spans="1:13" ht="30" customHeight="1" x14ac:dyDescent="0.2">
      <c r="A331" s="4464"/>
      <c r="B331" s="4600"/>
      <c r="C331" s="4540"/>
      <c r="D331" s="4619"/>
      <c r="E331" s="4673"/>
      <c r="F331" s="4619"/>
      <c r="G331" s="660">
        <v>5000000</v>
      </c>
      <c r="H331" s="660" t="s">
        <v>2005</v>
      </c>
      <c r="I331" s="563" t="s">
        <v>2029</v>
      </c>
      <c r="J331" s="564" t="s">
        <v>2144</v>
      </c>
      <c r="K331" s="4619"/>
      <c r="L331" s="4619"/>
      <c r="M331" s="4664"/>
    </row>
    <row r="332" spans="1:13" ht="30" customHeight="1" x14ac:dyDescent="0.2">
      <c r="A332" s="4464"/>
      <c r="B332" s="4600"/>
      <c r="C332" s="4540"/>
      <c r="D332" s="4619"/>
      <c r="E332" s="4673"/>
      <c r="F332" s="4619"/>
      <c r="G332" s="660">
        <v>10000000</v>
      </c>
      <c r="H332" s="660" t="s">
        <v>2054</v>
      </c>
      <c r="I332" s="563" t="s">
        <v>2071</v>
      </c>
      <c r="J332" s="564" t="s">
        <v>2144</v>
      </c>
      <c r="K332" s="4619"/>
      <c r="L332" s="4619"/>
      <c r="M332" s="4664"/>
    </row>
    <row r="333" spans="1:13" ht="30" customHeight="1" x14ac:dyDescent="0.2">
      <c r="A333" s="4464"/>
      <c r="B333" s="4600"/>
      <c r="C333" s="4540"/>
      <c r="D333" s="4619"/>
      <c r="E333" s="4673"/>
      <c r="F333" s="4619"/>
      <c r="G333" s="701">
        <v>8500000</v>
      </c>
      <c r="H333" s="701" t="s">
        <v>2072</v>
      </c>
      <c r="I333" s="563" t="s">
        <v>2143</v>
      </c>
      <c r="J333" s="564" t="s">
        <v>2144</v>
      </c>
      <c r="K333" s="4619"/>
      <c r="L333" s="4619"/>
      <c r="M333" s="4664"/>
    </row>
    <row r="334" spans="1:13" ht="30" customHeight="1" x14ac:dyDescent="0.2">
      <c r="A334" s="4460"/>
      <c r="B334" s="4607"/>
      <c r="C334" s="4538"/>
      <c r="D334" s="4598"/>
      <c r="E334" s="4674"/>
      <c r="F334" s="4598"/>
      <c r="G334" s="701">
        <v>1000000</v>
      </c>
      <c r="H334" s="701" t="s">
        <v>2165</v>
      </c>
      <c r="I334" s="563" t="s">
        <v>2200</v>
      </c>
      <c r="J334" s="564" t="s">
        <v>2144</v>
      </c>
      <c r="K334" s="4598"/>
      <c r="L334" s="4598"/>
      <c r="M334" s="4665"/>
    </row>
    <row r="335" spans="1:13" ht="30" customHeight="1" x14ac:dyDescent="0.2">
      <c r="A335" s="347">
        <v>223</v>
      </c>
      <c r="B335" s="348" t="s">
        <v>83</v>
      </c>
      <c r="C335" s="344" t="s">
        <v>1652</v>
      </c>
      <c r="D335" s="465">
        <v>100000000</v>
      </c>
      <c r="E335" s="464">
        <v>0.05</v>
      </c>
      <c r="F335" s="465">
        <f t="shared" si="22"/>
        <v>5000000</v>
      </c>
      <c r="G335" s="465">
        <v>5000000</v>
      </c>
      <c r="H335" s="465" t="s">
        <v>1782</v>
      </c>
      <c r="I335" s="471" t="s">
        <v>1858</v>
      </c>
      <c r="J335" s="21" t="s">
        <v>1859</v>
      </c>
      <c r="K335" s="465">
        <f>G335</f>
        <v>5000000</v>
      </c>
      <c r="L335" s="465">
        <f t="shared" si="21"/>
        <v>0</v>
      </c>
      <c r="M335" s="41"/>
    </row>
    <row r="336" spans="1:13" ht="30" customHeight="1" x14ac:dyDescent="0.2">
      <c r="A336" s="4">
        <v>224</v>
      </c>
      <c r="B336" s="41" t="s">
        <v>84</v>
      </c>
      <c r="C336" s="344"/>
      <c r="D336" s="332">
        <v>10000000</v>
      </c>
      <c r="E336" s="17">
        <v>0.05</v>
      </c>
      <c r="F336" s="332">
        <f t="shared" si="22"/>
        <v>500000</v>
      </c>
      <c r="G336" s="332">
        <v>500000</v>
      </c>
      <c r="H336" s="332" t="s">
        <v>1701</v>
      </c>
      <c r="I336" s="338" t="s">
        <v>1707</v>
      </c>
      <c r="J336" s="21" t="s">
        <v>355</v>
      </c>
      <c r="K336" s="332">
        <f>G336</f>
        <v>500000</v>
      </c>
      <c r="L336" s="332">
        <f t="shared" si="21"/>
        <v>0</v>
      </c>
      <c r="M336" s="41"/>
    </row>
    <row r="337" spans="1:13" ht="30" customHeight="1" x14ac:dyDescent="0.2">
      <c r="A337" s="4">
        <v>225</v>
      </c>
      <c r="B337" s="41" t="s">
        <v>85</v>
      </c>
      <c r="C337" s="344"/>
      <c r="D337" s="330"/>
      <c r="E337" s="40"/>
      <c r="F337" s="330">
        <f t="shared" si="22"/>
        <v>0</v>
      </c>
      <c r="G337" s="332"/>
      <c r="H337" s="332"/>
      <c r="I337" s="338"/>
      <c r="J337" s="18"/>
      <c r="K337" s="332"/>
      <c r="L337" s="330">
        <f t="shared" si="21"/>
        <v>0</v>
      </c>
      <c r="M337" s="97" t="s">
        <v>713</v>
      </c>
    </row>
    <row r="338" spans="1:13" ht="30" customHeight="1" x14ac:dyDescent="0.2">
      <c r="A338" s="4459">
        <v>226</v>
      </c>
      <c r="B338" s="4457" t="s">
        <v>86</v>
      </c>
      <c r="C338" s="4537"/>
      <c r="D338" s="841">
        <v>500000000</v>
      </c>
      <c r="E338" s="846">
        <v>0.06</v>
      </c>
      <c r="F338" s="841">
        <f>D338*E338</f>
        <v>30000000</v>
      </c>
      <c r="G338" s="332">
        <v>30000000</v>
      </c>
      <c r="H338" s="332" t="s">
        <v>2368</v>
      </c>
      <c r="I338" s="338" t="s">
        <v>2390</v>
      </c>
      <c r="J338" s="21" t="s">
        <v>2391</v>
      </c>
      <c r="K338" s="332">
        <f>G338</f>
        <v>30000000</v>
      </c>
      <c r="L338" s="820">
        <f t="shared" si="21"/>
        <v>0</v>
      </c>
      <c r="M338" s="839" t="s">
        <v>1237</v>
      </c>
    </row>
    <row r="339" spans="1:13" ht="30" customHeight="1" x14ac:dyDescent="0.2">
      <c r="A339" s="4464"/>
      <c r="B339" s="4488"/>
      <c r="C339" s="4540"/>
      <c r="D339" s="4325" t="s">
        <v>2417</v>
      </c>
      <c r="E339" s="4326"/>
      <c r="F339" s="4563"/>
      <c r="G339" s="837">
        <v>40000000</v>
      </c>
      <c r="H339" s="837" t="s">
        <v>2414</v>
      </c>
      <c r="I339" s="842" t="s">
        <v>2418</v>
      </c>
      <c r="J339" s="21" t="s">
        <v>2391</v>
      </c>
      <c r="K339" s="4413">
        <f>G339+G340</f>
        <v>90000000</v>
      </c>
      <c r="L339" s="4413">
        <f>90000000-K339</f>
        <v>0</v>
      </c>
      <c r="M339" s="4686"/>
    </row>
    <row r="340" spans="1:13" ht="30" customHeight="1" x14ac:dyDescent="0.2">
      <c r="A340" s="4464"/>
      <c r="B340" s="4488"/>
      <c r="C340" s="4540"/>
      <c r="D340" s="4564"/>
      <c r="E340" s="4596"/>
      <c r="F340" s="4565"/>
      <c r="G340" s="837">
        <v>50000000</v>
      </c>
      <c r="H340" s="837" t="s">
        <v>2441</v>
      </c>
      <c r="I340" s="842" t="s">
        <v>2457</v>
      </c>
      <c r="J340" s="21" t="s">
        <v>2391</v>
      </c>
      <c r="K340" s="4415"/>
      <c r="L340" s="4415"/>
      <c r="M340" s="4686"/>
    </row>
    <row r="341" spans="1:13" ht="30" customHeight="1" x14ac:dyDescent="0.2">
      <c r="A341" s="4460"/>
      <c r="B341" s="4458"/>
      <c r="C341" s="4538"/>
      <c r="D341" s="841">
        <v>410000000</v>
      </c>
      <c r="E341" s="846">
        <v>0.06</v>
      </c>
      <c r="F341" s="841">
        <f>D341*E341</f>
        <v>24600000</v>
      </c>
      <c r="G341" s="4593" t="s">
        <v>2458</v>
      </c>
      <c r="H341" s="4594"/>
      <c r="I341" s="4594"/>
      <c r="J341" s="4594"/>
      <c r="K341" s="4595"/>
      <c r="L341" s="837"/>
      <c r="M341" s="4499"/>
    </row>
    <row r="342" spans="1:13" ht="30" customHeight="1" x14ac:dyDescent="0.2">
      <c r="A342" s="4">
        <v>227</v>
      </c>
      <c r="B342" s="41" t="s">
        <v>87</v>
      </c>
      <c r="C342" s="344" t="s">
        <v>889</v>
      </c>
      <c r="D342" s="332">
        <v>20000000</v>
      </c>
      <c r="E342" s="17">
        <v>0.05</v>
      </c>
      <c r="F342" s="332">
        <f>D342*E342</f>
        <v>1000000</v>
      </c>
      <c r="G342" s="332">
        <v>1000000</v>
      </c>
      <c r="H342" s="332" t="s">
        <v>1405</v>
      </c>
      <c r="I342" s="338" t="s">
        <v>1435</v>
      </c>
      <c r="J342" s="18" t="s">
        <v>1436</v>
      </c>
      <c r="K342" s="332">
        <f>G342</f>
        <v>1000000</v>
      </c>
      <c r="L342" s="332">
        <f t="shared" si="21"/>
        <v>0</v>
      </c>
      <c r="M342" s="41"/>
    </row>
    <row r="343" spans="1:13" ht="30" customHeight="1" x14ac:dyDescent="0.2">
      <c r="A343" s="4">
        <v>228</v>
      </c>
      <c r="B343" s="41" t="s">
        <v>88</v>
      </c>
      <c r="C343" s="344"/>
      <c r="D343" s="330"/>
      <c r="E343" s="40"/>
      <c r="F343" s="330">
        <f t="shared" si="22"/>
        <v>0</v>
      </c>
      <c r="G343" s="332">
        <v>400000</v>
      </c>
      <c r="H343" s="332" t="s">
        <v>1749</v>
      </c>
      <c r="I343" s="338" t="s">
        <v>1799</v>
      </c>
      <c r="J343" s="26" t="s">
        <v>417</v>
      </c>
      <c r="K343" s="332">
        <f>G343</f>
        <v>400000</v>
      </c>
      <c r="L343" s="330">
        <f t="shared" si="21"/>
        <v>-400000</v>
      </c>
      <c r="M343" s="41"/>
    </row>
    <row r="344" spans="1:13" ht="30" customHeight="1" x14ac:dyDescent="0.2">
      <c r="A344" s="4">
        <v>229</v>
      </c>
      <c r="B344" s="41" t="s">
        <v>89</v>
      </c>
      <c r="C344" s="344" t="s">
        <v>889</v>
      </c>
      <c r="D344" s="501">
        <v>52000000</v>
      </c>
      <c r="E344" s="509">
        <v>0.05</v>
      </c>
      <c r="F344" s="501">
        <f t="shared" si="22"/>
        <v>2600000</v>
      </c>
      <c r="G344" s="501">
        <v>2600000</v>
      </c>
      <c r="H344" s="501" t="s">
        <v>1616</v>
      </c>
      <c r="I344" s="507" t="s">
        <v>1617</v>
      </c>
      <c r="J344" s="21" t="s">
        <v>381</v>
      </c>
      <c r="K344" s="501">
        <f>G344</f>
        <v>2600000</v>
      </c>
      <c r="L344" s="501">
        <f t="shared" si="21"/>
        <v>0</v>
      </c>
      <c r="M344" s="41"/>
    </row>
    <row r="345" spans="1:13" ht="30" customHeight="1" x14ac:dyDescent="0.2">
      <c r="A345" s="4">
        <v>230</v>
      </c>
      <c r="B345" s="41" t="s">
        <v>90</v>
      </c>
      <c r="C345" s="344"/>
      <c r="D345" s="332">
        <v>20000000</v>
      </c>
      <c r="E345" s="17">
        <v>0.05</v>
      </c>
      <c r="F345" s="332">
        <f t="shared" si="22"/>
        <v>1000000</v>
      </c>
      <c r="G345" s="332"/>
      <c r="H345" s="332"/>
      <c r="I345" s="338"/>
      <c r="J345" s="21"/>
      <c r="K345" s="332"/>
      <c r="L345" s="332">
        <f t="shared" si="21"/>
        <v>1000000</v>
      </c>
      <c r="M345" s="41"/>
    </row>
    <row r="346" spans="1:13" ht="30" customHeight="1" x14ac:dyDescent="0.2">
      <c r="A346" s="4">
        <v>231</v>
      </c>
      <c r="B346" s="41" t="s">
        <v>91</v>
      </c>
      <c r="C346" s="344" t="s">
        <v>1080</v>
      </c>
      <c r="D346" s="332">
        <v>30000000</v>
      </c>
      <c r="E346" s="17">
        <v>4.4999999999999998E-2</v>
      </c>
      <c r="F346" s="332">
        <f t="shared" si="22"/>
        <v>1350000</v>
      </c>
      <c r="G346" s="332">
        <v>1350000</v>
      </c>
      <c r="H346" s="332" t="s">
        <v>1732</v>
      </c>
      <c r="I346" s="338" t="s">
        <v>1746</v>
      </c>
      <c r="J346" s="26" t="s">
        <v>1747</v>
      </c>
      <c r="K346" s="332">
        <f>G346</f>
        <v>1350000</v>
      </c>
      <c r="L346" s="332">
        <f t="shared" si="21"/>
        <v>0</v>
      </c>
      <c r="M346" s="41"/>
    </row>
    <row r="347" spans="1:13" ht="30" customHeight="1" x14ac:dyDescent="0.2">
      <c r="A347" s="4">
        <v>232</v>
      </c>
      <c r="B347" s="41" t="s">
        <v>1602</v>
      </c>
      <c r="C347" s="344" t="s">
        <v>1172</v>
      </c>
      <c r="D347" s="332">
        <v>55000000</v>
      </c>
      <c r="E347" s="17">
        <v>0.04</v>
      </c>
      <c r="F347" s="332">
        <f t="shared" si="22"/>
        <v>2200000</v>
      </c>
      <c r="G347" s="332">
        <v>2200000</v>
      </c>
      <c r="H347" s="332" t="s">
        <v>1594</v>
      </c>
      <c r="I347" s="338" t="s">
        <v>1603</v>
      </c>
      <c r="J347" s="21" t="s">
        <v>1604</v>
      </c>
      <c r="K347" s="332">
        <f>G347</f>
        <v>2200000</v>
      </c>
      <c r="L347" s="332">
        <f t="shared" si="21"/>
        <v>0</v>
      </c>
      <c r="M347" s="41"/>
    </row>
    <row r="348" spans="1:13" ht="30" customHeight="1" x14ac:dyDescent="0.2">
      <c r="A348" s="4">
        <v>233</v>
      </c>
      <c r="B348" s="41" t="s">
        <v>275</v>
      </c>
      <c r="C348" s="344" t="s">
        <v>372</v>
      </c>
      <c r="D348" s="332">
        <v>50000000</v>
      </c>
      <c r="E348" s="17">
        <v>0.05</v>
      </c>
      <c r="F348" s="332">
        <f t="shared" si="22"/>
        <v>2500000</v>
      </c>
      <c r="G348" s="332">
        <v>2500000</v>
      </c>
      <c r="H348" s="332" t="s">
        <v>1782</v>
      </c>
      <c r="I348" s="338" t="s">
        <v>1866</v>
      </c>
      <c r="J348" s="21" t="s">
        <v>1867</v>
      </c>
      <c r="K348" s="332">
        <f>G348</f>
        <v>2500000</v>
      </c>
      <c r="L348" s="332">
        <f t="shared" si="21"/>
        <v>0</v>
      </c>
      <c r="M348" s="161" t="s">
        <v>274</v>
      </c>
    </row>
    <row r="349" spans="1:13" ht="30" customHeight="1" x14ac:dyDescent="0.2">
      <c r="A349" s="4">
        <v>234</v>
      </c>
      <c r="B349" s="179" t="s">
        <v>93</v>
      </c>
      <c r="C349" s="1135" t="s">
        <v>889</v>
      </c>
      <c r="D349" s="354"/>
      <c r="E349" s="40"/>
      <c r="F349" s="359">
        <v>21000000</v>
      </c>
      <c r="G349" s="359"/>
      <c r="H349" s="359"/>
      <c r="I349" s="265"/>
      <c r="J349" s="33"/>
      <c r="K349" s="359"/>
      <c r="L349" s="350">
        <f t="shared" si="21"/>
        <v>21000000</v>
      </c>
      <c r="M349" s="365"/>
    </row>
    <row r="350" spans="1:13" ht="30" customHeight="1" x14ac:dyDescent="0.2">
      <c r="A350" s="4">
        <v>235</v>
      </c>
      <c r="B350" s="41" t="s">
        <v>94</v>
      </c>
      <c r="C350" s="344" t="s">
        <v>1172</v>
      </c>
      <c r="D350" s="332">
        <v>50000000</v>
      </c>
      <c r="E350" s="353">
        <v>0.04</v>
      </c>
      <c r="F350" s="332">
        <f t="shared" si="22"/>
        <v>2000000</v>
      </c>
      <c r="G350" s="332">
        <v>2000000</v>
      </c>
      <c r="H350" s="332" t="s">
        <v>1782</v>
      </c>
      <c r="I350" s="338" t="s">
        <v>1856</v>
      </c>
      <c r="J350" s="21" t="s">
        <v>1857</v>
      </c>
      <c r="K350" s="332">
        <f t="shared" ref="K350:K356" si="23">G350</f>
        <v>2000000</v>
      </c>
      <c r="L350" s="332">
        <f t="shared" si="21"/>
        <v>0</v>
      </c>
      <c r="M350" s="41"/>
    </row>
    <row r="351" spans="1:13" ht="30" customHeight="1" x14ac:dyDescent="0.2">
      <c r="A351" s="4">
        <v>236</v>
      </c>
      <c r="B351" s="41" t="s">
        <v>95</v>
      </c>
      <c r="C351" s="344"/>
      <c r="D351" s="332">
        <v>37000000</v>
      </c>
      <c r="E351" s="17">
        <v>4.1000000000000002E-2</v>
      </c>
      <c r="F351" s="332">
        <v>1500000</v>
      </c>
      <c r="G351" s="332">
        <v>1500000</v>
      </c>
      <c r="H351" s="332" t="s">
        <v>1749</v>
      </c>
      <c r="I351" s="338" t="s">
        <v>1811</v>
      </c>
      <c r="J351" s="342" t="s">
        <v>334</v>
      </c>
      <c r="K351" s="332">
        <f t="shared" si="23"/>
        <v>1500000</v>
      </c>
      <c r="L351" s="332">
        <f t="shared" si="21"/>
        <v>0</v>
      </c>
      <c r="M351" s="41"/>
    </row>
    <row r="352" spans="1:13" ht="30" customHeight="1" x14ac:dyDescent="0.2">
      <c r="A352" s="4">
        <v>237</v>
      </c>
      <c r="B352" s="41" t="s">
        <v>96</v>
      </c>
      <c r="C352" s="344" t="s">
        <v>1718</v>
      </c>
      <c r="D352" s="332">
        <v>62500000</v>
      </c>
      <c r="E352" s="17">
        <v>4.8000000000000001E-2</v>
      </c>
      <c r="F352" s="332">
        <f t="shared" si="22"/>
        <v>3000000</v>
      </c>
      <c r="G352" s="332">
        <v>3000000</v>
      </c>
      <c r="H352" s="332" t="s">
        <v>2147</v>
      </c>
      <c r="I352" s="338" t="s">
        <v>2153</v>
      </c>
      <c r="J352" s="21" t="s">
        <v>2154</v>
      </c>
      <c r="K352" s="332">
        <f t="shared" si="23"/>
        <v>3000000</v>
      </c>
      <c r="L352" s="332">
        <f t="shared" si="21"/>
        <v>0</v>
      </c>
      <c r="M352" s="41"/>
    </row>
    <row r="353" spans="1:15" ht="30" customHeight="1" x14ac:dyDescent="0.2">
      <c r="A353" s="4">
        <v>238</v>
      </c>
      <c r="B353" s="41" t="s">
        <v>97</v>
      </c>
      <c r="C353" s="344"/>
      <c r="D353" s="332">
        <v>100000000</v>
      </c>
      <c r="E353" s="17">
        <v>0.05</v>
      </c>
      <c r="F353" s="332">
        <f t="shared" si="22"/>
        <v>5000000</v>
      </c>
      <c r="G353" s="332">
        <v>5000000</v>
      </c>
      <c r="H353" s="332" t="s">
        <v>1732</v>
      </c>
      <c r="I353" s="18">
        <v>228048</v>
      </c>
      <c r="J353" s="18" t="s">
        <v>301</v>
      </c>
      <c r="K353" s="332">
        <f t="shared" si="23"/>
        <v>5000000</v>
      </c>
      <c r="L353" s="332">
        <f t="shared" si="21"/>
        <v>0</v>
      </c>
      <c r="M353" s="41"/>
    </row>
    <row r="354" spans="1:15" ht="30" customHeight="1" x14ac:dyDescent="0.2">
      <c r="A354" s="4">
        <v>239</v>
      </c>
      <c r="B354" s="41" t="s">
        <v>98</v>
      </c>
      <c r="C354" s="344" t="s">
        <v>372</v>
      </c>
      <c r="D354" s="332">
        <v>50000000</v>
      </c>
      <c r="E354" s="17">
        <v>0.05</v>
      </c>
      <c r="F354" s="332">
        <f t="shared" si="22"/>
        <v>2500000</v>
      </c>
      <c r="G354" s="332">
        <v>2500000</v>
      </c>
      <c r="H354" s="332" t="s">
        <v>1782</v>
      </c>
      <c r="I354" s="338" t="s">
        <v>1875</v>
      </c>
      <c r="J354" s="21" t="s">
        <v>1876</v>
      </c>
      <c r="K354" s="332">
        <f t="shared" si="23"/>
        <v>2500000</v>
      </c>
      <c r="L354" s="332">
        <f t="shared" si="21"/>
        <v>0</v>
      </c>
      <c r="M354" s="41"/>
    </row>
    <row r="355" spans="1:15" ht="30" customHeight="1" x14ac:dyDescent="0.2">
      <c r="A355" s="4">
        <v>240</v>
      </c>
      <c r="B355" s="4457" t="s">
        <v>2274</v>
      </c>
      <c r="C355" s="4537" t="s">
        <v>990</v>
      </c>
      <c r="D355" s="4413">
        <v>100000000</v>
      </c>
      <c r="E355" s="4476">
        <v>0.04</v>
      </c>
      <c r="F355" s="4413">
        <f t="shared" si="22"/>
        <v>4000000</v>
      </c>
      <c r="G355" s="332">
        <v>4000000</v>
      </c>
      <c r="H355" s="332" t="s">
        <v>1881</v>
      </c>
      <c r="I355" s="338" t="s">
        <v>1928</v>
      </c>
      <c r="J355" s="21" t="s">
        <v>1929</v>
      </c>
      <c r="K355" s="332">
        <f t="shared" si="23"/>
        <v>4000000</v>
      </c>
      <c r="L355" s="332">
        <f t="shared" si="21"/>
        <v>0</v>
      </c>
      <c r="M355" s="97" t="s">
        <v>1930</v>
      </c>
    </row>
    <row r="356" spans="1:15" ht="30" customHeight="1" x14ac:dyDescent="0.2">
      <c r="A356" s="835"/>
      <c r="B356" s="4458"/>
      <c r="C356" s="4538"/>
      <c r="D356" s="4415"/>
      <c r="E356" s="4477"/>
      <c r="F356" s="4415"/>
      <c r="G356" s="837">
        <v>4000000</v>
      </c>
      <c r="H356" s="837" t="s">
        <v>2412</v>
      </c>
      <c r="I356" s="842" t="s">
        <v>2413</v>
      </c>
      <c r="J356" s="21" t="s">
        <v>346</v>
      </c>
      <c r="K356" s="837">
        <f t="shared" si="23"/>
        <v>4000000</v>
      </c>
      <c r="L356" s="837">
        <f>G356-K356</f>
        <v>0</v>
      </c>
      <c r="M356" s="839" t="s">
        <v>1307</v>
      </c>
    </row>
    <row r="357" spans="1:15" ht="30" customHeight="1" x14ac:dyDescent="0.2">
      <c r="A357" s="4459">
        <v>241</v>
      </c>
      <c r="B357" s="4457" t="s">
        <v>559</v>
      </c>
      <c r="C357" s="378"/>
      <c r="D357" s="694">
        <v>30000000</v>
      </c>
      <c r="E357" s="40"/>
      <c r="F357" s="694">
        <v>2350000</v>
      </c>
      <c r="G357" s="692"/>
      <c r="H357" s="692"/>
      <c r="I357" s="55"/>
      <c r="J357" s="712"/>
      <c r="K357" s="165"/>
      <c r="L357" s="359">
        <f>F357-K357</f>
        <v>2350000</v>
      </c>
      <c r="M357" s="4478"/>
    </row>
    <row r="358" spans="1:15" ht="30" customHeight="1" x14ac:dyDescent="0.2">
      <c r="A358" s="4464"/>
      <c r="B358" s="4488"/>
      <c r="C358" s="711"/>
      <c r="D358" s="690">
        <v>20000000</v>
      </c>
      <c r="E358" s="691">
        <v>7.0000000000000007E-2</v>
      </c>
      <c r="F358" s="690">
        <f>D358*E358</f>
        <v>1400000.0000000002</v>
      </c>
      <c r="G358" s="690">
        <v>1400000</v>
      </c>
      <c r="H358" s="690" t="s">
        <v>2165</v>
      </c>
      <c r="I358" s="700" t="s">
        <v>2189</v>
      </c>
      <c r="J358" s="96" t="s">
        <v>557</v>
      </c>
      <c r="K358" s="690">
        <f>G358</f>
        <v>1400000</v>
      </c>
      <c r="L358" s="690">
        <f>F358-K358</f>
        <v>0</v>
      </c>
      <c r="M358" s="4520"/>
    </row>
    <row r="359" spans="1:15" ht="30" customHeight="1" x14ac:dyDescent="0.2">
      <c r="A359" s="4460"/>
      <c r="B359" s="4458"/>
      <c r="C359" s="711"/>
      <c r="D359" s="690">
        <v>10000000</v>
      </c>
      <c r="E359" s="691">
        <v>0.09</v>
      </c>
      <c r="F359" s="690">
        <f>D359*E359</f>
        <v>900000</v>
      </c>
      <c r="G359" s="690">
        <v>900000</v>
      </c>
      <c r="H359" s="690" t="s">
        <v>2147</v>
      </c>
      <c r="I359" s="700" t="s">
        <v>2150</v>
      </c>
      <c r="J359" s="96" t="s">
        <v>557</v>
      </c>
      <c r="K359" s="690">
        <f>F359</f>
        <v>900000</v>
      </c>
      <c r="L359" s="690">
        <f>F359-K359</f>
        <v>0</v>
      </c>
      <c r="M359" s="4479"/>
    </row>
    <row r="360" spans="1:15" ht="30" customHeight="1" x14ac:dyDescent="0.2">
      <c r="A360" s="4">
        <v>242</v>
      </c>
      <c r="B360" s="41" t="s">
        <v>100</v>
      </c>
      <c r="C360" s="344"/>
      <c r="D360" s="332">
        <v>100000000</v>
      </c>
      <c r="E360" s="353">
        <v>4.4999999999999998E-2</v>
      </c>
      <c r="F360" s="332">
        <f t="shared" si="22"/>
        <v>4500000</v>
      </c>
      <c r="G360" s="332">
        <v>4500000</v>
      </c>
      <c r="H360" s="332" t="s">
        <v>1658</v>
      </c>
      <c r="I360" s="338" t="s">
        <v>1664</v>
      </c>
      <c r="J360" s="21" t="s">
        <v>1665</v>
      </c>
      <c r="K360" s="332">
        <f>G360</f>
        <v>4500000</v>
      </c>
      <c r="L360" s="332">
        <f t="shared" si="21"/>
        <v>0</v>
      </c>
      <c r="M360" s="1968" t="s">
        <v>3996</v>
      </c>
    </row>
    <row r="361" spans="1:15" ht="30" customHeight="1" x14ac:dyDescent="0.2">
      <c r="A361" s="4">
        <v>243</v>
      </c>
      <c r="B361" s="19" t="s">
        <v>507</v>
      </c>
      <c r="C361" s="379" t="s">
        <v>262</v>
      </c>
      <c r="D361" s="359">
        <v>20000000</v>
      </c>
      <c r="E361" s="17">
        <v>0.04</v>
      </c>
      <c r="F361" s="556">
        <f>D361*E361</f>
        <v>800000</v>
      </c>
      <c r="G361" s="556">
        <v>800000</v>
      </c>
      <c r="H361" s="556" t="s">
        <v>1881</v>
      </c>
      <c r="I361" s="556">
        <v>122220558759</v>
      </c>
      <c r="J361" s="556" t="s">
        <v>1892</v>
      </c>
      <c r="K361" s="556">
        <f>G361</f>
        <v>800000</v>
      </c>
      <c r="L361" s="556">
        <f>F361-K361</f>
        <v>0</v>
      </c>
      <c r="M361" s="97" t="s">
        <v>1310</v>
      </c>
      <c r="N361" s="248"/>
      <c r="O361" s="248"/>
    </row>
    <row r="362" spans="1:15" ht="30" customHeight="1" x14ac:dyDescent="0.2">
      <c r="A362" s="4">
        <v>244</v>
      </c>
      <c r="B362" s="348" t="s">
        <v>101</v>
      </c>
      <c r="C362" s="344"/>
      <c r="D362" s="332">
        <v>50000000</v>
      </c>
      <c r="E362" s="17">
        <v>0.05</v>
      </c>
      <c r="F362" s="332">
        <f t="shared" si="22"/>
        <v>2500000</v>
      </c>
      <c r="G362" s="332">
        <v>2500000</v>
      </c>
      <c r="H362" s="332" t="s">
        <v>1881</v>
      </c>
      <c r="I362" s="338" t="s">
        <v>1885</v>
      </c>
      <c r="J362" s="21" t="s">
        <v>305</v>
      </c>
      <c r="K362" s="332">
        <f>G362</f>
        <v>2500000</v>
      </c>
      <c r="L362" s="332">
        <f t="shared" si="21"/>
        <v>0</v>
      </c>
      <c r="M362" s="41"/>
    </row>
    <row r="363" spans="1:15" ht="30" customHeight="1" x14ac:dyDescent="0.2">
      <c r="A363" s="4">
        <v>245</v>
      </c>
      <c r="B363" s="41" t="s">
        <v>4059</v>
      </c>
      <c r="C363" s="344" t="s">
        <v>262</v>
      </c>
      <c r="D363" s="332">
        <v>60000000</v>
      </c>
      <c r="E363" s="17">
        <v>0.05</v>
      </c>
      <c r="F363" s="332">
        <f t="shared" si="22"/>
        <v>3000000</v>
      </c>
      <c r="G363" s="332">
        <v>3000000</v>
      </c>
      <c r="H363" s="332" t="s">
        <v>379</v>
      </c>
      <c r="I363" s="338" t="s">
        <v>1925</v>
      </c>
      <c r="J363" s="337" t="s">
        <v>1926</v>
      </c>
      <c r="K363" s="332">
        <f>G363</f>
        <v>3000000</v>
      </c>
      <c r="L363" s="332">
        <f t="shared" si="21"/>
        <v>0</v>
      </c>
      <c r="M363" s="41"/>
    </row>
    <row r="364" spans="1:15" ht="30" customHeight="1" x14ac:dyDescent="0.2">
      <c r="A364" s="4">
        <v>246</v>
      </c>
      <c r="B364" s="41" t="s">
        <v>103</v>
      </c>
      <c r="C364" s="344"/>
      <c r="D364" s="332">
        <v>85000000</v>
      </c>
      <c r="E364" s="17">
        <v>5.0999999999999997E-2</v>
      </c>
      <c r="F364" s="332">
        <v>4300000</v>
      </c>
      <c r="G364" s="332">
        <v>4300000</v>
      </c>
      <c r="H364" s="332" t="s">
        <v>1782</v>
      </c>
      <c r="I364" s="338" t="s">
        <v>1824</v>
      </c>
      <c r="J364" s="27" t="s">
        <v>1825</v>
      </c>
      <c r="K364" s="332">
        <f t="shared" ref="K364:K371" si="24">G364</f>
        <v>4300000</v>
      </c>
      <c r="L364" s="332">
        <f t="shared" si="21"/>
        <v>0</v>
      </c>
      <c r="M364" s="41"/>
    </row>
    <row r="365" spans="1:15" ht="30" customHeight="1" x14ac:dyDescent="0.2">
      <c r="A365" s="4">
        <v>247</v>
      </c>
      <c r="B365" s="41" t="s">
        <v>104</v>
      </c>
      <c r="C365" s="344"/>
      <c r="D365" s="332">
        <v>220000000</v>
      </c>
      <c r="E365" s="17">
        <v>7.0000000000000007E-2</v>
      </c>
      <c r="F365" s="332">
        <f t="shared" si="22"/>
        <v>15400000.000000002</v>
      </c>
      <c r="G365" s="332">
        <v>15400000</v>
      </c>
      <c r="H365" s="332" t="s">
        <v>1749</v>
      </c>
      <c r="I365" s="340" t="s">
        <v>1772</v>
      </c>
      <c r="J365" s="21" t="s">
        <v>1773</v>
      </c>
      <c r="K365" s="332">
        <f t="shared" si="24"/>
        <v>15400000</v>
      </c>
      <c r="L365" s="332">
        <f t="shared" si="21"/>
        <v>0</v>
      </c>
      <c r="M365" s="97" t="s">
        <v>340</v>
      </c>
      <c r="N365" s="859"/>
      <c r="O365" s="860"/>
    </row>
    <row r="366" spans="1:15" ht="30" customHeight="1" x14ac:dyDescent="0.2">
      <c r="A366" s="4">
        <v>248</v>
      </c>
      <c r="B366" s="41" t="s">
        <v>105</v>
      </c>
      <c r="C366" s="344" t="s">
        <v>1172</v>
      </c>
      <c r="D366" s="465">
        <v>95000000</v>
      </c>
      <c r="E366" s="474">
        <v>4.4999999999999998E-2</v>
      </c>
      <c r="F366" s="465">
        <v>4000000</v>
      </c>
      <c r="G366" s="465">
        <v>4000000</v>
      </c>
      <c r="H366" s="465" t="s">
        <v>1749</v>
      </c>
      <c r="I366" s="471" t="s">
        <v>1763</v>
      </c>
      <c r="J366" s="21" t="s">
        <v>1764</v>
      </c>
      <c r="K366" s="465">
        <f t="shared" si="24"/>
        <v>4000000</v>
      </c>
      <c r="L366" s="465">
        <f t="shared" si="21"/>
        <v>0</v>
      </c>
      <c r="M366" s="41"/>
    </row>
    <row r="367" spans="1:15" ht="30" customHeight="1" x14ac:dyDescent="0.2">
      <c r="A367" s="4">
        <v>249</v>
      </c>
      <c r="B367" s="41" t="s">
        <v>106</v>
      </c>
      <c r="C367" s="344" t="s">
        <v>262</v>
      </c>
      <c r="D367" s="332">
        <v>10000000</v>
      </c>
      <c r="E367" s="17">
        <v>0.05</v>
      </c>
      <c r="F367" s="332">
        <f t="shared" si="22"/>
        <v>500000</v>
      </c>
      <c r="G367" s="332">
        <v>500000</v>
      </c>
      <c r="H367" s="332" t="s">
        <v>1782</v>
      </c>
      <c r="I367" s="338" t="s">
        <v>1815</v>
      </c>
      <c r="J367" s="26" t="s">
        <v>404</v>
      </c>
      <c r="K367" s="332">
        <f t="shared" si="24"/>
        <v>500000</v>
      </c>
      <c r="L367" s="332">
        <f t="shared" si="21"/>
        <v>0</v>
      </c>
      <c r="M367" s="41"/>
    </row>
    <row r="368" spans="1:15" ht="30" customHeight="1" x14ac:dyDescent="0.2">
      <c r="A368" s="4">
        <v>250</v>
      </c>
      <c r="B368" s="41" t="s">
        <v>107</v>
      </c>
      <c r="C368" s="344"/>
      <c r="D368" s="332">
        <v>200000000</v>
      </c>
      <c r="E368" s="17">
        <v>0.04</v>
      </c>
      <c r="F368" s="332">
        <f t="shared" si="22"/>
        <v>8000000</v>
      </c>
      <c r="G368" s="332">
        <v>8000000</v>
      </c>
      <c r="H368" s="332" t="s">
        <v>1881</v>
      </c>
      <c r="I368" s="32" t="s">
        <v>1891</v>
      </c>
      <c r="J368" s="559" t="s">
        <v>1220</v>
      </c>
      <c r="K368" s="332">
        <f t="shared" si="24"/>
        <v>8000000</v>
      </c>
      <c r="L368" s="332">
        <f t="shared" si="21"/>
        <v>0</v>
      </c>
      <c r="M368" s="41"/>
    </row>
    <row r="369" spans="1:15" ht="30" customHeight="1" x14ac:dyDescent="0.2">
      <c r="A369" s="4">
        <v>251</v>
      </c>
      <c r="B369" s="41" t="s">
        <v>1830</v>
      </c>
      <c r="C369" s="344" t="s">
        <v>371</v>
      </c>
      <c r="D369" s="2599">
        <v>90000000</v>
      </c>
      <c r="E369" s="2608">
        <v>0.06</v>
      </c>
      <c r="F369" s="2599">
        <f t="shared" si="22"/>
        <v>5400000</v>
      </c>
      <c r="G369" s="2599">
        <v>5400000</v>
      </c>
      <c r="H369" s="2599" t="s">
        <v>1782</v>
      </c>
      <c r="I369" s="2603" t="s">
        <v>1832</v>
      </c>
      <c r="J369" s="21" t="s">
        <v>1831</v>
      </c>
      <c r="K369" s="2599">
        <f t="shared" si="24"/>
        <v>5400000</v>
      </c>
      <c r="L369" s="2599">
        <f t="shared" si="21"/>
        <v>0</v>
      </c>
      <c r="M369" s="41"/>
    </row>
    <row r="370" spans="1:15" ht="30" customHeight="1" x14ac:dyDescent="0.2">
      <c r="A370" s="4">
        <v>252</v>
      </c>
      <c r="B370" s="41" t="s">
        <v>109</v>
      </c>
      <c r="C370" s="344"/>
      <c r="D370" s="332">
        <v>270000000</v>
      </c>
      <c r="E370" s="17">
        <v>0.05</v>
      </c>
      <c r="F370" s="332">
        <f>D370*E370</f>
        <v>13500000</v>
      </c>
      <c r="G370" s="332">
        <v>13500000</v>
      </c>
      <c r="H370" s="332" t="s">
        <v>1749</v>
      </c>
      <c r="I370" s="340" t="s">
        <v>1809</v>
      </c>
      <c r="J370" s="21" t="s">
        <v>1810</v>
      </c>
      <c r="K370" s="332">
        <f t="shared" si="24"/>
        <v>13500000</v>
      </c>
      <c r="L370" s="332">
        <f t="shared" si="21"/>
        <v>0</v>
      </c>
      <c r="M370" s="41"/>
    </row>
    <row r="371" spans="1:15" ht="30" customHeight="1" x14ac:dyDescent="0.2">
      <c r="A371" s="4459">
        <v>253</v>
      </c>
      <c r="B371" s="4457" t="s">
        <v>110</v>
      </c>
      <c r="C371" s="4537"/>
      <c r="D371" s="332">
        <v>20000000</v>
      </c>
      <c r="E371" s="17">
        <v>0.05</v>
      </c>
      <c r="F371" s="332">
        <f t="shared" si="22"/>
        <v>1000000</v>
      </c>
      <c r="G371" s="332">
        <v>1500000</v>
      </c>
      <c r="H371" s="332" t="s">
        <v>1782</v>
      </c>
      <c r="I371" s="338" t="s">
        <v>1854</v>
      </c>
      <c r="J371" s="83" t="s">
        <v>810</v>
      </c>
      <c r="K371" s="332">
        <f t="shared" si="24"/>
        <v>1500000</v>
      </c>
      <c r="L371" s="332">
        <f t="shared" si="21"/>
        <v>-500000</v>
      </c>
      <c r="M371" s="41" t="s">
        <v>1855</v>
      </c>
    </row>
    <row r="372" spans="1:15" ht="30" customHeight="1" x14ac:dyDescent="0.2">
      <c r="A372" s="4460"/>
      <c r="B372" s="4458"/>
      <c r="C372" s="4538"/>
      <c r="D372" s="549">
        <v>20000000</v>
      </c>
      <c r="E372" s="560"/>
      <c r="F372" s="549"/>
      <c r="G372" s="4593" t="s">
        <v>1869</v>
      </c>
      <c r="H372" s="4594"/>
      <c r="I372" s="4594"/>
      <c r="J372" s="4594"/>
      <c r="K372" s="4595"/>
      <c r="L372" s="549"/>
      <c r="M372" s="41"/>
    </row>
    <row r="373" spans="1:15" ht="30" customHeight="1" x14ac:dyDescent="0.2">
      <c r="A373" s="4459">
        <v>254</v>
      </c>
      <c r="B373" s="4457" t="s">
        <v>1893</v>
      </c>
      <c r="C373" s="4537"/>
      <c r="D373" s="332">
        <v>295000000</v>
      </c>
      <c r="E373" s="17">
        <v>0.05</v>
      </c>
      <c r="F373" s="332">
        <f t="shared" si="22"/>
        <v>14750000</v>
      </c>
      <c r="G373" s="332">
        <v>14050000</v>
      </c>
      <c r="H373" s="624" t="s">
        <v>1881</v>
      </c>
      <c r="I373" s="32" t="s">
        <v>1927</v>
      </c>
      <c r="J373" s="21" t="s">
        <v>440</v>
      </c>
      <c r="K373" s="332">
        <f>G373</f>
        <v>14050000</v>
      </c>
      <c r="L373" s="332">
        <f t="shared" si="21"/>
        <v>700000</v>
      </c>
      <c r="M373" s="4469" t="s">
        <v>1894</v>
      </c>
      <c r="N373" s="4470"/>
      <c r="O373" s="4471"/>
    </row>
    <row r="374" spans="1:15" ht="30" customHeight="1" x14ac:dyDescent="0.2">
      <c r="A374" s="4464"/>
      <c r="B374" s="4488"/>
      <c r="C374" s="4540"/>
      <c r="D374" s="4303" t="s">
        <v>1236</v>
      </c>
      <c r="E374" s="4324"/>
      <c r="F374" s="4355"/>
      <c r="G374" s="706">
        <v>100000000</v>
      </c>
      <c r="H374" s="710" t="s">
        <v>2072</v>
      </c>
      <c r="I374" s="710" t="s">
        <v>2202</v>
      </c>
      <c r="J374" s="21" t="s">
        <v>440</v>
      </c>
      <c r="K374" s="706">
        <f>G374</f>
        <v>100000000</v>
      </c>
      <c r="L374" s="706"/>
      <c r="M374" s="707"/>
      <c r="N374" s="718"/>
      <c r="O374" s="718"/>
    </row>
    <row r="375" spans="1:15" ht="30" customHeight="1" x14ac:dyDescent="0.2">
      <c r="A375" s="4460"/>
      <c r="B375" s="4458"/>
      <c r="C375" s="4538"/>
      <c r="D375" s="706">
        <v>195000000</v>
      </c>
      <c r="E375" s="709"/>
      <c r="F375" s="706"/>
      <c r="G375" s="4593" t="s">
        <v>2203</v>
      </c>
      <c r="H375" s="4594"/>
      <c r="I375" s="4594"/>
      <c r="J375" s="4594"/>
      <c r="K375" s="4595"/>
      <c r="L375" s="706"/>
      <c r="M375" s="707"/>
      <c r="N375" s="718"/>
      <c r="O375" s="718"/>
    </row>
    <row r="376" spans="1:15" ht="30" customHeight="1" x14ac:dyDescent="0.2">
      <c r="A376" s="4">
        <v>255</v>
      </c>
      <c r="B376" s="41" t="s">
        <v>112</v>
      </c>
      <c r="C376" s="344" t="s">
        <v>262</v>
      </c>
      <c r="D376" s="332">
        <v>40000000</v>
      </c>
      <c r="E376" s="17">
        <v>0.05</v>
      </c>
      <c r="F376" s="332">
        <f t="shared" si="22"/>
        <v>2000000</v>
      </c>
      <c r="G376" s="332">
        <v>2000000</v>
      </c>
      <c r="H376" s="332" t="s">
        <v>1782</v>
      </c>
      <c r="I376" s="338" t="s">
        <v>1822</v>
      </c>
      <c r="J376" s="18" t="s">
        <v>342</v>
      </c>
      <c r="K376" s="332">
        <f>G376</f>
        <v>2000000</v>
      </c>
      <c r="L376" s="332">
        <f t="shared" si="21"/>
        <v>0</v>
      </c>
      <c r="M376" s="41"/>
    </row>
    <row r="377" spans="1:15" ht="30" customHeight="1" x14ac:dyDescent="0.2">
      <c r="A377" s="4">
        <v>256</v>
      </c>
      <c r="B377" s="41" t="s">
        <v>113</v>
      </c>
      <c r="C377" s="344"/>
      <c r="D377" s="332">
        <v>100000000</v>
      </c>
      <c r="E377" s="17">
        <v>0.05</v>
      </c>
      <c r="F377" s="332">
        <f t="shared" si="22"/>
        <v>5000000</v>
      </c>
      <c r="G377" s="332">
        <v>5000000</v>
      </c>
      <c r="H377" s="332" t="s">
        <v>1782</v>
      </c>
      <c r="I377" s="338" t="s">
        <v>1828</v>
      </c>
      <c r="J377" s="18" t="s">
        <v>1829</v>
      </c>
      <c r="K377" s="332">
        <f>G377</f>
        <v>5000000</v>
      </c>
      <c r="L377" s="332">
        <f t="shared" si="21"/>
        <v>0</v>
      </c>
      <c r="M377" s="41"/>
    </row>
    <row r="378" spans="1:15" ht="30" customHeight="1" x14ac:dyDescent="0.2">
      <c r="A378" s="4">
        <v>257</v>
      </c>
      <c r="B378" s="41" t="s">
        <v>114</v>
      </c>
      <c r="C378" s="344" t="s">
        <v>1292</v>
      </c>
      <c r="D378" s="332">
        <v>30000000</v>
      </c>
      <c r="E378" s="17">
        <v>0.05</v>
      </c>
      <c r="F378" s="332">
        <f t="shared" si="22"/>
        <v>1500000</v>
      </c>
      <c r="G378" s="332"/>
      <c r="H378" s="332"/>
      <c r="I378" s="338"/>
      <c r="J378" s="21"/>
      <c r="K378" s="332"/>
      <c r="L378" s="332">
        <f t="shared" si="21"/>
        <v>1500000</v>
      </c>
      <c r="M378" s="41"/>
    </row>
    <row r="379" spans="1:15" ht="30" customHeight="1" x14ac:dyDescent="0.2">
      <c r="A379" s="4">
        <v>258</v>
      </c>
      <c r="B379" s="41" t="s">
        <v>849</v>
      </c>
      <c r="C379" s="344" t="s">
        <v>262</v>
      </c>
      <c r="D379" s="332">
        <v>12000000</v>
      </c>
      <c r="E379" s="17">
        <v>0.05</v>
      </c>
      <c r="F379" s="332">
        <f t="shared" si="22"/>
        <v>600000</v>
      </c>
      <c r="G379" s="4413">
        <v>1600000</v>
      </c>
      <c r="H379" s="4413" t="s">
        <v>1881</v>
      </c>
      <c r="I379" s="4555" t="s">
        <v>1886</v>
      </c>
      <c r="J379" s="4553" t="s">
        <v>475</v>
      </c>
      <c r="K379" s="4413">
        <f>G379</f>
        <v>1600000</v>
      </c>
      <c r="L379" s="4413">
        <f>(F379+F380)-K379</f>
        <v>0</v>
      </c>
      <c r="M379" s="4599"/>
    </row>
    <row r="380" spans="1:15" ht="30" customHeight="1" x14ac:dyDescent="0.2">
      <c r="A380" s="4">
        <v>259</v>
      </c>
      <c r="B380" s="41" t="s">
        <v>156</v>
      </c>
      <c r="C380" s="344" t="s">
        <v>262</v>
      </c>
      <c r="D380" s="332">
        <v>20000000</v>
      </c>
      <c r="E380" s="17">
        <v>0.05</v>
      </c>
      <c r="F380" s="332">
        <f>D380*E380</f>
        <v>1000000</v>
      </c>
      <c r="G380" s="4415"/>
      <c r="H380" s="4415"/>
      <c r="I380" s="4557"/>
      <c r="J380" s="4554"/>
      <c r="K380" s="4415"/>
      <c r="L380" s="4415"/>
      <c r="M380" s="4607"/>
    </row>
    <row r="381" spans="1:15" ht="30" customHeight="1" x14ac:dyDescent="0.2">
      <c r="A381" s="4">
        <v>261</v>
      </c>
      <c r="B381" s="41" t="s">
        <v>117</v>
      </c>
      <c r="C381" s="344"/>
      <c r="D381" s="549">
        <v>10500000</v>
      </c>
      <c r="E381" s="560">
        <v>0.05</v>
      </c>
      <c r="F381" s="549">
        <f t="shared" si="22"/>
        <v>525000</v>
      </c>
      <c r="G381" s="332">
        <v>525000</v>
      </c>
      <c r="H381" s="332" t="s">
        <v>1881</v>
      </c>
      <c r="I381" s="338" t="s">
        <v>1883</v>
      </c>
      <c r="J381" s="18" t="s">
        <v>414</v>
      </c>
      <c r="K381" s="332">
        <f>G381</f>
        <v>525000</v>
      </c>
      <c r="L381" s="332">
        <f t="shared" ref="L381:L443" si="25">F381-K381</f>
        <v>0</v>
      </c>
      <c r="M381" s="41"/>
    </row>
    <row r="382" spans="1:15" ht="30" customHeight="1" x14ac:dyDescent="0.2">
      <c r="A382" s="4459">
        <v>262</v>
      </c>
      <c r="B382" s="4457" t="s">
        <v>118</v>
      </c>
      <c r="C382" s="4537"/>
      <c r="D382" s="4413">
        <v>7000000</v>
      </c>
      <c r="E382" s="4476">
        <v>0.04</v>
      </c>
      <c r="F382" s="4413">
        <f t="shared" si="22"/>
        <v>280000</v>
      </c>
      <c r="G382" s="332">
        <v>5000000</v>
      </c>
      <c r="H382" s="332" t="s">
        <v>1359</v>
      </c>
      <c r="I382" s="338" t="s">
        <v>1388</v>
      </c>
      <c r="J382" s="21" t="s">
        <v>1389</v>
      </c>
      <c r="K382" s="332"/>
      <c r="L382" s="332"/>
      <c r="M382" s="4682" t="s">
        <v>1391</v>
      </c>
    </row>
    <row r="383" spans="1:15" ht="30" customHeight="1" x14ac:dyDescent="0.2">
      <c r="A383" s="4460"/>
      <c r="B383" s="4458"/>
      <c r="C383" s="4538"/>
      <c r="D383" s="4415"/>
      <c r="E383" s="4477"/>
      <c r="F383" s="4415"/>
      <c r="G383" s="370">
        <v>2000000</v>
      </c>
      <c r="H383" s="370" t="s">
        <v>1359</v>
      </c>
      <c r="I383" s="376" t="s">
        <v>1390</v>
      </c>
      <c r="J383" s="21" t="s">
        <v>1389</v>
      </c>
      <c r="K383" s="370"/>
      <c r="L383" s="370"/>
      <c r="M383" s="4683"/>
    </row>
    <row r="384" spans="1:15" ht="30" customHeight="1" x14ac:dyDescent="0.2">
      <c r="A384" s="4">
        <v>263</v>
      </c>
      <c r="B384" s="41" t="s">
        <v>572</v>
      </c>
      <c r="C384" s="344"/>
      <c r="D384" s="330"/>
      <c r="E384" s="40"/>
      <c r="F384" s="330">
        <f t="shared" si="22"/>
        <v>0</v>
      </c>
      <c r="G384" s="332">
        <v>4000000</v>
      </c>
      <c r="H384" s="332" t="s">
        <v>1944</v>
      </c>
      <c r="I384" s="338" t="s">
        <v>1947</v>
      </c>
      <c r="J384" s="21" t="s">
        <v>1948</v>
      </c>
      <c r="K384" s="332">
        <f>G384</f>
        <v>4000000</v>
      </c>
      <c r="L384" s="330">
        <f t="shared" si="25"/>
        <v>-4000000</v>
      </c>
      <c r="M384" s="162" t="s">
        <v>452</v>
      </c>
    </row>
    <row r="385" spans="1:13" ht="30" customHeight="1" x14ac:dyDescent="0.2">
      <c r="A385" s="4">
        <v>264</v>
      </c>
      <c r="B385" s="41" t="s">
        <v>119</v>
      </c>
      <c r="C385" s="344" t="s">
        <v>262</v>
      </c>
      <c r="D385" s="503"/>
      <c r="E385" s="40"/>
      <c r="F385" s="501">
        <v>2000000</v>
      </c>
      <c r="G385" s="332">
        <v>2000000</v>
      </c>
      <c r="H385" s="332" t="s">
        <v>1944</v>
      </c>
      <c r="I385" s="338" t="s">
        <v>1949</v>
      </c>
      <c r="J385" s="24" t="s">
        <v>1950</v>
      </c>
      <c r="K385" s="332">
        <f>G385</f>
        <v>2000000</v>
      </c>
      <c r="L385" s="332">
        <f t="shared" si="25"/>
        <v>0</v>
      </c>
      <c r="M385" s="341" t="s">
        <v>412</v>
      </c>
    </row>
    <row r="386" spans="1:13" ht="30" customHeight="1" x14ac:dyDescent="0.2">
      <c r="A386" s="4459">
        <v>265</v>
      </c>
      <c r="B386" s="4461" t="s">
        <v>121</v>
      </c>
      <c r="C386" s="4677"/>
      <c r="D386" s="4506">
        <v>800000000</v>
      </c>
      <c r="E386" s="4512">
        <v>7.0000000000000007E-2</v>
      </c>
      <c r="F386" s="4506">
        <f t="shared" ref="F386:F461" si="26">D386*E386</f>
        <v>56000000.000000007</v>
      </c>
      <c r="G386" s="793">
        <v>56000000</v>
      </c>
      <c r="H386" s="793" t="s">
        <v>1749</v>
      </c>
      <c r="I386" s="111" t="s">
        <v>1750</v>
      </c>
      <c r="J386" s="56" t="s">
        <v>501</v>
      </c>
      <c r="K386" s="4506">
        <f>G386+G387+G388+G389</f>
        <v>113000000</v>
      </c>
      <c r="L386" s="4506">
        <f t="shared" si="25"/>
        <v>-56999999.999999993</v>
      </c>
      <c r="M386" s="4652" t="s">
        <v>2335</v>
      </c>
    </row>
    <row r="387" spans="1:13" ht="30" customHeight="1" x14ac:dyDescent="0.2">
      <c r="A387" s="4464"/>
      <c r="B387" s="4462"/>
      <c r="C387" s="4678"/>
      <c r="D387" s="4507"/>
      <c r="E387" s="4513"/>
      <c r="F387" s="4507"/>
      <c r="G387" s="793">
        <v>50000000</v>
      </c>
      <c r="H387" s="793" t="s">
        <v>1994</v>
      </c>
      <c r="I387" s="111" t="s">
        <v>2007</v>
      </c>
      <c r="J387" s="56" t="s">
        <v>501</v>
      </c>
      <c r="K387" s="4507"/>
      <c r="L387" s="4507"/>
      <c r="M387" s="4685"/>
    </row>
    <row r="388" spans="1:13" ht="30" customHeight="1" x14ac:dyDescent="0.2">
      <c r="A388" s="4464"/>
      <c r="B388" s="4462"/>
      <c r="C388" s="4678"/>
      <c r="D388" s="4507"/>
      <c r="E388" s="4513"/>
      <c r="F388" s="4507"/>
      <c r="G388" s="793">
        <v>5000000</v>
      </c>
      <c r="H388" s="793" t="s">
        <v>2005</v>
      </c>
      <c r="I388" s="111" t="s">
        <v>2031</v>
      </c>
      <c r="J388" s="56" t="s">
        <v>501</v>
      </c>
      <c r="K388" s="4507"/>
      <c r="L388" s="4507"/>
      <c r="M388" s="4685"/>
    </row>
    <row r="389" spans="1:13" ht="30" customHeight="1" x14ac:dyDescent="0.2">
      <c r="A389" s="4464"/>
      <c r="B389" s="4462"/>
      <c r="C389" s="4678"/>
      <c r="D389" s="4507"/>
      <c r="E389" s="4514"/>
      <c r="F389" s="4508"/>
      <c r="G389" s="793">
        <v>2000000</v>
      </c>
      <c r="H389" s="793" t="s">
        <v>2005</v>
      </c>
      <c r="I389" s="111" t="s">
        <v>2032</v>
      </c>
      <c r="J389" s="56" t="s">
        <v>2033</v>
      </c>
      <c r="K389" s="4508"/>
      <c r="L389" s="4508"/>
      <c r="M389" s="4653"/>
    </row>
    <row r="390" spans="1:13" ht="30" customHeight="1" x14ac:dyDescent="0.2">
      <c r="A390" s="4460"/>
      <c r="B390" s="4463"/>
      <c r="C390" s="4679"/>
      <c r="D390" s="814">
        <v>961000000</v>
      </c>
      <c r="E390" s="813">
        <v>7.0000000000000007E-2</v>
      </c>
      <c r="F390" s="812">
        <f>D390*E390</f>
        <v>67270000</v>
      </c>
      <c r="G390" s="4623" t="s">
        <v>2357</v>
      </c>
      <c r="H390" s="4624"/>
      <c r="I390" s="4624"/>
      <c r="J390" s="4624"/>
      <c r="K390" s="4625"/>
      <c r="L390" s="812"/>
      <c r="M390" s="817" t="s">
        <v>2356</v>
      </c>
    </row>
    <row r="391" spans="1:13" ht="30" customHeight="1" x14ac:dyDescent="0.2">
      <c r="A391" s="4">
        <v>266</v>
      </c>
      <c r="B391" s="41" t="s">
        <v>1918</v>
      </c>
      <c r="C391" s="344"/>
      <c r="D391" s="332">
        <v>80000000</v>
      </c>
      <c r="E391" s="17">
        <v>4.4999999999999998E-2</v>
      </c>
      <c r="F391" s="332">
        <f t="shared" si="26"/>
        <v>3600000</v>
      </c>
      <c r="G391" s="332">
        <v>3600000</v>
      </c>
      <c r="H391" s="332" t="s">
        <v>1881</v>
      </c>
      <c r="I391" s="338" t="s">
        <v>1919</v>
      </c>
      <c r="J391" s="18" t="s">
        <v>1920</v>
      </c>
      <c r="K391" s="332">
        <f>G391</f>
        <v>3600000</v>
      </c>
      <c r="L391" s="332">
        <f t="shared" si="25"/>
        <v>0</v>
      </c>
      <c r="M391" s="41"/>
    </row>
    <row r="392" spans="1:13" ht="30" customHeight="1" x14ac:dyDescent="0.2">
      <c r="A392" s="4">
        <v>267</v>
      </c>
      <c r="B392" s="41" t="s">
        <v>497</v>
      </c>
      <c r="C392" s="344" t="s">
        <v>371</v>
      </c>
      <c r="D392" s="332">
        <v>250000000</v>
      </c>
      <c r="E392" s="17">
        <v>0.04</v>
      </c>
      <c r="F392" s="332">
        <f t="shared" si="26"/>
        <v>10000000</v>
      </c>
      <c r="G392" s="4469" t="s">
        <v>2889</v>
      </c>
      <c r="H392" s="4470"/>
      <c r="I392" s="4470"/>
      <c r="J392" s="4470"/>
      <c r="K392" s="4471"/>
      <c r="L392" s="332">
        <f t="shared" si="25"/>
        <v>10000000</v>
      </c>
      <c r="M392" s="41"/>
    </row>
    <row r="393" spans="1:13" ht="30" customHeight="1" x14ac:dyDescent="0.2">
      <c r="A393" s="4">
        <v>268</v>
      </c>
      <c r="B393" s="41" t="s">
        <v>391</v>
      </c>
      <c r="C393" s="344" t="s">
        <v>392</v>
      </c>
      <c r="D393" s="332">
        <v>130000000</v>
      </c>
      <c r="E393" s="17">
        <v>4.4999999999999998E-2</v>
      </c>
      <c r="F393" s="332">
        <f t="shared" si="26"/>
        <v>5850000</v>
      </c>
      <c r="G393" s="332">
        <v>5850000</v>
      </c>
      <c r="H393" s="332" t="s">
        <v>2054</v>
      </c>
      <c r="I393" s="338" t="s">
        <v>2055</v>
      </c>
      <c r="J393" s="18" t="s">
        <v>2056</v>
      </c>
      <c r="K393" s="332">
        <f>G393</f>
        <v>5850000</v>
      </c>
      <c r="L393" s="332">
        <f t="shared" si="25"/>
        <v>0</v>
      </c>
      <c r="M393" s="41"/>
    </row>
    <row r="394" spans="1:13" ht="30" customHeight="1" x14ac:dyDescent="0.2">
      <c r="A394" s="4">
        <v>269</v>
      </c>
      <c r="B394" s="41" t="s">
        <v>123</v>
      </c>
      <c r="C394" s="344"/>
      <c r="D394" s="332">
        <v>200000000</v>
      </c>
      <c r="E394" s="17">
        <v>0.05</v>
      </c>
      <c r="F394" s="332">
        <f t="shared" si="26"/>
        <v>10000000</v>
      </c>
      <c r="G394" s="332">
        <v>10000000</v>
      </c>
      <c r="H394" s="332" t="s">
        <v>1749</v>
      </c>
      <c r="I394" s="338" t="s">
        <v>1779</v>
      </c>
      <c r="J394" s="21" t="s">
        <v>1780</v>
      </c>
      <c r="K394" s="332">
        <f>G394</f>
        <v>10000000</v>
      </c>
      <c r="L394" s="332">
        <f t="shared" si="25"/>
        <v>0</v>
      </c>
      <c r="M394" s="41"/>
    </row>
    <row r="395" spans="1:13" ht="30" customHeight="1" x14ac:dyDescent="0.2">
      <c r="A395" s="4">
        <v>270</v>
      </c>
      <c r="B395" s="41" t="s">
        <v>124</v>
      </c>
      <c r="C395" s="344"/>
      <c r="D395" s="332">
        <v>20000000</v>
      </c>
      <c r="E395" s="17">
        <v>5.5E-2</v>
      </c>
      <c r="F395" s="332">
        <f t="shared" si="26"/>
        <v>1100000</v>
      </c>
      <c r="G395" s="332">
        <v>1100000</v>
      </c>
      <c r="H395" s="332" t="s">
        <v>1881</v>
      </c>
      <c r="I395" s="338" t="s">
        <v>1882</v>
      </c>
      <c r="J395" s="21" t="s">
        <v>492</v>
      </c>
      <c r="K395" s="332">
        <f>G395</f>
        <v>1100000</v>
      </c>
      <c r="L395" s="332">
        <f t="shared" si="25"/>
        <v>0</v>
      </c>
      <c r="M395" s="41"/>
    </row>
    <row r="396" spans="1:13" ht="30" customHeight="1" x14ac:dyDescent="0.2">
      <c r="A396" s="4">
        <v>271</v>
      </c>
      <c r="B396" s="19" t="s">
        <v>125</v>
      </c>
      <c r="C396" s="379" t="s">
        <v>359</v>
      </c>
      <c r="D396" s="359">
        <v>40000000</v>
      </c>
      <c r="E396" s="17">
        <v>5.5E-2</v>
      </c>
      <c r="F396" s="359">
        <f t="shared" si="26"/>
        <v>2200000</v>
      </c>
      <c r="G396" s="359">
        <v>2200000</v>
      </c>
      <c r="H396" s="359" t="s">
        <v>1782</v>
      </c>
      <c r="I396" s="381" t="s">
        <v>1835</v>
      </c>
      <c r="J396" s="18" t="s">
        <v>503</v>
      </c>
      <c r="K396" s="536">
        <f>G396</f>
        <v>2200000</v>
      </c>
      <c r="L396" s="359">
        <f t="shared" si="25"/>
        <v>0</v>
      </c>
      <c r="M396" s="41"/>
    </row>
    <row r="397" spans="1:13" ht="30" customHeight="1" x14ac:dyDescent="0.2">
      <c r="A397" s="4459">
        <v>272</v>
      </c>
      <c r="B397" s="4457" t="s">
        <v>126</v>
      </c>
      <c r="C397" s="4537" t="s">
        <v>1287</v>
      </c>
      <c r="D397" s="838">
        <v>560000000</v>
      </c>
      <c r="E397" s="353">
        <v>5.5E-2</v>
      </c>
      <c r="F397" s="519">
        <f t="shared" si="26"/>
        <v>30800000</v>
      </c>
      <c r="G397" s="332">
        <v>5000000</v>
      </c>
      <c r="H397" s="332" t="s">
        <v>1405</v>
      </c>
      <c r="I397" s="32" t="s">
        <v>1523</v>
      </c>
      <c r="J397" s="21" t="s">
        <v>1524</v>
      </c>
      <c r="K397" s="4322">
        <f>G397+G398</f>
        <v>35000000</v>
      </c>
      <c r="L397" s="4322">
        <f>(F397+F398+F399+F400)-K397</f>
        <v>3400000</v>
      </c>
      <c r="M397" s="345" t="s">
        <v>2423</v>
      </c>
    </row>
    <row r="398" spans="1:13" ht="30" customHeight="1" x14ac:dyDescent="0.2">
      <c r="A398" s="4464"/>
      <c r="B398" s="4488"/>
      <c r="C398" s="4540"/>
      <c r="D398" s="838">
        <v>65000000</v>
      </c>
      <c r="E398" s="520">
        <v>0.06</v>
      </c>
      <c r="F398" s="519">
        <f>D398*E398</f>
        <v>3900000</v>
      </c>
      <c r="G398" s="518">
        <v>30000000</v>
      </c>
      <c r="H398" s="518" t="s">
        <v>1994</v>
      </c>
      <c r="I398" s="522" t="s">
        <v>2009</v>
      </c>
      <c r="J398" s="21" t="s">
        <v>2010</v>
      </c>
      <c r="K398" s="4322"/>
      <c r="L398" s="4322"/>
      <c r="M398" s="736" t="s">
        <v>2422</v>
      </c>
    </row>
    <row r="399" spans="1:13" ht="30" customHeight="1" x14ac:dyDescent="0.2">
      <c r="A399" s="4464"/>
      <c r="B399" s="4488"/>
      <c r="C399" s="4540"/>
      <c r="D399" s="854">
        <v>40000000</v>
      </c>
      <c r="E399" s="853">
        <v>0.06</v>
      </c>
      <c r="F399" s="854">
        <f>D399*E399</f>
        <v>2400000</v>
      </c>
      <c r="G399" s="852">
        <v>40000000</v>
      </c>
      <c r="H399" s="852" t="s">
        <v>2214</v>
      </c>
      <c r="I399" s="858" t="s">
        <v>2215</v>
      </c>
      <c r="J399" s="21" t="s">
        <v>2216</v>
      </c>
      <c r="K399" s="855">
        <f>G399</f>
        <v>40000000</v>
      </c>
      <c r="L399" s="855">
        <f>D399-K399</f>
        <v>0</v>
      </c>
      <c r="M399" s="736"/>
    </row>
    <row r="400" spans="1:13" ht="30" customHeight="1" x14ac:dyDescent="0.2">
      <c r="A400" s="4464"/>
      <c r="B400" s="4488"/>
      <c r="C400" s="4540"/>
      <c r="D400" s="4303" t="s">
        <v>1787</v>
      </c>
      <c r="E400" s="4355"/>
      <c r="F400" s="519">
        <v>1300000</v>
      </c>
      <c r="G400" s="521"/>
      <c r="H400" s="541"/>
      <c r="I400" s="542"/>
      <c r="J400" s="543"/>
      <c r="K400" s="178"/>
      <c r="L400" s="178"/>
      <c r="M400" s="736"/>
    </row>
    <row r="401" spans="1:13" ht="30" customHeight="1" x14ac:dyDescent="0.2">
      <c r="A401" s="4464"/>
      <c r="B401" s="4488"/>
      <c r="C401" s="4540"/>
      <c r="D401" s="4303" t="s">
        <v>2426</v>
      </c>
      <c r="E401" s="4324"/>
      <c r="F401" s="4324"/>
      <c r="G401" s="4324"/>
      <c r="H401" s="4324"/>
      <c r="I401" s="4324"/>
      <c r="J401" s="4355"/>
      <c r="K401" s="178"/>
      <c r="L401" s="178"/>
      <c r="M401" s="736"/>
    </row>
    <row r="402" spans="1:13" ht="30" customHeight="1" x14ac:dyDescent="0.2">
      <c r="A402" s="4464"/>
      <c r="B402" s="4488"/>
      <c r="C402" s="4540"/>
      <c r="D402" s="332">
        <v>45000000</v>
      </c>
      <c r="E402" s="331">
        <v>0.06</v>
      </c>
      <c r="F402" s="332">
        <f>D402*E402</f>
        <v>2700000</v>
      </c>
      <c r="G402" s="4593" t="s">
        <v>2002</v>
      </c>
      <c r="H402" s="4594"/>
      <c r="I402" s="4594"/>
      <c r="J402" s="4595"/>
      <c r="K402" s="7"/>
      <c r="L402" s="7"/>
      <c r="M402" s="711"/>
    </row>
    <row r="403" spans="1:13" ht="30" customHeight="1" x14ac:dyDescent="0.2">
      <c r="A403" s="4460"/>
      <c r="B403" s="4458"/>
      <c r="C403" s="4538"/>
      <c r="D403" s="837">
        <v>100000000</v>
      </c>
      <c r="E403" s="836">
        <v>0.06</v>
      </c>
      <c r="F403" s="837">
        <f>D403*E403</f>
        <v>6000000</v>
      </c>
      <c r="G403" s="4593" t="s">
        <v>2424</v>
      </c>
      <c r="H403" s="4594"/>
      <c r="I403" s="4594"/>
      <c r="J403" s="4595"/>
      <c r="K403" s="7"/>
      <c r="L403" s="7"/>
      <c r="M403" s="711" t="s">
        <v>2429</v>
      </c>
    </row>
    <row r="404" spans="1:13" ht="30" customHeight="1" x14ac:dyDescent="0.2">
      <c r="A404" s="4459"/>
      <c r="B404" s="4457" t="s">
        <v>2425</v>
      </c>
      <c r="C404" s="4537" t="s">
        <v>1287</v>
      </c>
      <c r="D404" s="864">
        <v>520000000</v>
      </c>
      <c r="E404" s="865">
        <v>5.5E-2</v>
      </c>
      <c r="F404" s="864">
        <f>D404*E404</f>
        <v>28600000</v>
      </c>
      <c r="G404" s="866"/>
      <c r="H404" s="866"/>
      <c r="I404" s="866"/>
      <c r="J404" s="866"/>
      <c r="K404" s="867"/>
      <c r="L404" s="867"/>
      <c r="M404" s="4669" t="s">
        <v>2427</v>
      </c>
    </row>
    <row r="405" spans="1:13" ht="30" customHeight="1" x14ac:dyDescent="0.2">
      <c r="A405" s="4464"/>
      <c r="B405" s="4488"/>
      <c r="C405" s="4540"/>
      <c r="D405" s="864">
        <v>65000000</v>
      </c>
      <c r="E405" s="865">
        <v>0.06</v>
      </c>
      <c r="F405" s="864">
        <f>D405*E405</f>
        <v>3900000</v>
      </c>
      <c r="G405" s="866"/>
      <c r="H405" s="866"/>
      <c r="I405" s="866"/>
      <c r="J405" s="866"/>
      <c r="K405" s="867"/>
      <c r="L405" s="867"/>
      <c r="M405" s="4670"/>
    </row>
    <row r="406" spans="1:13" ht="30" customHeight="1" x14ac:dyDescent="0.2">
      <c r="A406" s="4464"/>
      <c r="B406" s="4488"/>
      <c r="C406" s="4540"/>
      <c r="D406" s="864">
        <v>85000000</v>
      </c>
      <c r="E406" s="865">
        <v>0.06</v>
      </c>
      <c r="F406" s="864">
        <f>D406*E406</f>
        <v>5100000</v>
      </c>
      <c r="G406" s="866"/>
      <c r="H406" s="866"/>
      <c r="I406" s="866"/>
      <c r="J406" s="866"/>
      <c r="K406" s="867"/>
      <c r="L406" s="867"/>
      <c r="M406" s="4670"/>
    </row>
    <row r="407" spans="1:13" ht="30" customHeight="1" x14ac:dyDescent="0.2">
      <c r="A407" s="4464"/>
      <c r="B407" s="4488"/>
      <c r="C407" s="4540"/>
      <c r="D407" s="4601" t="s">
        <v>1787</v>
      </c>
      <c r="E407" s="4602"/>
      <c r="F407" s="864">
        <v>1300000</v>
      </c>
      <c r="G407" s="866"/>
      <c r="H407" s="866"/>
      <c r="I407" s="866"/>
      <c r="J407" s="866"/>
      <c r="K407" s="867"/>
      <c r="L407" s="867"/>
      <c r="M407" s="4671"/>
    </row>
    <row r="408" spans="1:13" ht="30" customHeight="1" x14ac:dyDescent="0.2">
      <c r="A408" s="4460"/>
      <c r="B408" s="4458"/>
      <c r="C408" s="4538"/>
      <c r="D408" s="868">
        <v>100000000</v>
      </c>
      <c r="E408" s="869">
        <v>0.06</v>
      </c>
      <c r="F408" s="868">
        <f>D408*E408</f>
        <v>6000000</v>
      </c>
      <c r="G408" s="870"/>
      <c r="H408" s="870"/>
      <c r="I408" s="870"/>
      <c r="J408" s="870"/>
      <c r="K408" s="871"/>
      <c r="L408" s="871"/>
      <c r="M408" s="872" t="s">
        <v>2428</v>
      </c>
    </row>
    <row r="409" spans="1:13" ht="30" customHeight="1" x14ac:dyDescent="0.2">
      <c r="A409" s="4">
        <v>273</v>
      </c>
      <c r="B409" s="41" t="s">
        <v>127</v>
      </c>
      <c r="C409" s="344" t="s">
        <v>1291</v>
      </c>
      <c r="D409" s="332">
        <v>20000000</v>
      </c>
      <c r="E409" s="17">
        <v>0.05</v>
      </c>
      <c r="F409" s="332">
        <f t="shared" si="26"/>
        <v>1000000</v>
      </c>
      <c r="G409" s="332">
        <v>1000000</v>
      </c>
      <c r="H409" s="332" t="s">
        <v>2054</v>
      </c>
      <c r="I409" s="338" t="s">
        <v>2064</v>
      </c>
      <c r="J409" s="21" t="s">
        <v>480</v>
      </c>
      <c r="K409" s="332">
        <f t="shared" ref="K409:K414" si="27">G409</f>
        <v>1000000</v>
      </c>
      <c r="L409" s="332">
        <f t="shared" si="25"/>
        <v>0</v>
      </c>
      <c r="M409" s="41"/>
    </row>
    <row r="410" spans="1:13" ht="30" customHeight="1" x14ac:dyDescent="0.2">
      <c r="A410" s="4">
        <v>274</v>
      </c>
      <c r="B410" s="41" t="s">
        <v>128</v>
      </c>
      <c r="C410" s="344"/>
      <c r="D410" s="332">
        <v>8000000</v>
      </c>
      <c r="E410" s="17">
        <v>0.05</v>
      </c>
      <c r="F410" s="332">
        <f t="shared" si="26"/>
        <v>400000</v>
      </c>
      <c r="G410" s="332">
        <v>400000</v>
      </c>
      <c r="H410" s="332" t="s">
        <v>1944</v>
      </c>
      <c r="I410" s="338" t="s">
        <v>1986</v>
      </c>
      <c r="J410" s="21" t="s">
        <v>388</v>
      </c>
      <c r="K410" s="332">
        <f t="shared" si="27"/>
        <v>400000</v>
      </c>
      <c r="L410" s="332">
        <f t="shared" si="25"/>
        <v>0</v>
      </c>
      <c r="M410" s="41"/>
    </row>
    <row r="411" spans="1:13" ht="30" customHeight="1" x14ac:dyDescent="0.2">
      <c r="A411" s="4">
        <v>275</v>
      </c>
      <c r="B411" s="41" t="s">
        <v>129</v>
      </c>
      <c r="C411" s="344" t="s">
        <v>1291</v>
      </c>
      <c r="D411" s="332">
        <v>130000000</v>
      </c>
      <c r="E411" s="17">
        <v>0.05</v>
      </c>
      <c r="F411" s="332">
        <f t="shared" si="26"/>
        <v>6500000</v>
      </c>
      <c r="G411" s="332">
        <v>6500000</v>
      </c>
      <c r="H411" s="332" t="s">
        <v>2165</v>
      </c>
      <c r="I411" s="338" t="s">
        <v>2183</v>
      </c>
      <c r="J411" s="21" t="s">
        <v>2184</v>
      </c>
      <c r="K411" s="332">
        <f t="shared" si="27"/>
        <v>6500000</v>
      </c>
      <c r="L411" s="332">
        <f t="shared" si="25"/>
        <v>0</v>
      </c>
      <c r="M411" s="41"/>
    </row>
    <row r="412" spans="1:13" ht="30" customHeight="1" x14ac:dyDescent="0.2">
      <c r="A412" s="4">
        <v>276</v>
      </c>
      <c r="B412" s="41" t="s">
        <v>130</v>
      </c>
      <c r="C412" s="344"/>
      <c r="D412" s="332">
        <v>95000000</v>
      </c>
      <c r="E412" s="17">
        <v>5.2999999999999999E-2</v>
      </c>
      <c r="F412" s="332">
        <v>5000000</v>
      </c>
      <c r="G412" s="332">
        <v>5000000</v>
      </c>
      <c r="H412" s="332" t="s">
        <v>2054</v>
      </c>
      <c r="I412" s="338" t="s">
        <v>2067</v>
      </c>
      <c r="J412" s="21" t="s">
        <v>2068</v>
      </c>
      <c r="K412" s="332">
        <f t="shared" si="27"/>
        <v>5000000</v>
      </c>
      <c r="L412" s="332">
        <f t="shared" si="25"/>
        <v>0</v>
      </c>
      <c r="M412" s="41"/>
    </row>
    <row r="413" spans="1:13" ht="30" customHeight="1" x14ac:dyDescent="0.2">
      <c r="A413" s="4">
        <v>277</v>
      </c>
      <c r="B413" s="41" t="s">
        <v>131</v>
      </c>
      <c r="C413" s="344"/>
      <c r="D413" s="332">
        <v>200000000</v>
      </c>
      <c r="E413" s="17">
        <v>0.05</v>
      </c>
      <c r="F413" s="332">
        <f t="shared" si="26"/>
        <v>10000000</v>
      </c>
      <c r="G413" s="332">
        <v>10000000</v>
      </c>
      <c r="H413" s="332" t="s">
        <v>2147</v>
      </c>
      <c r="I413" s="338" t="s">
        <v>2151</v>
      </c>
      <c r="J413" s="21" t="s">
        <v>2152</v>
      </c>
      <c r="K413" s="332">
        <f t="shared" si="27"/>
        <v>10000000</v>
      </c>
      <c r="L413" s="332">
        <f t="shared" si="25"/>
        <v>0</v>
      </c>
      <c r="M413" s="41"/>
    </row>
    <row r="414" spans="1:13" ht="30" customHeight="1" x14ac:dyDescent="0.2">
      <c r="A414" s="4459">
        <v>278</v>
      </c>
      <c r="B414" s="4457" t="s">
        <v>620</v>
      </c>
      <c r="C414" s="4537"/>
      <c r="D414" s="669">
        <v>30000000</v>
      </c>
      <c r="E414" s="676">
        <v>4.4999999999999998E-2</v>
      </c>
      <c r="F414" s="669">
        <f>D414*E414</f>
        <v>1350000</v>
      </c>
      <c r="G414" s="4413">
        <v>1750000</v>
      </c>
      <c r="H414" s="4413" t="s">
        <v>2054</v>
      </c>
      <c r="I414" s="4555" t="s">
        <v>2065</v>
      </c>
      <c r="J414" s="4478" t="s">
        <v>2066</v>
      </c>
      <c r="K414" s="4413">
        <f t="shared" si="27"/>
        <v>1750000</v>
      </c>
      <c r="L414" s="4413">
        <f>(F414+F415)-K414</f>
        <v>0</v>
      </c>
      <c r="M414" s="4599"/>
    </row>
    <row r="415" spans="1:13" ht="30" customHeight="1" x14ac:dyDescent="0.2">
      <c r="A415" s="4460"/>
      <c r="B415" s="4458"/>
      <c r="C415" s="4538"/>
      <c r="D415" s="669">
        <v>10000000</v>
      </c>
      <c r="E415" s="676">
        <v>0.04</v>
      </c>
      <c r="F415" s="669">
        <f>D415*E415</f>
        <v>400000</v>
      </c>
      <c r="G415" s="4415"/>
      <c r="H415" s="4415"/>
      <c r="I415" s="4557"/>
      <c r="J415" s="4479"/>
      <c r="K415" s="4415"/>
      <c r="L415" s="4415"/>
      <c r="M415" s="4607"/>
    </row>
    <row r="416" spans="1:13" ht="30" customHeight="1" x14ac:dyDescent="0.2">
      <c r="A416" s="4">
        <v>279</v>
      </c>
      <c r="B416" s="41" t="s">
        <v>132</v>
      </c>
      <c r="C416" s="344"/>
      <c r="D416" s="332">
        <v>11000000</v>
      </c>
      <c r="E416" s="17">
        <v>4.4999999999999998E-2</v>
      </c>
      <c r="F416" s="332">
        <v>500000</v>
      </c>
      <c r="G416" s="332">
        <v>500000</v>
      </c>
      <c r="H416" s="332" t="s">
        <v>1594</v>
      </c>
      <c r="I416" s="338" t="s">
        <v>1608</v>
      </c>
      <c r="J416" s="21" t="s">
        <v>730</v>
      </c>
      <c r="K416" s="332">
        <f>G416</f>
        <v>500000</v>
      </c>
      <c r="L416" s="332">
        <f t="shared" si="25"/>
        <v>0</v>
      </c>
      <c r="M416" s="41"/>
    </row>
    <row r="417" spans="1:13" ht="30" customHeight="1" x14ac:dyDescent="0.2">
      <c r="A417" s="4">
        <v>280</v>
      </c>
      <c r="B417" s="4457" t="s">
        <v>458</v>
      </c>
      <c r="C417" s="4537"/>
      <c r="D417" s="4506"/>
      <c r="E417" s="4512"/>
      <c r="F417" s="4506">
        <f t="shared" si="26"/>
        <v>0</v>
      </c>
      <c r="G417" s="332">
        <v>1000000</v>
      </c>
      <c r="H417" s="332" t="s">
        <v>2165</v>
      </c>
      <c r="I417" s="338" t="s">
        <v>2176</v>
      </c>
      <c r="J417" s="24" t="s">
        <v>2177</v>
      </c>
      <c r="K417" s="4413">
        <f>G417+G418</f>
        <v>3000000</v>
      </c>
      <c r="L417" s="4506">
        <f t="shared" si="25"/>
        <v>-3000000</v>
      </c>
      <c r="M417" s="4599"/>
    </row>
    <row r="418" spans="1:13" ht="30" customHeight="1" x14ac:dyDescent="0.2">
      <c r="A418" s="689"/>
      <c r="B418" s="4458"/>
      <c r="C418" s="4538"/>
      <c r="D418" s="4508"/>
      <c r="E418" s="4514"/>
      <c r="F418" s="4508"/>
      <c r="G418" s="690">
        <v>2000000</v>
      </c>
      <c r="H418" s="690" t="s">
        <v>2165</v>
      </c>
      <c r="I418" s="700" t="s">
        <v>2178</v>
      </c>
      <c r="J418" s="24" t="s">
        <v>2177</v>
      </c>
      <c r="K418" s="4415"/>
      <c r="L418" s="4508"/>
      <c r="M418" s="4607"/>
    </row>
    <row r="419" spans="1:13" ht="30" customHeight="1" x14ac:dyDescent="0.2">
      <c r="A419" s="668">
        <v>281</v>
      </c>
      <c r="B419" s="179" t="s">
        <v>133</v>
      </c>
      <c r="C419" s="671" t="s">
        <v>1290</v>
      </c>
      <c r="D419" s="332">
        <v>40000000</v>
      </c>
      <c r="E419" s="17">
        <v>0.05</v>
      </c>
      <c r="F419" s="332">
        <f t="shared" si="26"/>
        <v>2000000</v>
      </c>
      <c r="G419" s="669">
        <v>1600000</v>
      </c>
      <c r="H419" s="669" t="s">
        <v>2072</v>
      </c>
      <c r="I419" s="673" t="s">
        <v>2084</v>
      </c>
      <c r="J419" s="233" t="s">
        <v>635</v>
      </c>
      <c r="K419" s="672">
        <f>G419</f>
        <v>1600000</v>
      </c>
      <c r="L419" s="332">
        <f>F419-K419</f>
        <v>400000</v>
      </c>
      <c r="M419" s="13" t="s">
        <v>1248</v>
      </c>
    </row>
    <row r="420" spans="1:13" ht="30" customHeight="1" x14ac:dyDescent="0.2">
      <c r="A420" s="4">
        <v>282</v>
      </c>
      <c r="B420" s="41" t="s">
        <v>1024</v>
      </c>
      <c r="C420" s="344"/>
      <c r="D420" s="332">
        <v>20000000</v>
      </c>
      <c r="E420" s="17">
        <v>0.04</v>
      </c>
      <c r="F420" s="332">
        <f t="shared" si="26"/>
        <v>800000</v>
      </c>
      <c r="G420" s="332">
        <v>800000</v>
      </c>
      <c r="H420" s="332" t="s">
        <v>2441</v>
      </c>
      <c r="I420" s="338" t="s">
        <v>2452</v>
      </c>
      <c r="J420" s="32" t="s">
        <v>2453</v>
      </c>
      <c r="K420" s="332">
        <f>G420</f>
        <v>800000</v>
      </c>
      <c r="L420" s="332">
        <f t="shared" si="25"/>
        <v>0</v>
      </c>
      <c r="M420" s="41"/>
    </row>
    <row r="421" spans="1:13" ht="30" customHeight="1" x14ac:dyDescent="0.2">
      <c r="A421" s="4459">
        <v>283</v>
      </c>
      <c r="B421" s="4457" t="s">
        <v>134</v>
      </c>
      <c r="C421" s="4537" t="s">
        <v>1294</v>
      </c>
      <c r="D421" s="760">
        <v>31000000</v>
      </c>
      <c r="E421" s="762">
        <v>0.05</v>
      </c>
      <c r="F421" s="359">
        <f>D421*E421</f>
        <v>1550000</v>
      </c>
      <c r="G421" s="332">
        <v>1505000</v>
      </c>
      <c r="H421" s="332" t="s">
        <v>2072</v>
      </c>
      <c r="I421" s="338" t="s">
        <v>2145</v>
      </c>
      <c r="J421" s="21" t="s">
        <v>2146</v>
      </c>
      <c r="K421" s="227">
        <f>G421</f>
        <v>1505000</v>
      </c>
      <c r="L421" s="349">
        <f>F421-K421</f>
        <v>45000</v>
      </c>
      <c r="M421" s="764" t="s">
        <v>2272</v>
      </c>
    </row>
    <row r="422" spans="1:13" ht="30" customHeight="1" x14ac:dyDescent="0.2">
      <c r="A422" s="4460"/>
      <c r="B422" s="4458"/>
      <c r="C422" s="4538"/>
      <c r="D422" s="758">
        <v>37093000</v>
      </c>
      <c r="E422" s="756">
        <v>0.05</v>
      </c>
      <c r="F422" s="758">
        <f>D422*E422</f>
        <v>1854650</v>
      </c>
      <c r="G422" s="4629" t="s">
        <v>2203</v>
      </c>
      <c r="H422" s="4630"/>
      <c r="I422" s="4630"/>
      <c r="J422" s="4630"/>
      <c r="K422" s="4630"/>
      <c r="L422" s="4631"/>
      <c r="M422" s="523" t="s">
        <v>2273</v>
      </c>
    </row>
    <row r="423" spans="1:13" ht="30" customHeight="1" x14ac:dyDescent="0.2">
      <c r="A423" s="4459">
        <v>284</v>
      </c>
      <c r="B423" s="4626" t="s">
        <v>1158</v>
      </c>
      <c r="C423" s="4537" t="s">
        <v>371</v>
      </c>
      <c r="D423" s="332">
        <v>115000000</v>
      </c>
      <c r="E423" s="353">
        <v>4.4999999999999998E-2</v>
      </c>
      <c r="F423" s="332">
        <f t="shared" si="26"/>
        <v>5175000</v>
      </c>
      <c r="G423" s="4413">
        <v>8175000</v>
      </c>
      <c r="H423" s="4413" t="s">
        <v>2214</v>
      </c>
      <c r="I423" s="4555" t="s">
        <v>2218</v>
      </c>
      <c r="J423" s="4478" t="s">
        <v>2219</v>
      </c>
      <c r="K423" s="4322">
        <f>G423</f>
        <v>8175000</v>
      </c>
      <c r="L423" s="4413">
        <f>(F423+F424)-K423</f>
        <v>0</v>
      </c>
      <c r="M423" s="4571"/>
    </row>
    <row r="424" spans="1:13" ht="30" customHeight="1" x14ac:dyDescent="0.2">
      <c r="A424" s="4460"/>
      <c r="B424" s="4627"/>
      <c r="C424" s="4540"/>
      <c r="D424" s="332">
        <v>60000000</v>
      </c>
      <c r="E424" s="17">
        <v>0.05</v>
      </c>
      <c r="F424" s="332">
        <f t="shared" si="26"/>
        <v>3000000</v>
      </c>
      <c r="G424" s="4415"/>
      <c r="H424" s="4414"/>
      <c r="I424" s="4556"/>
      <c r="J424" s="4520"/>
      <c r="K424" s="4322"/>
      <c r="L424" s="4415"/>
      <c r="M424" s="4572"/>
    </row>
    <row r="425" spans="1:13" ht="30" customHeight="1" x14ac:dyDescent="0.2">
      <c r="A425" s="723"/>
      <c r="B425" s="4628"/>
      <c r="C425" s="4538"/>
      <c r="D425" s="4303" t="s">
        <v>1236</v>
      </c>
      <c r="E425" s="4324"/>
      <c r="F425" s="4355"/>
      <c r="G425" s="724">
        <v>5000000</v>
      </c>
      <c r="H425" s="4415"/>
      <c r="I425" s="4557"/>
      <c r="J425" s="4479"/>
      <c r="K425" s="724">
        <f>G425</f>
        <v>5000000</v>
      </c>
      <c r="L425" s="724"/>
      <c r="M425" s="727" t="s">
        <v>2271</v>
      </c>
    </row>
    <row r="426" spans="1:13" ht="30" customHeight="1" x14ac:dyDescent="0.2">
      <c r="A426" s="4">
        <v>285</v>
      </c>
      <c r="B426" s="41" t="s">
        <v>135</v>
      </c>
      <c r="C426" s="344" t="s">
        <v>2278</v>
      </c>
      <c r="D426" s="332">
        <v>100000000</v>
      </c>
      <c r="E426" s="17">
        <v>7.0000000000000007E-2</v>
      </c>
      <c r="F426" s="332">
        <f t="shared" si="26"/>
        <v>7000000.0000000009</v>
      </c>
      <c r="G426" s="332">
        <v>7000000</v>
      </c>
      <c r="H426" s="332" t="s">
        <v>2165</v>
      </c>
      <c r="I426" s="338" t="s">
        <v>2209</v>
      </c>
      <c r="J426" s="21" t="s">
        <v>2210</v>
      </c>
      <c r="K426" s="332">
        <f>G426</f>
        <v>7000000</v>
      </c>
      <c r="L426" s="332">
        <f t="shared" si="25"/>
        <v>0</v>
      </c>
      <c r="M426" s="41"/>
    </row>
    <row r="427" spans="1:13" ht="30" customHeight="1" x14ac:dyDescent="0.2">
      <c r="A427" s="4459">
        <v>286</v>
      </c>
      <c r="B427" s="4457" t="s">
        <v>1622</v>
      </c>
      <c r="C427" s="4537"/>
      <c r="D427" s="4413">
        <v>35000000</v>
      </c>
      <c r="E427" s="4476">
        <v>0.04</v>
      </c>
      <c r="F427" s="4413">
        <f t="shared" si="26"/>
        <v>1400000</v>
      </c>
      <c r="G427" s="332">
        <v>400000</v>
      </c>
      <c r="H427" s="332" t="s">
        <v>1616</v>
      </c>
      <c r="I427" s="338" t="s">
        <v>1623</v>
      </c>
      <c r="J427" s="18" t="s">
        <v>307</v>
      </c>
      <c r="K427" s="4413">
        <f>G427+G428</f>
        <v>1400000</v>
      </c>
      <c r="L427" s="4413">
        <f t="shared" si="25"/>
        <v>0</v>
      </c>
      <c r="M427" s="4599"/>
    </row>
    <row r="428" spans="1:13" ht="30" customHeight="1" x14ac:dyDescent="0.2">
      <c r="A428" s="4460"/>
      <c r="B428" s="4458"/>
      <c r="C428" s="4538"/>
      <c r="D428" s="4415"/>
      <c r="E428" s="4477"/>
      <c r="F428" s="4415"/>
      <c r="G428" s="455">
        <v>1000000</v>
      </c>
      <c r="H428" s="455" t="s">
        <v>1616</v>
      </c>
      <c r="I428" s="460" t="s">
        <v>1627</v>
      </c>
      <c r="J428" s="96" t="s">
        <v>1628</v>
      </c>
      <c r="K428" s="4415"/>
      <c r="L428" s="4415"/>
      <c r="M428" s="4607"/>
    </row>
    <row r="429" spans="1:13" ht="30" customHeight="1" x14ac:dyDescent="0.2">
      <c r="A429" s="4459">
        <v>287</v>
      </c>
      <c r="B429" s="4457" t="s">
        <v>137</v>
      </c>
      <c r="C429" s="4537"/>
      <c r="D429" s="332">
        <v>15000000</v>
      </c>
      <c r="E429" s="17">
        <v>0.05</v>
      </c>
      <c r="F429" s="332">
        <f t="shared" si="26"/>
        <v>750000</v>
      </c>
      <c r="G429" s="332">
        <v>2475000</v>
      </c>
      <c r="H429" s="332" t="s">
        <v>2147</v>
      </c>
      <c r="I429" s="338" t="s">
        <v>2170</v>
      </c>
      <c r="J429" s="21" t="s">
        <v>2171</v>
      </c>
      <c r="K429" s="332">
        <f t="shared" ref="K429:K435" si="28">G429</f>
        <v>2475000</v>
      </c>
      <c r="L429" s="4413">
        <f>2475000-G429</f>
        <v>0</v>
      </c>
      <c r="M429" s="4472"/>
    </row>
    <row r="430" spans="1:13" ht="30" customHeight="1" x14ac:dyDescent="0.2">
      <c r="A430" s="4460"/>
      <c r="B430" s="4458"/>
      <c r="C430" s="4538"/>
      <c r="D430" s="1230">
        <v>45000000</v>
      </c>
      <c r="E430" s="1235">
        <v>0.05</v>
      </c>
      <c r="F430" s="1230">
        <f>D430*E430</f>
        <v>2250000</v>
      </c>
      <c r="G430" s="4469" t="s">
        <v>2980</v>
      </c>
      <c r="H430" s="4470"/>
      <c r="I430" s="4470"/>
      <c r="J430" s="4470"/>
      <c r="K430" s="4471"/>
      <c r="L430" s="4415"/>
      <c r="M430" s="4473"/>
    </row>
    <row r="431" spans="1:13" ht="30" customHeight="1" x14ac:dyDescent="0.2">
      <c r="A431" s="4">
        <v>288</v>
      </c>
      <c r="B431" s="41" t="s">
        <v>138</v>
      </c>
      <c r="C431" s="344" t="s">
        <v>1289</v>
      </c>
      <c r="D431" s="332">
        <v>50000000</v>
      </c>
      <c r="E431" s="17">
        <v>4.4999999999999998E-2</v>
      </c>
      <c r="F431" s="332">
        <f t="shared" si="26"/>
        <v>2250000</v>
      </c>
      <c r="G431" s="332">
        <v>2250000</v>
      </c>
      <c r="H431" s="332" t="s">
        <v>2072</v>
      </c>
      <c r="I431" s="338" t="s">
        <v>2082</v>
      </c>
      <c r="J431" s="21" t="s">
        <v>2083</v>
      </c>
      <c r="K431" s="332">
        <f t="shared" si="28"/>
        <v>2250000</v>
      </c>
      <c r="L431" s="332">
        <f t="shared" si="25"/>
        <v>0</v>
      </c>
      <c r="M431" s="41"/>
    </row>
    <row r="432" spans="1:13" ht="30" customHeight="1" x14ac:dyDescent="0.2">
      <c r="A432" s="4">
        <v>289</v>
      </c>
      <c r="B432" s="41" t="s">
        <v>637</v>
      </c>
      <c r="C432" s="344"/>
      <c r="D432" s="330"/>
      <c r="E432" s="40"/>
      <c r="F432" s="330">
        <f t="shared" si="26"/>
        <v>0</v>
      </c>
      <c r="G432" s="332">
        <v>1350000</v>
      </c>
      <c r="H432" s="332" t="s">
        <v>2147</v>
      </c>
      <c r="I432" s="338" t="s">
        <v>2155</v>
      </c>
      <c r="J432" s="18" t="s">
        <v>638</v>
      </c>
      <c r="K432" s="332">
        <f t="shared" si="28"/>
        <v>1350000</v>
      </c>
      <c r="L432" s="330">
        <f t="shared" si="25"/>
        <v>-1350000</v>
      </c>
      <c r="M432" s="41"/>
    </row>
    <row r="433" spans="1:13" ht="30" customHeight="1" x14ac:dyDescent="0.2">
      <c r="A433" s="4">
        <v>290</v>
      </c>
      <c r="B433" s="41" t="s">
        <v>636</v>
      </c>
      <c r="C433" s="344" t="s">
        <v>1288</v>
      </c>
      <c r="D433" s="332">
        <v>800000000</v>
      </c>
      <c r="E433" s="17">
        <v>5.5E-2</v>
      </c>
      <c r="F433" s="332">
        <f t="shared" si="26"/>
        <v>44000000</v>
      </c>
      <c r="G433" s="332">
        <v>44000000</v>
      </c>
      <c r="H433" s="332" t="s">
        <v>2072</v>
      </c>
      <c r="I433" s="338" t="s">
        <v>2075</v>
      </c>
      <c r="J433" s="21" t="s">
        <v>2076</v>
      </c>
      <c r="K433" s="332">
        <f t="shared" si="28"/>
        <v>44000000</v>
      </c>
      <c r="L433" s="332">
        <f t="shared" si="25"/>
        <v>0</v>
      </c>
      <c r="M433" s="162" t="s">
        <v>623</v>
      </c>
    </row>
    <row r="434" spans="1:13" ht="30" customHeight="1" x14ac:dyDescent="0.2">
      <c r="A434" s="4459">
        <v>291</v>
      </c>
      <c r="B434" s="4599" t="s">
        <v>1788</v>
      </c>
      <c r="C434" s="4537"/>
      <c r="D434" s="669">
        <v>15000000</v>
      </c>
      <c r="E434" s="676">
        <v>0.05</v>
      </c>
      <c r="F434" s="669">
        <f t="shared" si="26"/>
        <v>750000</v>
      </c>
      <c r="G434" s="332">
        <v>850000</v>
      </c>
      <c r="H434" s="332" t="s">
        <v>2054</v>
      </c>
      <c r="I434" s="338" t="s">
        <v>2057</v>
      </c>
      <c r="J434" s="21" t="s">
        <v>2058</v>
      </c>
      <c r="K434" s="332">
        <f t="shared" si="28"/>
        <v>850000</v>
      </c>
      <c r="L434" s="332">
        <f t="shared" si="25"/>
        <v>-100000</v>
      </c>
      <c r="M434" s="162" t="s">
        <v>2059</v>
      </c>
    </row>
    <row r="435" spans="1:13" ht="30" customHeight="1" x14ac:dyDescent="0.2">
      <c r="A435" s="4464"/>
      <c r="B435" s="4600"/>
      <c r="C435" s="4540"/>
      <c r="D435" s="4413">
        <v>15000000</v>
      </c>
      <c r="E435" s="4541" t="s">
        <v>857</v>
      </c>
      <c r="F435" s="4542"/>
      <c r="G435" s="4413">
        <v>15000000</v>
      </c>
      <c r="H435" s="4413" t="s">
        <v>2005</v>
      </c>
      <c r="I435" s="4555" t="s">
        <v>2025</v>
      </c>
      <c r="J435" s="4478" t="s">
        <v>2026</v>
      </c>
      <c r="K435" s="4413">
        <f t="shared" si="28"/>
        <v>15000000</v>
      </c>
      <c r="L435" s="4413">
        <f>D435-K435</f>
        <v>0</v>
      </c>
      <c r="M435" s="4571" t="s">
        <v>2027</v>
      </c>
    </row>
    <row r="436" spans="1:13" ht="30" customHeight="1" x14ac:dyDescent="0.2">
      <c r="A436" s="4464"/>
      <c r="B436" s="4600"/>
      <c r="C436" s="4540"/>
      <c r="D436" s="4415"/>
      <c r="E436" s="4543"/>
      <c r="F436" s="4544"/>
      <c r="G436" s="4415"/>
      <c r="H436" s="4415"/>
      <c r="I436" s="4557"/>
      <c r="J436" s="4479"/>
      <c r="K436" s="4415"/>
      <c r="L436" s="4415"/>
      <c r="M436" s="4572"/>
    </row>
    <row r="437" spans="1:13" ht="30" customHeight="1" x14ac:dyDescent="0.2">
      <c r="A437" s="4">
        <v>292</v>
      </c>
      <c r="B437" s="41" t="s">
        <v>140</v>
      </c>
      <c r="C437" s="918" t="s">
        <v>1299</v>
      </c>
      <c r="D437" s="911">
        <v>100000000</v>
      </c>
      <c r="E437" s="919">
        <v>0.05</v>
      </c>
      <c r="F437" s="911">
        <f t="shared" si="26"/>
        <v>5000000</v>
      </c>
      <c r="G437" s="911">
        <v>5000000</v>
      </c>
      <c r="H437" s="911" t="s">
        <v>2165</v>
      </c>
      <c r="I437" s="916" t="s">
        <v>2186</v>
      </c>
      <c r="J437" s="65">
        <f>G437</f>
        <v>5000000</v>
      </c>
      <c r="K437" s="911">
        <f>G437</f>
        <v>5000000</v>
      </c>
      <c r="L437" s="911">
        <f t="shared" si="25"/>
        <v>0</v>
      </c>
      <c r="M437" s="41"/>
    </row>
    <row r="438" spans="1:13" ht="30" customHeight="1" x14ac:dyDescent="0.2">
      <c r="A438" s="4">
        <v>293</v>
      </c>
      <c r="B438" s="41" t="s">
        <v>141</v>
      </c>
      <c r="C438" s="344"/>
      <c r="D438" s="332">
        <v>75000000</v>
      </c>
      <c r="E438" s="17">
        <v>0.04</v>
      </c>
      <c r="F438" s="332">
        <f>D438*E438</f>
        <v>3000000</v>
      </c>
      <c r="G438" s="332">
        <v>3000000</v>
      </c>
      <c r="H438" s="332" t="s">
        <v>2165</v>
      </c>
      <c r="I438" s="338" t="s">
        <v>2180</v>
      </c>
      <c r="J438" s="18" t="s">
        <v>2181</v>
      </c>
      <c r="K438" s="332">
        <f>G438</f>
        <v>3000000</v>
      </c>
      <c r="L438" s="332">
        <f t="shared" si="25"/>
        <v>0</v>
      </c>
      <c r="M438" s="41"/>
    </row>
    <row r="439" spans="1:13" ht="30" customHeight="1" x14ac:dyDescent="0.2">
      <c r="A439" s="714"/>
      <c r="B439" s="179" t="s">
        <v>142</v>
      </c>
      <c r="C439" s="716" t="s">
        <v>1299</v>
      </c>
      <c r="D439" s="332">
        <v>100000000</v>
      </c>
      <c r="E439" s="17">
        <v>0.05</v>
      </c>
      <c r="F439" s="332">
        <f t="shared" si="26"/>
        <v>5000000</v>
      </c>
      <c r="G439" s="4413">
        <v>5500000</v>
      </c>
      <c r="H439" s="4325" t="s">
        <v>2481</v>
      </c>
      <c r="I439" s="4326"/>
      <c r="J439" s="4326"/>
      <c r="K439" s="4563"/>
      <c r="L439" s="4413">
        <f>(F439+F440)-G439</f>
        <v>0</v>
      </c>
      <c r="M439" s="4571" t="s">
        <v>2482</v>
      </c>
    </row>
    <row r="440" spans="1:13" ht="30" customHeight="1" x14ac:dyDescent="0.2">
      <c r="A440" s="4">
        <v>295</v>
      </c>
      <c r="B440" s="41" t="s">
        <v>707</v>
      </c>
      <c r="C440" s="344" t="s">
        <v>1299</v>
      </c>
      <c r="D440" s="332">
        <v>10000000</v>
      </c>
      <c r="E440" s="17">
        <v>0.05</v>
      </c>
      <c r="F440" s="332">
        <f>D440*E440</f>
        <v>500000</v>
      </c>
      <c r="G440" s="4415"/>
      <c r="H440" s="4564"/>
      <c r="I440" s="4596"/>
      <c r="J440" s="4596"/>
      <c r="K440" s="4565"/>
      <c r="L440" s="4415"/>
      <c r="M440" s="4572"/>
    </row>
    <row r="441" spans="1:13" ht="30" customHeight="1" x14ac:dyDescent="0.2">
      <c r="A441" s="4">
        <v>296</v>
      </c>
      <c r="B441" s="41" t="s">
        <v>143</v>
      </c>
      <c r="C441" s="344" t="s">
        <v>1306</v>
      </c>
      <c r="D441" s="332">
        <v>35000000</v>
      </c>
      <c r="E441" s="17">
        <v>0.04</v>
      </c>
      <c r="F441" s="332">
        <f t="shared" si="26"/>
        <v>1400000</v>
      </c>
      <c r="G441" s="332">
        <v>1400000</v>
      </c>
      <c r="H441" s="332" t="s">
        <v>2368</v>
      </c>
      <c r="I441" s="338" t="s">
        <v>2380</v>
      </c>
      <c r="J441" s="21" t="s">
        <v>2381</v>
      </c>
      <c r="K441" s="332">
        <f>G441</f>
        <v>1400000</v>
      </c>
      <c r="L441" s="332">
        <f t="shared" si="25"/>
        <v>0</v>
      </c>
      <c r="M441" s="41"/>
    </row>
    <row r="442" spans="1:13" ht="30" customHeight="1" x14ac:dyDescent="0.2">
      <c r="A442" s="4">
        <v>297</v>
      </c>
      <c r="B442" s="41" t="s">
        <v>144</v>
      </c>
      <c r="C442" s="344"/>
      <c r="D442" s="332">
        <v>50000000</v>
      </c>
      <c r="E442" s="40"/>
      <c r="F442" s="330">
        <f t="shared" si="26"/>
        <v>0</v>
      </c>
      <c r="G442" s="332"/>
      <c r="H442" s="332"/>
      <c r="I442" s="338"/>
      <c r="J442" s="341"/>
      <c r="K442" s="332"/>
      <c r="L442" s="330">
        <f t="shared" si="25"/>
        <v>0</v>
      </c>
      <c r="M442" s="41"/>
    </row>
    <row r="443" spans="1:13" ht="30" customHeight="1" x14ac:dyDescent="0.2">
      <c r="A443" s="4">
        <v>298</v>
      </c>
      <c r="B443" s="41" t="s">
        <v>145</v>
      </c>
      <c r="C443" s="344" t="s">
        <v>1134</v>
      </c>
      <c r="D443" s="332">
        <v>38000000</v>
      </c>
      <c r="E443" s="17">
        <v>5.1999999999999998E-2</v>
      </c>
      <c r="F443" s="332">
        <v>2000000</v>
      </c>
      <c r="G443" s="332">
        <v>2000000</v>
      </c>
      <c r="H443" s="332" t="s">
        <v>2262</v>
      </c>
      <c r="I443" s="338" t="s">
        <v>2265</v>
      </c>
      <c r="J443" s="21" t="s">
        <v>2266</v>
      </c>
      <c r="K443" s="332">
        <f>G443</f>
        <v>2000000</v>
      </c>
      <c r="L443" s="332">
        <f t="shared" si="25"/>
        <v>0</v>
      </c>
      <c r="M443" s="41"/>
    </row>
    <row r="444" spans="1:13" ht="30" customHeight="1" x14ac:dyDescent="0.2">
      <c r="A444" s="4">
        <v>299</v>
      </c>
      <c r="B444" s="41" t="s">
        <v>146</v>
      </c>
      <c r="C444" s="344"/>
      <c r="D444" s="332">
        <v>10000000</v>
      </c>
      <c r="E444" s="17">
        <v>0.05</v>
      </c>
      <c r="F444" s="332">
        <f t="shared" si="26"/>
        <v>500000</v>
      </c>
      <c r="G444" s="332">
        <v>10500000</v>
      </c>
      <c r="H444" s="332" t="s">
        <v>2005</v>
      </c>
      <c r="I444" s="338" t="s">
        <v>2037</v>
      </c>
      <c r="J444" s="21" t="s">
        <v>2038</v>
      </c>
      <c r="K444" s="332">
        <f>G444</f>
        <v>10500000</v>
      </c>
      <c r="L444" s="332">
        <f>(F444+D444)-K444</f>
        <v>0</v>
      </c>
      <c r="M444" s="159" t="s">
        <v>2039</v>
      </c>
    </row>
    <row r="445" spans="1:13" ht="30" customHeight="1" x14ac:dyDescent="0.2">
      <c r="A445" s="4">
        <v>300</v>
      </c>
      <c r="B445" s="179" t="s">
        <v>147</v>
      </c>
      <c r="C445" s="379" t="s">
        <v>890</v>
      </c>
      <c r="D445" s="359">
        <v>178000000</v>
      </c>
      <c r="E445" s="17">
        <v>5.8999999999999997E-2</v>
      </c>
      <c r="F445" s="359">
        <v>10500000</v>
      </c>
      <c r="G445" s="332">
        <v>10500000</v>
      </c>
      <c r="H445" s="332" t="s">
        <v>2296</v>
      </c>
      <c r="I445" s="338" t="s">
        <v>2296</v>
      </c>
      <c r="J445" s="21" t="s">
        <v>2318</v>
      </c>
      <c r="K445" s="780">
        <f>G445</f>
        <v>10500000</v>
      </c>
      <c r="L445" s="354">
        <f>F445-K445</f>
        <v>0</v>
      </c>
      <c r="M445" s="41"/>
    </row>
    <row r="446" spans="1:13" ht="30" customHeight="1" x14ac:dyDescent="0.2">
      <c r="A446" s="4">
        <v>301</v>
      </c>
      <c r="B446" s="41" t="s">
        <v>2347</v>
      </c>
      <c r="C446" s="344"/>
      <c r="D446" s="332">
        <v>10000000</v>
      </c>
      <c r="E446" s="353">
        <v>0.04</v>
      </c>
      <c r="F446" s="332">
        <f>D446*E446</f>
        <v>400000</v>
      </c>
      <c r="G446" s="332">
        <v>400000</v>
      </c>
      <c r="H446" s="332" t="s">
        <v>2345</v>
      </c>
      <c r="I446" s="338" t="s">
        <v>2349</v>
      </c>
      <c r="J446" s="803" t="s">
        <v>2348</v>
      </c>
      <c r="K446" s="332">
        <f>G446</f>
        <v>400000</v>
      </c>
      <c r="L446" s="332">
        <f t="shared" ref="L446:L479" si="29">F446-K446</f>
        <v>0</v>
      </c>
      <c r="M446" s="97"/>
    </row>
    <row r="447" spans="1:13" ht="30" customHeight="1" x14ac:dyDescent="0.2">
      <c r="A447" s="4">
        <v>302</v>
      </c>
      <c r="B447" s="41" t="s">
        <v>149</v>
      </c>
      <c r="C447" s="344"/>
      <c r="D447" s="332">
        <v>60000000</v>
      </c>
      <c r="E447" s="17">
        <v>4.4999999999999998E-2</v>
      </c>
      <c r="F447" s="332">
        <f t="shared" si="26"/>
        <v>2700000</v>
      </c>
      <c r="G447" s="332"/>
      <c r="H447" s="332"/>
      <c r="I447" s="338"/>
      <c r="J447" s="21"/>
      <c r="K447" s="332"/>
      <c r="L447" s="332">
        <f t="shared" si="29"/>
        <v>2700000</v>
      </c>
      <c r="M447" s="41"/>
    </row>
    <row r="448" spans="1:13" ht="30" customHeight="1" x14ac:dyDescent="0.2">
      <c r="A448" s="4459">
        <v>303</v>
      </c>
      <c r="B448" s="4457" t="s">
        <v>150</v>
      </c>
      <c r="C448" s="4537" t="s">
        <v>1796</v>
      </c>
      <c r="D448" s="4413">
        <v>1776000000</v>
      </c>
      <c r="E448" s="4476">
        <v>7.0999999999999994E-2</v>
      </c>
      <c r="F448" s="4413">
        <v>127140000</v>
      </c>
      <c r="G448" s="879">
        <v>80000000</v>
      </c>
      <c r="H448" s="879" t="s">
        <v>2368</v>
      </c>
      <c r="I448" s="884" t="s">
        <v>2384</v>
      </c>
      <c r="J448" s="885" t="s">
        <v>1084</v>
      </c>
      <c r="K448" s="4413">
        <f>G448+G449</f>
        <v>127140000</v>
      </c>
      <c r="L448" s="4413">
        <f t="shared" si="29"/>
        <v>0</v>
      </c>
      <c r="M448" s="883" t="s">
        <v>1985</v>
      </c>
    </row>
    <row r="449" spans="1:13" ht="30" customHeight="1" x14ac:dyDescent="0.2">
      <c r="A449" s="4464"/>
      <c r="B449" s="4488"/>
      <c r="C449" s="4540"/>
      <c r="D449" s="4415"/>
      <c r="E449" s="4477"/>
      <c r="F449" s="4415"/>
      <c r="G449" s="873">
        <v>47140000</v>
      </c>
      <c r="H449" s="4469" t="s">
        <v>2404</v>
      </c>
      <c r="I449" s="4470"/>
      <c r="J449" s="4471"/>
      <c r="K449" s="4415"/>
      <c r="L449" s="4415"/>
      <c r="M449" s="736" t="s">
        <v>2437</v>
      </c>
    </row>
    <row r="450" spans="1:13" ht="30" customHeight="1" x14ac:dyDescent="0.2">
      <c r="A450" s="4464"/>
      <c r="B450" s="4488"/>
      <c r="C450" s="4540"/>
      <c r="D450" s="873">
        <v>1876000000</v>
      </c>
      <c r="E450" s="877"/>
      <c r="F450" s="873">
        <v>137480000</v>
      </c>
      <c r="G450" s="4469" t="s">
        <v>2438</v>
      </c>
      <c r="H450" s="4470"/>
      <c r="I450" s="4470"/>
      <c r="J450" s="4471"/>
      <c r="K450" s="873"/>
      <c r="L450" s="873"/>
      <c r="M450" s="736"/>
    </row>
    <row r="451" spans="1:13" ht="30" customHeight="1" x14ac:dyDescent="0.2">
      <c r="A451" s="4464"/>
      <c r="B451" s="4488"/>
      <c r="C451" s="4540"/>
      <c r="D451" s="227">
        <v>1816000000</v>
      </c>
      <c r="E451" s="937">
        <f>F451/D451</f>
        <v>7.306167400881057E-2</v>
      </c>
      <c r="F451" s="227">
        <v>132680000</v>
      </c>
      <c r="G451" s="4632" t="s">
        <v>2436</v>
      </c>
      <c r="H451" s="4633"/>
      <c r="I451" s="4633"/>
      <c r="J451" s="4633"/>
      <c r="K451" s="4633"/>
      <c r="L451" s="4634"/>
      <c r="M451" s="711"/>
    </row>
    <row r="452" spans="1:13" ht="30" customHeight="1" x14ac:dyDescent="0.2">
      <c r="A452" s="4464"/>
      <c r="B452" s="4488"/>
      <c r="C452" s="4540"/>
      <c r="D452" s="4322" t="s">
        <v>2496</v>
      </c>
      <c r="E452" s="4322"/>
      <c r="F452" s="4322"/>
      <c r="G452" s="892">
        <v>5000000</v>
      </c>
      <c r="H452" s="892" t="s">
        <v>2441</v>
      </c>
      <c r="I452" s="893" t="s">
        <v>2459</v>
      </c>
      <c r="J452" s="894" t="s">
        <v>2460</v>
      </c>
      <c r="K452" s="4413">
        <f>G452+G453</f>
        <v>8400000</v>
      </c>
      <c r="L452" s="4413">
        <f>(G452+G453)-K452</f>
        <v>0</v>
      </c>
      <c r="M452" s="736" t="s">
        <v>857</v>
      </c>
    </row>
    <row r="453" spans="1:13" ht="30" customHeight="1" x14ac:dyDescent="0.2">
      <c r="A453" s="4460"/>
      <c r="B453" s="4458"/>
      <c r="C453" s="4538"/>
      <c r="D453" s="4322"/>
      <c r="E453" s="4322"/>
      <c r="F453" s="4322"/>
      <c r="G453" s="923">
        <v>3400000</v>
      </c>
      <c r="H453" s="923" t="s">
        <v>2484</v>
      </c>
      <c r="I453" s="936" t="s">
        <v>2497</v>
      </c>
      <c r="J453" s="21" t="s">
        <v>2498</v>
      </c>
      <c r="K453" s="4415"/>
      <c r="L453" s="4415"/>
      <c r="M453" s="736"/>
    </row>
    <row r="454" spans="1:13" ht="30" customHeight="1" x14ac:dyDescent="0.2">
      <c r="A454" s="4459">
        <v>304</v>
      </c>
      <c r="B454" s="4457" t="s">
        <v>151</v>
      </c>
      <c r="C454" s="4537"/>
      <c r="D454" s="692">
        <v>10000000</v>
      </c>
      <c r="E454" s="693">
        <v>0.06</v>
      </c>
      <c r="F454" s="692">
        <f t="shared" si="26"/>
        <v>600000</v>
      </c>
      <c r="G454" s="692">
        <v>10000000</v>
      </c>
      <c r="H454" s="692" t="s">
        <v>897</v>
      </c>
      <c r="I454" s="713">
        <v>421552</v>
      </c>
      <c r="J454" s="56" t="s">
        <v>1092</v>
      </c>
      <c r="K454" s="692">
        <f>G454</f>
        <v>10000000</v>
      </c>
      <c r="L454" s="692">
        <f t="shared" si="29"/>
        <v>-9400000</v>
      </c>
      <c r="M454" s="4492" t="s">
        <v>2079</v>
      </c>
    </row>
    <row r="455" spans="1:13" ht="30" customHeight="1" x14ac:dyDescent="0.2">
      <c r="A455" s="4460"/>
      <c r="B455" s="4458"/>
      <c r="C455" s="4538"/>
      <c r="D455" s="692">
        <v>10000000</v>
      </c>
      <c r="E455" s="40">
        <v>0.06</v>
      </c>
      <c r="F455" s="692">
        <f t="shared" si="26"/>
        <v>600000</v>
      </c>
      <c r="G455" s="692">
        <v>600000</v>
      </c>
      <c r="H455" s="692" t="s">
        <v>2165</v>
      </c>
      <c r="I455" s="713">
        <v>122445983965</v>
      </c>
      <c r="J455" s="56" t="s">
        <v>2190</v>
      </c>
      <c r="K455" s="692">
        <f>G455</f>
        <v>600000</v>
      </c>
      <c r="L455" s="692">
        <f>F455-K455</f>
        <v>0</v>
      </c>
      <c r="M455" s="4493"/>
    </row>
    <row r="456" spans="1:13" ht="30" customHeight="1" x14ac:dyDescent="0.2">
      <c r="A456" s="4459">
        <v>305</v>
      </c>
      <c r="B456" s="4457" t="s">
        <v>152</v>
      </c>
      <c r="C456" s="4537"/>
      <c r="D456" s="4413">
        <v>650000000</v>
      </c>
      <c r="E456" s="4608">
        <f>F456/D456</f>
        <v>5.7692307692307696E-2</v>
      </c>
      <c r="F456" s="4322">
        <v>37500000</v>
      </c>
      <c r="G456" s="332">
        <v>8000000</v>
      </c>
      <c r="H456" s="332" t="s">
        <v>2147</v>
      </c>
      <c r="I456" s="340" t="s">
        <v>2172</v>
      </c>
      <c r="J456" s="21" t="s">
        <v>2173</v>
      </c>
      <c r="K456" s="4413">
        <f>G456+G457</f>
        <v>18000000</v>
      </c>
      <c r="L456" s="4413">
        <f t="shared" si="29"/>
        <v>19500000</v>
      </c>
      <c r="M456" s="4643" t="s">
        <v>1456</v>
      </c>
    </row>
    <row r="457" spans="1:13" ht="30" customHeight="1" x14ac:dyDescent="0.2">
      <c r="A457" s="4460"/>
      <c r="B457" s="4458"/>
      <c r="C457" s="4538"/>
      <c r="D457" s="4415"/>
      <c r="E457" s="4608"/>
      <c r="F457" s="4322"/>
      <c r="G457" s="820">
        <v>10000000</v>
      </c>
      <c r="H457" s="820" t="s">
        <v>2368</v>
      </c>
      <c r="I457" s="829" t="s">
        <v>2393</v>
      </c>
      <c r="J457" s="21" t="s">
        <v>2394</v>
      </c>
      <c r="K457" s="4415"/>
      <c r="L457" s="4415"/>
      <c r="M457" s="4644"/>
    </row>
    <row r="458" spans="1:13" ht="30" customHeight="1" x14ac:dyDescent="0.2">
      <c r="A458" s="4459">
        <v>306</v>
      </c>
      <c r="B458" s="4457" t="s">
        <v>153</v>
      </c>
      <c r="C458" s="4537"/>
      <c r="D458" s="4413">
        <v>30000000</v>
      </c>
      <c r="E458" s="4325" t="s">
        <v>1326</v>
      </c>
      <c r="F458" s="4563"/>
      <c r="G458" s="332">
        <v>20000000</v>
      </c>
      <c r="H458" s="350" t="s">
        <v>897</v>
      </c>
      <c r="I458" s="340" t="s">
        <v>1327</v>
      </c>
      <c r="J458" s="361" t="s">
        <v>1271</v>
      </c>
      <c r="K458" s="4413">
        <f>G458+G459</f>
        <v>30000000</v>
      </c>
      <c r="L458" s="4413">
        <f>D458-K458</f>
        <v>0</v>
      </c>
      <c r="M458" s="4492" t="s">
        <v>1356</v>
      </c>
    </row>
    <row r="459" spans="1:13" ht="30" customHeight="1" x14ac:dyDescent="0.2">
      <c r="A459" s="4460"/>
      <c r="B459" s="4458"/>
      <c r="C459" s="4538"/>
      <c r="D459" s="4415"/>
      <c r="E459" s="4564"/>
      <c r="F459" s="4565"/>
      <c r="G459" s="332">
        <v>10000000</v>
      </c>
      <c r="H459" s="332" t="s">
        <v>1022</v>
      </c>
      <c r="I459" s="363" t="s">
        <v>1355</v>
      </c>
      <c r="J459" s="361" t="s">
        <v>1271</v>
      </c>
      <c r="K459" s="4415"/>
      <c r="L459" s="4415"/>
      <c r="M459" s="4493"/>
    </row>
    <row r="460" spans="1:13" ht="30" customHeight="1" x14ac:dyDescent="0.2">
      <c r="A460" s="4">
        <v>307</v>
      </c>
      <c r="B460" s="41" t="s">
        <v>154</v>
      </c>
      <c r="C460" s="344" t="s">
        <v>1306</v>
      </c>
      <c r="D460" s="332">
        <v>260000000</v>
      </c>
      <c r="E460" s="17">
        <v>0.05</v>
      </c>
      <c r="F460" s="332">
        <f t="shared" si="26"/>
        <v>13000000</v>
      </c>
      <c r="G460" s="332">
        <v>13000000</v>
      </c>
      <c r="H460" s="332" t="s">
        <v>2368</v>
      </c>
      <c r="I460" s="338" t="s">
        <v>2408</v>
      </c>
      <c r="J460" s="21" t="s">
        <v>2409</v>
      </c>
      <c r="K460" s="332">
        <f>G460</f>
        <v>13000000</v>
      </c>
      <c r="L460" s="332">
        <f t="shared" si="29"/>
        <v>0</v>
      </c>
      <c r="M460" s="41"/>
    </row>
    <row r="461" spans="1:13" ht="30" customHeight="1" x14ac:dyDescent="0.2">
      <c r="A461" s="346">
        <v>308</v>
      </c>
      <c r="B461" s="179" t="s">
        <v>155</v>
      </c>
      <c r="C461" s="623" t="s">
        <v>1294</v>
      </c>
      <c r="D461" s="616">
        <v>300000000</v>
      </c>
      <c r="E461" s="622">
        <v>0.05</v>
      </c>
      <c r="F461" s="616">
        <f t="shared" si="26"/>
        <v>15000000</v>
      </c>
      <c r="G461" s="4413">
        <v>24000000</v>
      </c>
      <c r="H461" s="4413" t="s">
        <v>1782</v>
      </c>
      <c r="I461" s="4555" t="s">
        <v>1872</v>
      </c>
      <c r="J461" s="4553" t="s">
        <v>1873</v>
      </c>
      <c r="K461" s="4413">
        <f>G461</f>
        <v>24000000</v>
      </c>
      <c r="L461" s="4413">
        <f>(F461+F462)-K461</f>
        <v>0</v>
      </c>
      <c r="M461" s="4599"/>
    </row>
    <row r="462" spans="1:13" ht="30" customHeight="1" x14ac:dyDescent="0.2">
      <c r="A462" s="4">
        <v>309</v>
      </c>
      <c r="B462" s="179" t="s">
        <v>1874</v>
      </c>
      <c r="C462" s="623" t="s">
        <v>372</v>
      </c>
      <c r="D462" s="610">
        <v>180000000</v>
      </c>
      <c r="E462" s="608">
        <v>0.05</v>
      </c>
      <c r="F462" s="610">
        <f>D462*E462</f>
        <v>9000000</v>
      </c>
      <c r="G462" s="4415"/>
      <c r="H462" s="4415"/>
      <c r="I462" s="4557"/>
      <c r="J462" s="4554"/>
      <c r="K462" s="4415"/>
      <c r="L462" s="4415"/>
      <c r="M462" s="4607"/>
    </row>
    <row r="463" spans="1:13" ht="30" customHeight="1" x14ac:dyDescent="0.2">
      <c r="A463" s="641">
        <v>310</v>
      </c>
      <c r="B463" s="41" t="s">
        <v>157</v>
      </c>
      <c r="C463" s="344" t="s">
        <v>392</v>
      </c>
      <c r="D463" s="417">
        <v>100000000</v>
      </c>
      <c r="E463" s="419">
        <v>0.05</v>
      </c>
      <c r="F463" s="417">
        <f t="shared" ref="F463:F478" si="30">D463*E463</f>
        <v>5000000</v>
      </c>
      <c r="G463" s="417">
        <v>5000000</v>
      </c>
      <c r="H463" s="417" t="s">
        <v>1474</v>
      </c>
      <c r="I463" s="431" t="s">
        <v>1532</v>
      </c>
      <c r="J463" s="21" t="s">
        <v>1533</v>
      </c>
      <c r="K463" s="417">
        <f>G463</f>
        <v>5000000</v>
      </c>
      <c r="L463" s="417">
        <f t="shared" si="29"/>
        <v>0</v>
      </c>
      <c r="M463" s="41"/>
    </row>
    <row r="464" spans="1:13" ht="30" customHeight="1" x14ac:dyDescent="0.2">
      <c r="A464" s="4">
        <v>311</v>
      </c>
      <c r="B464" s="41" t="s">
        <v>158</v>
      </c>
      <c r="C464" s="344" t="s">
        <v>889</v>
      </c>
      <c r="D464" s="332">
        <v>55000000</v>
      </c>
      <c r="E464" s="17">
        <v>0.05</v>
      </c>
      <c r="F464" s="332">
        <f t="shared" si="30"/>
        <v>2750000</v>
      </c>
      <c r="G464" s="332">
        <v>2750000</v>
      </c>
      <c r="H464" s="332" t="s">
        <v>1616</v>
      </c>
      <c r="I464" s="337" t="s">
        <v>1618</v>
      </c>
      <c r="J464" s="337" t="s">
        <v>382</v>
      </c>
      <c r="K464" s="332">
        <f>G464</f>
        <v>2750000</v>
      </c>
      <c r="L464" s="501">
        <f t="shared" si="29"/>
        <v>0</v>
      </c>
      <c r="M464" s="160"/>
    </row>
    <row r="465" spans="1:13" ht="30" customHeight="1" x14ac:dyDescent="0.2">
      <c r="A465" s="641">
        <v>312</v>
      </c>
      <c r="B465" s="41" t="s">
        <v>159</v>
      </c>
      <c r="C465" s="344"/>
      <c r="D465" s="330"/>
      <c r="E465" s="40"/>
      <c r="F465" s="330">
        <f t="shared" si="30"/>
        <v>0</v>
      </c>
      <c r="G465" s="332"/>
      <c r="H465" s="332"/>
      <c r="I465" s="338"/>
      <c r="J465" s="21"/>
      <c r="K465" s="332"/>
      <c r="L465" s="330">
        <f t="shared" si="29"/>
        <v>0</v>
      </c>
      <c r="M465" s="41"/>
    </row>
    <row r="466" spans="1:13" ht="30" customHeight="1" x14ac:dyDescent="0.2">
      <c r="A466" s="4">
        <v>313</v>
      </c>
      <c r="B466" s="19" t="s">
        <v>161</v>
      </c>
      <c r="C466" s="378"/>
      <c r="D466" s="359">
        <v>152000000</v>
      </c>
      <c r="E466" s="17">
        <v>0.05</v>
      </c>
      <c r="F466" s="332">
        <f>D466*E466</f>
        <v>7600000</v>
      </c>
      <c r="G466" s="332">
        <v>7600000</v>
      </c>
      <c r="H466" s="332" t="s">
        <v>1732</v>
      </c>
      <c r="I466" s="338" t="s">
        <v>1744</v>
      </c>
      <c r="J466" s="21" t="s">
        <v>1745</v>
      </c>
      <c r="K466" s="332">
        <f>G466</f>
        <v>7600000</v>
      </c>
      <c r="L466" s="332">
        <f t="shared" si="29"/>
        <v>0</v>
      </c>
      <c r="M466" s="41"/>
    </row>
    <row r="467" spans="1:13" ht="30" customHeight="1" x14ac:dyDescent="0.2">
      <c r="A467" s="641">
        <v>314</v>
      </c>
      <c r="B467" s="348" t="s">
        <v>162</v>
      </c>
      <c r="C467" s="344"/>
      <c r="D467" s="332">
        <v>20000000</v>
      </c>
      <c r="E467" s="17">
        <v>0.04</v>
      </c>
      <c r="F467" s="332">
        <f t="shared" si="30"/>
        <v>800000</v>
      </c>
      <c r="G467" s="332"/>
      <c r="H467" s="332"/>
      <c r="I467" s="338"/>
      <c r="J467" s="21"/>
      <c r="K467" s="332"/>
      <c r="L467" s="332">
        <f t="shared" si="29"/>
        <v>800000</v>
      </c>
      <c r="M467" s="97" t="s">
        <v>728</v>
      </c>
    </row>
    <row r="468" spans="1:13" ht="30" customHeight="1" x14ac:dyDescent="0.2">
      <c r="A468" s="4459">
        <v>315</v>
      </c>
      <c r="B468" s="4457" t="s">
        <v>163</v>
      </c>
      <c r="C468" s="4537" t="s">
        <v>1176</v>
      </c>
      <c r="D468" s="4413">
        <v>400000000</v>
      </c>
      <c r="E468" s="4476">
        <v>6.3E-2</v>
      </c>
      <c r="F468" s="4413">
        <v>25000000</v>
      </c>
      <c r="G468" s="529">
        <v>20000000</v>
      </c>
      <c r="H468" s="529" t="s">
        <v>1701</v>
      </c>
      <c r="I468" s="537" t="s">
        <v>1729</v>
      </c>
      <c r="J468" s="21" t="s">
        <v>445</v>
      </c>
      <c r="K468" s="4413">
        <f>G468+G469</f>
        <v>25000000</v>
      </c>
      <c r="L468" s="4413">
        <f t="shared" si="29"/>
        <v>0</v>
      </c>
      <c r="M468" s="4599"/>
    </row>
    <row r="469" spans="1:13" ht="30" customHeight="1" x14ac:dyDescent="0.2">
      <c r="A469" s="4460"/>
      <c r="B469" s="4458"/>
      <c r="C469" s="4538"/>
      <c r="D469" s="4415"/>
      <c r="E469" s="4477"/>
      <c r="F469" s="4415"/>
      <c r="G469" s="529">
        <v>5000000</v>
      </c>
      <c r="H469" s="529" t="s">
        <v>1749</v>
      </c>
      <c r="I469" s="537" t="s">
        <v>1805</v>
      </c>
      <c r="J469" s="21" t="s">
        <v>1806</v>
      </c>
      <c r="K469" s="4415"/>
      <c r="L469" s="4415"/>
      <c r="M469" s="4607"/>
    </row>
    <row r="470" spans="1:13" ht="30" customHeight="1" x14ac:dyDescent="0.2">
      <c r="A470" s="4">
        <v>316</v>
      </c>
      <c r="B470" s="41" t="s">
        <v>164</v>
      </c>
      <c r="C470" s="344"/>
      <c r="D470" s="1151">
        <v>35000000</v>
      </c>
      <c r="E470" s="1164">
        <v>0.04</v>
      </c>
      <c r="F470" s="1151">
        <f>D470*E470</f>
        <v>1400000</v>
      </c>
      <c r="G470" s="1151">
        <v>1400000</v>
      </c>
      <c r="H470" s="1151" t="s">
        <v>1701</v>
      </c>
      <c r="I470" s="1161" t="s">
        <v>1723</v>
      </c>
      <c r="J470" s="18" t="s">
        <v>1724</v>
      </c>
      <c r="K470" s="1151">
        <f>G470</f>
        <v>1400000</v>
      </c>
      <c r="L470" s="1151">
        <f t="shared" si="29"/>
        <v>0</v>
      </c>
      <c r="M470" s="41"/>
    </row>
    <row r="471" spans="1:13" ht="30" customHeight="1" x14ac:dyDescent="0.2">
      <c r="A471" s="4">
        <v>317</v>
      </c>
      <c r="B471" s="41" t="s">
        <v>165</v>
      </c>
      <c r="C471" s="344"/>
      <c r="D471" s="330"/>
      <c r="E471" s="40"/>
      <c r="F471" s="330">
        <f t="shared" si="30"/>
        <v>0</v>
      </c>
      <c r="G471" s="332">
        <v>13500000</v>
      </c>
      <c r="H471" s="332" t="s">
        <v>2054</v>
      </c>
      <c r="I471" s="32" t="s">
        <v>2060</v>
      </c>
      <c r="J471" s="21" t="s">
        <v>2061</v>
      </c>
      <c r="K471" s="332">
        <f>G471</f>
        <v>13500000</v>
      </c>
      <c r="L471" s="330">
        <f t="shared" si="29"/>
        <v>-13500000</v>
      </c>
      <c r="M471" s="41"/>
    </row>
    <row r="472" spans="1:13" ht="30" customHeight="1" x14ac:dyDescent="0.2">
      <c r="A472" s="4">
        <v>318</v>
      </c>
      <c r="B472" s="41" t="s">
        <v>167</v>
      </c>
      <c r="C472" s="344"/>
      <c r="D472" s="330"/>
      <c r="E472" s="40"/>
      <c r="F472" s="330">
        <f t="shared" si="30"/>
        <v>0</v>
      </c>
      <c r="G472" s="332">
        <v>4000000</v>
      </c>
      <c r="H472" s="332" t="s">
        <v>1749</v>
      </c>
      <c r="I472" s="338" t="s">
        <v>1813</v>
      </c>
      <c r="J472" s="18" t="s">
        <v>1814</v>
      </c>
      <c r="K472" s="332">
        <f>G472</f>
        <v>4000000</v>
      </c>
      <c r="L472" s="330">
        <f t="shared" si="29"/>
        <v>-4000000</v>
      </c>
      <c r="M472" s="41"/>
    </row>
    <row r="473" spans="1:13" ht="30" customHeight="1" x14ac:dyDescent="0.2">
      <c r="A473" s="4">
        <v>319</v>
      </c>
      <c r="B473" s="41" t="s">
        <v>168</v>
      </c>
      <c r="C473" s="344" t="s">
        <v>1287</v>
      </c>
      <c r="D473" s="332">
        <v>200000000</v>
      </c>
      <c r="E473" s="17">
        <v>5.5E-2</v>
      </c>
      <c r="F473" s="332">
        <f t="shared" si="30"/>
        <v>11000000</v>
      </c>
      <c r="G473" s="332"/>
      <c r="H473" s="332"/>
      <c r="I473" s="340"/>
      <c r="J473" s="21"/>
      <c r="K473" s="332"/>
      <c r="L473" s="332">
        <f t="shared" si="29"/>
        <v>11000000</v>
      </c>
      <c r="M473" s="97" t="s">
        <v>1520</v>
      </c>
    </row>
    <row r="474" spans="1:13" ht="30" customHeight="1" x14ac:dyDescent="0.2">
      <c r="A474" s="4">
        <v>320</v>
      </c>
      <c r="B474" s="41" t="s">
        <v>169</v>
      </c>
      <c r="C474" s="344"/>
      <c r="D474" s="332">
        <v>135000000</v>
      </c>
      <c r="E474" s="17">
        <v>4.8000000000000001E-2</v>
      </c>
      <c r="F474" s="332">
        <v>6500000</v>
      </c>
      <c r="G474" s="332">
        <v>8000000</v>
      </c>
      <c r="H474" s="332" t="s">
        <v>2072</v>
      </c>
      <c r="I474" s="338" t="s">
        <v>2077</v>
      </c>
      <c r="J474" s="21" t="s">
        <v>2078</v>
      </c>
      <c r="K474" s="332">
        <f>G474</f>
        <v>8000000</v>
      </c>
      <c r="L474" s="670">
        <f t="shared" si="29"/>
        <v>-1500000</v>
      </c>
      <c r="M474" s="97" t="s">
        <v>2079</v>
      </c>
    </row>
    <row r="475" spans="1:13" ht="30" customHeight="1" x14ac:dyDescent="0.2">
      <c r="A475" s="4">
        <v>321</v>
      </c>
      <c r="B475" s="41" t="s">
        <v>171</v>
      </c>
      <c r="C475" s="344"/>
      <c r="D475" s="332">
        <v>5000000</v>
      </c>
      <c r="E475" s="17">
        <v>0.04</v>
      </c>
      <c r="F475" s="332">
        <f t="shared" si="30"/>
        <v>200000</v>
      </c>
      <c r="G475" s="332">
        <v>200000</v>
      </c>
      <c r="H475" s="332" t="s">
        <v>2319</v>
      </c>
      <c r="I475" s="338" t="s">
        <v>2329</v>
      </c>
      <c r="J475" s="21" t="s">
        <v>2330</v>
      </c>
      <c r="K475" s="332">
        <f>G475</f>
        <v>200000</v>
      </c>
      <c r="L475" s="332">
        <f t="shared" si="29"/>
        <v>0</v>
      </c>
      <c r="M475" s="41"/>
    </row>
    <row r="476" spans="1:13" ht="30" customHeight="1" x14ac:dyDescent="0.2">
      <c r="A476" s="4459">
        <v>322</v>
      </c>
      <c r="B476" s="4599" t="s">
        <v>1378</v>
      </c>
      <c r="C476" s="4537" t="s">
        <v>1081</v>
      </c>
      <c r="D476" s="332">
        <v>10000000</v>
      </c>
      <c r="E476" s="17">
        <v>0.05</v>
      </c>
      <c r="F476" s="332">
        <f t="shared" si="30"/>
        <v>500000</v>
      </c>
      <c r="G476" s="332">
        <v>500000</v>
      </c>
      <c r="H476" s="332" t="s">
        <v>1359</v>
      </c>
      <c r="I476" s="389" t="s">
        <v>1376</v>
      </c>
      <c r="J476" s="389" t="s">
        <v>1376</v>
      </c>
      <c r="K476" s="332">
        <f>G476</f>
        <v>500000</v>
      </c>
      <c r="L476" s="332">
        <f t="shared" si="29"/>
        <v>0</v>
      </c>
      <c r="M476" s="41" t="s">
        <v>2258</v>
      </c>
    </row>
    <row r="477" spans="1:13" ht="30" customHeight="1" x14ac:dyDescent="0.2">
      <c r="A477" s="4460"/>
      <c r="B477" s="4607"/>
      <c r="C477" s="4538"/>
      <c r="D477" s="852">
        <v>10000000</v>
      </c>
      <c r="E477" s="856">
        <v>0.05</v>
      </c>
      <c r="F477" s="852">
        <f t="shared" ref="F477" si="31">D477*E477</f>
        <v>500000</v>
      </c>
      <c r="G477" s="852"/>
      <c r="H477" s="852"/>
      <c r="I477" s="858"/>
      <c r="J477" s="858"/>
      <c r="K477" s="852"/>
      <c r="L477" s="852"/>
      <c r="M477" s="857"/>
    </row>
    <row r="478" spans="1:13" ht="30" customHeight="1" x14ac:dyDescent="0.2">
      <c r="A478" s="4">
        <v>323</v>
      </c>
      <c r="B478" s="41" t="s">
        <v>172</v>
      </c>
      <c r="C478" s="344"/>
      <c r="D478" s="332">
        <v>60000000</v>
      </c>
      <c r="E478" s="17">
        <v>4.4999999999999998E-2</v>
      </c>
      <c r="F478" s="332">
        <f t="shared" si="30"/>
        <v>2700000</v>
      </c>
      <c r="G478" s="332">
        <v>2700000</v>
      </c>
      <c r="H478" s="332" t="s">
        <v>2319</v>
      </c>
      <c r="I478" s="338" t="s">
        <v>2337</v>
      </c>
      <c r="J478" s="803" t="s">
        <v>486</v>
      </c>
      <c r="K478" s="332">
        <f>G478</f>
        <v>2700000</v>
      </c>
      <c r="L478" s="332">
        <f t="shared" si="29"/>
        <v>0</v>
      </c>
      <c r="M478" s="41"/>
    </row>
    <row r="479" spans="1:13" ht="30" customHeight="1" x14ac:dyDescent="0.2">
      <c r="A479" s="4">
        <v>324</v>
      </c>
      <c r="B479" s="41" t="s">
        <v>173</v>
      </c>
      <c r="C479" s="344" t="s">
        <v>889</v>
      </c>
      <c r="D479" s="332">
        <v>20000000</v>
      </c>
      <c r="E479" s="17">
        <v>0.05</v>
      </c>
      <c r="F479" s="332">
        <f>D479*E479</f>
        <v>1000000</v>
      </c>
      <c r="G479" s="332">
        <v>1000000</v>
      </c>
      <c r="H479" s="332" t="s">
        <v>1732</v>
      </c>
      <c r="I479" s="335">
        <v>656285875953</v>
      </c>
      <c r="J479" s="21" t="s">
        <v>1740</v>
      </c>
      <c r="K479" s="332">
        <f>G479</f>
        <v>1000000</v>
      </c>
      <c r="L479" s="332">
        <f t="shared" si="29"/>
        <v>0</v>
      </c>
      <c r="M479" s="41"/>
    </row>
    <row r="480" spans="1:13" ht="30" customHeight="1" x14ac:dyDescent="0.2">
      <c r="A480" s="4459">
        <v>325</v>
      </c>
      <c r="B480" s="4457" t="s">
        <v>270</v>
      </c>
      <c r="C480" s="4537"/>
      <c r="D480" s="332">
        <v>300000000</v>
      </c>
      <c r="E480" s="538">
        <v>0.1</v>
      </c>
      <c r="F480" s="332">
        <v>30750000</v>
      </c>
      <c r="G480" s="332">
        <v>15600000</v>
      </c>
      <c r="H480" s="332" t="s">
        <v>1022</v>
      </c>
      <c r="I480" s="363" t="s">
        <v>1355</v>
      </c>
      <c r="J480" s="21" t="s">
        <v>1271</v>
      </c>
      <c r="K480" s="233"/>
      <c r="L480" s="233"/>
      <c r="M480" s="378" t="s">
        <v>1794</v>
      </c>
    </row>
    <row r="481" spans="1:13" ht="30" customHeight="1" x14ac:dyDescent="0.2">
      <c r="A481" s="4460"/>
      <c r="B481" s="4458"/>
      <c r="C481" s="4538"/>
      <c r="D481" s="332">
        <v>140000000</v>
      </c>
      <c r="E481" s="538">
        <v>7.0000000000000007E-2</v>
      </c>
      <c r="F481" s="332">
        <v>9800000</v>
      </c>
      <c r="G481" s="332">
        <v>40550000</v>
      </c>
      <c r="H481" s="332" t="s">
        <v>1782</v>
      </c>
      <c r="I481" s="338" t="s">
        <v>1782</v>
      </c>
      <c r="J481" s="21">
        <v>166056</v>
      </c>
      <c r="K481" s="536">
        <f>G481</f>
        <v>40550000</v>
      </c>
      <c r="L481" s="536">
        <f>(F480+F481)-K481</f>
        <v>0</v>
      </c>
      <c r="M481" s="378"/>
    </row>
    <row r="482" spans="1:13" ht="30" customHeight="1" x14ac:dyDescent="0.2">
      <c r="A482" s="346">
        <v>326</v>
      </c>
      <c r="B482" s="19" t="s">
        <v>176</v>
      </c>
      <c r="C482" s="378"/>
      <c r="D482" s="354"/>
      <c r="E482" s="40"/>
      <c r="F482" s="354">
        <v>25000000</v>
      </c>
      <c r="G482" s="350"/>
      <c r="H482" s="350"/>
      <c r="I482" s="32"/>
      <c r="J482" s="21"/>
      <c r="K482" s="359"/>
      <c r="L482" s="354">
        <f>F482-K482</f>
        <v>25000000</v>
      </c>
      <c r="M482" s="358"/>
    </row>
    <row r="483" spans="1:13" ht="30" customHeight="1" x14ac:dyDescent="0.2">
      <c r="A483" s="4">
        <v>327</v>
      </c>
      <c r="B483" s="939" t="s">
        <v>1232</v>
      </c>
      <c r="C483" s="940"/>
      <c r="D483" s="941">
        <v>60000000</v>
      </c>
      <c r="E483" s="942">
        <v>0.05</v>
      </c>
      <c r="F483" s="941">
        <f t="shared" ref="F483:F486" si="32">D483*E483</f>
        <v>3000000</v>
      </c>
      <c r="G483" s="941">
        <v>3000000</v>
      </c>
      <c r="H483" s="941" t="s">
        <v>2508</v>
      </c>
      <c r="I483" s="943" t="s">
        <v>2509</v>
      </c>
      <c r="J483" s="944" t="s">
        <v>2510</v>
      </c>
      <c r="K483" s="941">
        <f>G483</f>
        <v>3000000</v>
      </c>
      <c r="L483" s="941">
        <f t="shared" ref="L483:L486" si="33">F483-K483</f>
        <v>0</v>
      </c>
      <c r="M483" s="97"/>
    </row>
    <row r="484" spans="1:13" ht="30" customHeight="1" x14ac:dyDescent="0.2">
      <c r="A484" s="4459">
        <v>328</v>
      </c>
      <c r="B484" s="4457" t="s">
        <v>2675</v>
      </c>
      <c r="C484" s="4537" t="s">
        <v>942</v>
      </c>
      <c r="D484" s="332">
        <v>685000000</v>
      </c>
      <c r="E484" s="17">
        <v>0.06</v>
      </c>
      <c r="F484" s="332">
        <f>D484*E484</f>
        <v>41100000</v>
      </c>
      <c r="G484" s="332">
        <v>41100000</v>
      </c>
      <c r="H484" s="332" t="s">
        <v>1405</v>
      </c>
      <c r="I484" s="340" t="s">
        <v>1433</v>
      </c>
      <c r="J484" s="21" t="s">
        <v>1434</v>
      </c>
      <c r="K484" s="332">
        <f>G484</f>
        <v>41100000</v>
      </c>
      <c r="L484" s="332">
        <f>F484-K484</f>
        <v>0</v>
      </c>
      <c r="M484" s="638" t="s">
        <v>2421</v>
      </c>
    </row>
    <row r="485" spans="1:13" ht="30" customHeight="1" x14ac:dyDescent="0.2">
      <c r="A485" s="4460"/>
      <c r="B485" s="4458"/>
      <c r="C485" s="4538"/>
      <c r="D485" s="1110">
        <f>D484+F484</f>
        <v>726100000</v>
      </c>
      <c r="E485" s="1113">
        <v>0.06</v>
      </c>
      <c r="F485" s="1110">
        <f>D485*E485</f>
        <v>43566000</v>
      </c>
      <c r="G485" s="4469" t="s">
        <v>2677</v>
      </c>
      <c r="H485" s="4470"/>
      <c r="I485" s="4470"/>
      <c r="J485" s="4470"/>
      <c r="K485" s="4471"/>
      <c r="L485" s="1110"/>
      <c r="M485" s="29" t="s">
        <v>2437</v>
      </c>
    </row>
    <row r="486" spans="1:13" ht="30" customHeight="1" x14ac:dyDescent="0.2">
      <c r="A486" s="346">
        <v>329</v>
      </c>
      <c r="B486" s="179" t="s">
        <v>181</v>
      </c>
      <c r="C486" s="378"/>
      <c r="D486" s="354"/>
      <c r="E486" s="40"/>
      <c r="F486" s="354">
        <f t="shared" si="32"/>
        <v>0</v>
      </c>
      <c r="G486" s="359"/>
      <c r="H486" s="359"/>
      <c r="I486" s="381"/>
      <c r="J486" s="33"/>
      <c r="K486" s="233"/>
      <c r="L486" s="354">
        <f t="shared" si="33"/>
        <v>0</v>
      </c>
      <c r="M486" s="356"/>
    </row>
    <row r="487" spans="1:13" ht="30" customHeight="1" x14ac:dyDescent="0.2">
      <c r="A487" s="4">
        <v>330</v>
      </c>
      <c r="B487" s="41" t="s">
        <v>1170</v>
      </c>
      <c r="C487" s="344" t="s">
        <v>1138</v>
      </c>
      <c r="D487" s="873">
        <v>30000000</v>
      </c>
      <c r="E487" s="353">
        <f>F487/D487</f>
        <v>0.05</v>
      </c>
      <c r="F487" s="332">
        <v>1500000</v>
      </c>
      <c r="G487" s="332">
        <v>1500000</v>
      </c>
      <c r="H487" s="332" t="s">
        <v>2441</v>
      </c>
      <c r="I487" s="338" t="s">
        <v>2448</v>
      </c>
      <c r="J487" s="21" t="s">
        <v>2449</v>
      </c>
      <c r="K487" s="332">
        <f>G487</f>
        <v>1500000</v>
      </c>
      <c r="L487" s="332">
        <f>F487-K487</f>
        <v>0</v>
      </c>
      <c r="M487" s="41"/>
    </row>
    <row r="488" spans="1:13" ht="30" customHeight="1" x14ac:dyDescent="0.2">
      <c r="A488" s="4">
        <v>331</v>
      </c>
      <c r="B488" s="41" t="s">
        <v>339</v>
      </c>
      <c r="C488" s="344" t="s">
        <v>371</v>
      </c>
      <c r="D488" s="332">
        <v>280000000</v>
      </c>
      <c r="E488" s="17">
        <v>0.06</v>
      </c>
      <c r="F488" s="332">
        <f t="shared" ref="F488:F493" si="34">D488*E488</f>
        <v>16800000</v>
      </c>
      <c r="G488" s="332">
        <v>16800000</v>
      </c>
      <c r="H488" s="332" t="s">
        <v>1782</v>
      </c>
      <c r="I488" s="338" t="s">
        <v>1839</v>
      </c>
      <c r="J488" s="21" t="s">
        <v>1840</v>
      </c>
      <c r="K488" s="332">
        <f>F488</f>
        <v>16800000</v>
      </c>
      <c r="L488" s="332">
        <f>F488-K488</f>
        <v>0</v>
      </c>
      <c r="M488" s="41"/>
    </row>
    <row r="489" spans="1:13" ht="30" customHeight="1" x14ac:dyDescent="0.2">
      <c r="A489" s="4">
        <v>332</v>
      </c>
      <c r="B489" s="41" t="s">
        <v>370</v>
      </c>
      <c r="C489" s="533" t="s">
        <v>371</v>
      </c>
      <c r="D489" s="529">
        <v>30000000</v>
      </c>
      <c r="E489" s="538">
        <v>0.05</v>
      </c>
      <c r="F489" s="529">
        <f t="shared" si="34"/>
        <v>1500000</v>
      </c>
      <c r="G489" s="529">
        <v>1500000</v>
      </c>
      <c r="H489" s="529" t="s">
        <v>1782</v>
      </c>
      <c r="I489" s="537" t="s">
        <v>1833</v>
      </c>
      <c r="J489" s="21" t="s">
        <v>1834</v>
      </c>
      <c r="K489" s="528">
        <f>G489</f>
        <v>1500000</v>
      </c>
      <c r="L489" s="528">
        <f>F489-K489</f>
        <v>0</v>
      </c>
      <c r="M489" s="41"/>
    </row>
    <row r="490" spans="1:13" ht="30" customHeight="1" x14ac:dyDescent="0.2">
      <c r="A490" s="4459">
        <v>333</v>
      </c>
      <c r="B490" s="4457" t="s">
        <v>888</v>
      </c>
      <c r="C490" s="344" t="s">
        <v>889</v>
      </c>
      <c r="D490" s="332">
        <v>320000000</v>
      </c>
      <c r="E490" s="17">
        <v>0.05</v>
      </c>
      <c r="F490" s="332">
        <f t="shared" si="34"/>
        <v>16000000</v>
      </c>
      <c r="G490" s="332">
        <v>16000000</v>
      </c>
      <c r="H490" s="332" t="s">
        <v>897</v>
      </c>
      <c r="I490" s="32" t="s">
        <v>1322</v>
      </c>
      <c r="J490" s="21" t="s">
        <v>1323</v>
      </c>
      <c r="K490" s="4322"/>
      <c r="L490" s="4322"/>
      <c r="M490" s="4599"/>
    </row>
    <row r="491" spans="1:13" ht="30" customHeight="1" x14ac:dyDescent="0.2">
      <c r="A491" s="4460"/>
      <c r="B491" s="4458"/>
      <c r="C491" s="344" t="s">
        <v>890</v>
      </c>
      <c r="D491" s="332">
        <v>100000000</v>
      </c>
      <c r="E491" s="17">
        <v>0.05</v>
      </c>
      <c r="F491" s="332">
        <f t="shared" si="34"/>
        <v>5000000</v>
      </c>
      <c r="G491" s="332"/>
      <c r="H491" s="332"/>
      <c r="I491" s="338"/>
      <c r="J491" s="21"/>
      <c r="K491" s="4322"/>
      <c r="L491" s="4322"/>
      <c r="M491" s="4607"/>
    </row>
    <row r="492" spans="1:13" ht="30" customHeight="1" x14ac:dyDescent="0.2">
      <c r="A492" s="4">
        <v>334</v>
      </c>
      <c r="B492" s="328" t="s">
        <v>1264</v>
      </c>
      <c r="C492" s="344" t="s">
        <v>889</v>
      </c>
      <c r="D492" s="332">
        <v>100000000</v>
      </c>
      <c r="E492" s="17">
        <v>0.05</v>
      </c>
      <c r="F492" s="332">
        <f t="shared" si="34"/>
        <v>5000000</v>
      </c>
      <c r="G492" s="332"/>
      <c r="H492" s="332"/>
      <c r="I492" s="338"/>
      <c r="J492" s="21"/>
      <c r="K492" s="332"/>
      <c r="L492" s="332"/>
      <c r="M492" s="41"/>
    </row>
    <row r="493" spans="1:13" ht="30" customHeight="1" x14ac:dyDescent="0.2">
      <c r="A493" s="4">
        <v>335</v>
      </c>
      <c r="B493" s="328" t="s">
        <v>1276</v>
      </c>
      <c r="C493" s="344" t="s">
        <v>889</v>
      </c>
      <c r="D493" s="332">
        <v>10000000</v>
      </c>
      <c r="E493" s="17">
        <v>0.05</v>
      </c>
      <c r="F493" s="332">
        <f t="shared" si="34"/>
        <v>500000</v>
      </c>
      <c r="G493" s="332"/>
      <c r="H493" s="332"/>
      <c r="I493" s="338"/>
      <c r="J493" s="21"/>
      <c r="K493" s="332"/>
      <c r="L493" s="332"/>
      <c r="M493" s="41"/>
    </row>
    <row r="494" spans="1:13" ht="30" customHeight="1" x14ac:dyDescent="0.2">
      <c r="A494" s="4">
        <v>336</v>
      </c>
      <c r="B494" s="328" t="s">
        <v>1286</v>
      </c>
      <c r="C494" s="344"/>
      <c r="D494" s="351"/>
      <c r="E494" s="40"/>
      <c r="F494" s="332">
        <v>10500000</v>
      </c>
      <c r="G494" s="332">
        <v>10500000</v>
      </c>
      <c r="H494" s="332" t="s">
        <v>897</v>
      </c>
      <c r="I494" s="363" t="s">
        <v>1316</v>
      </c>
      <c r="J494" s="21" t="s">
        <v>1317</v>
      </c>
      <c r="K494" s="332">
        <f>G494</f>
        <v>10500000</v>
      </c>
      <c r="L494" s="332">
        <f>F494-K494</f>
        <v>0</v>
      </c>
      <c r="M494" s="41"/>
    </row>
    <row r="495" spans="1:13" ht="30" customHeight="1" x14ac:dyDescent="0.2">
      <c r="A495" s="4">
        <v>337</v>
      </c>
      <c r="B495" s="328" t="s">
        <v>1304</v>
      </c>
      <c r="C495" s="344" t="s">
        <v>889</v>
      </c>
      <c r="D495" s="332">
        <v>80000000</v>
      </c>
      <c r="E495" s="17">
        <v>7.0000000000000007E-2</v>
      </c>
      <c r="F495" s="332">
        <f t="shared" ref="F495:F505" si="35">D495*E495</f>
        <v>5600000.0000000009</v>
      </c>
      <c r="G495" s="332">
        <v>5600000</v>
      </c>
      <c r="H495" s="332" t="s">
        <v>1474</v>
      </c>
      <c r="I495" s="338" t="s">
        <v>1573</v>
      </c>
      <c r="J495" s="21" t="s">
        <v>1574</v>
      </c>
      <c r="K495" s="332">
        <f>G495</f>
        <v>5600000</v>
      </c>
      <c r="L495" s="332">
        <f>G495-K495</f>
        <v>0</v>
      </c>
      <c r="M495" s="41"/>
    </row>
    <row r="496" spans="1:13" ht="30" customHeight="1" x14ac:dyDescent="0.2">
      <c r="A496" s="4459">
        <v>338</v>
      </c>
      <c r="B496" s="4457" t="s">
        <v>1677</v>
      </c>
      <c r="C496" s="4537"/>
      <c r="D496" s="332">
        <v>235500000</v>
      </c>
      <c r="E496" s="17">
        <v>0.05</v>
      </c>
      <c r="F496" s="427">
        <f t="shared" si="35"/>
        <v>11775000</v>
      </c>
      <c r="G496" s="332">
        <v>20000000</v>
      </c>
      <c r="H496" s="4469" t="s">
        <v>1489</v>
      </c>
      <c r="I496" s="4470"/>
      <c r="J496" s="4470"/>
      <c r="K496" s="4471"/>
      <c r="L496" s="4413">
        <f>(F496+F497)-K497</f>
        <v>0</v>
      </c>
      <c r="M496" s="4599"/>
    </row>
    <row r="497" spans="1:18" ht="30" customHeight="1" x14ac:dyDescent="0.2">
      <c r="A497" s="4464"/>
      <c r="B497" s="4488"/>
      <c r="C497" s="4540"/>
      <c r="D497" s="417">
        <v>300000000</v>
      </c>
      <c r="E497" s="17">
        <v>7.0000000000000007E-2</v>
      </c>
      <c r="F497" s="427">
        <f t="shared" ref="F497:F498" si="36">D497*E497</f>
        <v>21000000.000000004</v>
      </c>
      <c r="G497" s="486">
        <v>12775000</v>
      </c>
      <c r="H497" s="490" t="s">
        <v>1701</v>
      </c>
      <c r="I497" s="490">
        <v>15630</v>
      </c>
      <c r="J497" s="490" t="s">
        <v>1720</v>
      </c>
      <c r="K497" s="490">
        <f>G496+G497</f>
        <v>32775000</v>
      </c>
      <c r="L497" s="4415"/>
      <c r="M497" s="4607"/>
    </row>
    <row r="498" spans="1:18" ht="30" customHeight="1" x14ac:dyDescent="0.2">
      <c r="A498" s="4464"/>
      <c r="B498" s="4488"/>
      <c r="C498" s="4540"/>
      <c r="D498" s="332">
        <v>30000000</v>
      </c>
      <c r="E498" s="17">
        <v>7.0000000000000007E-2</v>
      </c>
      <c r="F498" s="439">
        <f t="shared" si="36"/>
        <v>2100000</v>
      </c>
      <c r="G498" s="4469" t="s">
        <v>1485</v>
      </c>
      <c r="H498" s="4470"/>
      <c r="I498" s="4470"/>
      <c r="J498" s="4470"/>
      <c r="K498" s="4471"/>
      <c r="L498" s="332"/>
      <c r="M498" s="41"/>
    </row>
    <row r="499" spans="1:18" ht="30" customHeight="1" x14ac:dyDescent="0.2">
      <c r="A499" s="4464"/>
      <c r="B499" s="4488"/>
      <c r="C499" s="4540"/>
      <c r="D499" s="506">
        <v>20000000</v>
      </c>
      <c r="E499" s="502">
        <v>7.0000000000000007E-2</v>
      </c>
      <c r="F499" s="517">
        <f>D499*E499</f>
        <v>1400000.0000000002</v>
      </c>
      <c r="G499" s="4469" t="s">
        <v>1487</v>
      </c>
      <c r="H499" s="4470"/>
      <c r="I499" s="4470"/>
      <c r="J499" s="4470"/>
      <c r="K499" s="4471"/>
      <c r="L499" s="500"/>
      <c r="M499" s="41"/>
    </row>
    <row r="500" spans="1:18" ht="30" customHeight="1" x14ac:dyDescent="0.2">
      <c r="A500" s="4460"/>
      <c r="B500" s="4458"/>
      <c r="C500" s="4538"/>
      <c r="D500" s="423">
        <v>12000000</v>
      </c>
      <c r="E500" s="418">
        <v>7.0000000000000007E-2</v>
      </c>
      <c r="F500" s="440">
        <f>D500*E500</f>
        <v>840000.00000000012</v>
      </c>
      <c r="G500" s="4469" t="s">
        <v>1485</v>
      </c>
      <c r="H500" s="4470"/>
      <c r="I500" s="4470"/>
      <c r="J500" s="4470"/>
      <c r="K500" s="4471"/>
      <c r="L500" s="423"/>
      <c r="M500" s="385" t="s">
        <v>1488</v>
      </c>
    </row>
    <row r="501" spans="1:18" ht="30" customHeight="1" x14ac:dyDescent="0.2">
      <c r="A501" s="4459">
        <v>339</v>
      </c>
      <c r="B501" s="4457" t="s">
        <v>170</v>
      </c>
      <c r="C501" s="4537" t="s">
        <v>1306</v>
      </c>
      <c r="D501" s="4413">
        <v>300000000</v>
      </c>
      <c r="E501" s="4476">
        <v>7.0000000000000007E-2</v>
      </c>
      <c r="F501" s="4413">
        <f t="shared" si="35"/>
        <v>21000000.000000004</v>
      </c>
      <c r="G501" s="359">
        <v>50000000</v>
      </c>
      <c r="H501" s="359" t="s">
        <v>1022</v>
      </c>
      <c r="I501" s="359">
        <v>2293</v>
      </c>
      <c r="J501" s="359" t="s">
        <v>1342</v>
      </c>
      <c r="K501" s="4413">
        <f>G501+G502+G503</f>
        <v>125000000</v>
      </c>
      <c r="L501" s="4413">
        <f>125000000-K501</f>
        <v>0</v>
      </c>
      <c r="M501" s="4680" t="s">
        <v>1428</v>
      </c>
      <c r="N501" s="248"/>
      <c r="O501" s="248"/>
      <c r="P501" s="248"/>
      <c r="Q501" s="248"/>
      <c r="R501" s="248"/>
    </row>
    <row r="502" spans="1:18" ht="30" customHeight="1" x14ac:dyDescent="0.2">
      <c r="A502" s="4464"/>
      <c r="B502" s="4488"/>
      <c r="C502" s="4540"/>
      <c r="D502" s="4414"/>
      <c r="E502" s="4516"/>
      <c r="F502" s="4414"/>
      <c r="G502" s="373">
        <v>50000000</v>
      </c>
      <c r="H502" s="373" t="s">
        <v>1359</v>
      </c>
      <c r="I502" s="373">
        <v>173</v>
      </c>
      <c r="J502" s="373" t="s">
        <v>1342</v>
      </c>
      <c r="K502" s="4414"/>
      <c r="L502" s="4415"/>
      <c r="M502" s="4681"/>
      <c r="N502" s="248"/>
      <c r="O502" s="248"/>
      <c r="P502" s="248"/>
      <c r="Q502" s="248"/>
      <c r="R502" s="248"/>
    </row>
    <row r="503" spans="1:18" ht="30" customHeight="1" x14ac:dyDescent="0.2">
      <c r="A503" s="4464"/>
      <c r="B503" s="4488"/>
      <c r="C503" s="4540"/>
      <c r="D503" s="4415"/>
      <c r="E503" s="4477"/>
      <c r="F503" s="4415"/>
      <c r="G503" s="373">
        <v>25000000</v>
      </c>
      <c r="H503" s="373" t="s">
        <v>1405</v>
      </c>
      <c r="I503" s="391">
        <v>3010</v>
      </c>
      <c r="J503" s="373" t="s">
        <v>1427</v>
      </c>
      <c r="K503" s="4415"/>
      <c r="L503" s="370"/>
      <c r="M503" s="398"/>
      <c r="N503" s="248"/>
      <c r="O503" s="248"/>
      <c r="P503" s="248"/>
      <c r="Q503" s="248"/>
      <c r="R503" s="248"/>
    </row>
    <row r="504" spans="1:18" ht="30" customHeight="1" x14ac:dyDescent="0.2">
      <c r="A504" s="4460"/>
      <c r="B504" s="4458"/>
      <c r="C504" s="4538"/>
      <c r="D504" s="332">
        <v>200000000</v>
      </c>
      <c r="E504" s="17">
        <v>7.0000000000000007E-2</v>
      </c>
      <c r="F504" s="332">
        <f t="shared" si="35"/>
        <v>14000000.000000002</v>
      </c>
      <c r="G504" s="387"/>
      <c r="H504" s="387"/>
      <c r="I504" s="387"/>
      <c r="J504" s="387"/>
      <c r="K504" s="387"/>
      <c r="L504" s="387"/>
      <c r="M504" s="385" t="s">
        <v>1307</v>
      </c>
      <c r="N504" s="386"/>
      <c r="O504" s="386"/>
      <c r="P504" s="386"/>
      <c r="Q504" s="386"/>
      <c r="R504" s="386"/>
    </row>
    <row r="505" spans="1:18" ht="30" customHeight="1" x14ac:dyDescent="0.2">
      <c r="A505" s="4459">
        <v>340</v>
      </c>
      <c r="B505" s="4457" t="s">
        <v>67</v>
      </c>
      <c r="C505" s="4537" t="s">
        <v>1138</v>
      </c>
      <c r="D505" s="4413">
        <v>40000000</v>
      </c>
      <c r="E505" s="4476">
        <v>0.05</v>
      </c>
      <c r="F505" s="4413">
        <f t="shared" si="35"/>
        <v>2000000</v>
      </c>
      <c r="G505" s="350">
        <v>2000000</v>
      </c>
      <c r="H505" s="350" t="s">
        <v>897</v>
      </c>
      <c r="I505" s="391">
        <v>653586300720</v>
      </c>
      <c r="J505" s="359" t="s">
        <v>1320</v>
      </c>
      <c r="K505" s="350">
        <f t="shared" ref="K505:K517" si="37">G505</f>
        <v>2000000</v>
      </c>
      <c r="L505" s="390">
        <f>F505-K505</f>
        <v>0</v>
      </c>
      <c r="M505" s="886" t="s">
        <v>2258</v>
      </c>
      <c r="N505" s="386"/>
      <c r="O505" s="386"/>
      <c r="P505" s="386"/>
      <c r="Q505" s="386"/>
      <c r="R505" s="386"/>
    </row>
    <row r="506" spans="1:18" ht="30" customHeight="1" x14ac:dyDescent="0.2">
      <c r="A506" s="4464"/>
      <c r="B506" s="4488"/>
      <c r="C506" s="4540"/>
      <c r="D506" s="4415"/>
      <c r="E506" s="4477"/>
      <c r="F506" s="4415"/>
      <c r="G506" s="4469" t="s">
        <v>2439</v>
      </c>
      <c r="H506" s="4470"/>
      <c r="I506" s="4470"/>
      <c r="J506" s="4470"/>
      <c r="K506" s="4471"/>
      <c r="L506" s="882"/>
      <c r="M506" s="849"/>
      <c r="N506" s="386"/>
      <c r="O506" s="386"/>
      <c r="P506" s="386"/>
      <c r="Q506" s="386"/>
      <c r="R506" s="386"/>
    </row>
    <row r="507" spans="1:18" ht="30" customHeight="1" x14ac:dyDescent="0.2">
      <c r="A507" s="4460"/>
      <c r="B507" s="4458"/>
      <c r="C507" s="4538"/>
      <c r="D507" s="873">
        <v>60000000</v>
      </c>
      <c r="E507" s="881">
        <v>0.05</v>
      </c>
      <c r="F507" s="873">
        <f>D507*E507</f>
        <v>3000000</v>
      </c>
      <c r="G507" s="4593" t="s">
        <v>2207</v>
      </c>
      <c r="H507" s="4594"/>
      <c r="I507" s="4594"/>
      <c r="J507" s="4594"/>
      <c r="K507" s="4595"/>
      <c r="L507" s="882"/>
      <c r="M507" s="899"/>
      <c r="N507" s="386"/>
      <c r="O507" s="386"/>
      <c r="P507" s="386"/>
      <c r="Q507" s="386"/>
      <c r="R507" s="386"/>
    </row>
    <row r="508" spans="1:18" ht="30" customHeight="1" x14ac:dyDescent="0.2">
      <c r="A508" s="347">
        <v>341</v>
      </c>
      <c r="B508" s="348" t="s">
        <v>1357</v>
      </c>
      <c r="C508" s="360"/>
      <c r="D508" s="369"/>
      <c r="E508" s="40"/>
      <c r="F508" s="369"/>
      <c r="G508" s="350">
        <v>4300000</v>
      </c>
      <c r="H508" s="350" t="s">
        <v>1022</v>
      </c>
      <c r="I508" s="391">
        <v>938651</v>
      </c>
      <c r="J508" s="355" t="s">
        <v>1358</v>
      </c>
      <c r="K508" s="350">
        <f t="shared" si="37"/>
        <v>4300000</v>
      </c>
      <c r="L508" s="390">
        <f>G508-K508</f>
        <v>0</v>
      </c>
      <c r="M508" s="385"/>
      <c r="N508" s="386"/>
      <c r="O508" s="386"/>
      <c r="P508" s="386"/>
      <c r="Q508" s="386"/>
      <c r="R508" s="386"/>
    </row>
    <row r="509" spans="1:18" ht="30" customHeight="1" x14ac:dyDescent="0.2">
      <c r="A509" s="642">
        <v>342</v>
      </c>
      <c r="B509" s="368" t="s">
        <v>71</v>
      </c>
      <c r="C509" s="375" t="s">
        <v>2363</v>
      </c>
      <c r="D509" s="370">
        <v>110000000</v>
      </c>
      <c r="E509" s="17">
        <v>0.05</v>
      </c>
      <c r="F509" s="370">
        <f>D509*E509</f>
        <v>5500000</v>
      </c>
      <c r="G509" s="370">
        <v>5500000</v>
      </c>
      <c r="H509" s="370" t="s">
        <v>1359</v>
      </c>
      <c r="I509" s="391">
        <v>160320</v>
      </c>
      <c r="J509" s="374" t="s">
        <v>1361</v>
      </c>
      <c r="K509" s="370">
        <f t="shared" si="37"/>
        <v>5500000</v>
      </c>
      <c r="L509" s="390">
        <f>F509-K509</f>
        <v>0</v>
      </c>
      <c r="M509" s="385"/>
      <c r="N509" s="386"/>
      <c r="O509" s="386"/>
      <c r="P509" s="386"/>
      <c r="Q509" s="386"/>
      <c r="R509" s="386"/>
    </row>
    <row r="510" spans="1:18" ht="30" customHeight="1" x14ac:dyDescent="0.2">
      <c r="A510" s="4459">
        <v>343</v>
      </c>
      <c r="B510" s="4457" t="s">
        <v>1365</v>
      </c>
      <c r="C510" s="4537"/>
      <c r="D510" s="4506"/>
      <c r="E510" s="4512"/>
      <c r="F510" s="4506"/>
      <c r="G510" s="370">
        <v>320000</v>
      </c>
      <c r="H510" s="370" t="s">
        <v>1359</v>
      </c>
      <c r="I510" s="391">
        <v>544031</v>
      </c>
      <c r="J510" s="374" t="s">
        <v>1366</v>
      </c>
      <c r="K510" s="370">
        <f t="shared" si="37"/>
        <v>320000</v>
      </c>
      <c r="L510" s="397">
        <f>F510-K510</f>
        <v>-320000</v>
      </c>
      <c r="M510" s="4603"/>
      <c r="N510" s="386"/>
      <c r="O510" s="386"/>
      <c r="P510" s="386"/>
      <c r="Q510" s="386"/>
      <c r="R510" s="386"/>
    </row>
    <row r="511" spans="1:18" ht="30" customHeight="1" x14ac:dyDescent="0.2">
      <c r="A511" s="4460"/>
      <c r="B511" s="4458"/>
      <c r="C511" s="4538"/>
      <c r="D511" s="4508"/>
      <c r="E511" s="4514"/>
      <c r="F511" s="4508"/>
      <c r="G511" s="923">
        <v>320000</v>
      </c>
      <c r="H511" s="923" t="s">
        <v>2484</v>
      </c>
      <c r="I511" s="391">
        <v>657949149020</v>
      </c>
      <c r="J511" s="929" t="s">
        <v>1366</v>
      </c>
      <c r="K511" s="923">
        <f>G511</f>
        <v>320000</v>
      </c>
      <c r="L511" s="932">
        <f>F511-K511</f>
        <v>-320000</v>
      </c>
      <c r="M511" s="4604"/>
      <c r="N511" s="386"/>
      <c r="O511" s="386"/>
      <c r="P511" s="386"/>
      <c r="Q511" s="386"/>
      <c r="R511" s="386"/>
    </row>
    <row r="512" spans="1:18" ht="30" customHeight="1" x14ac:dyDescent="0.2">
      <c r="A512" s="642">
        <v>344</v>
      </c>
      <c r="B512" s="368" t="s">
        <v>1373</v>
      </c>
      <c r="C512" s="375"/>
      <c r="D512" s="369"/>
      <c r="E512" s="40"/>
      <c r="F512" s="369"/>
      <c r="G512" s="370">
        <v>6500000</v>
      </c>
      <c r="H512" s="370" t="s">
        <v>1359</v>
      </c>
      <c r="I512" s="391">
        <v>884418440</v>
      </c>
      <c r="J512" s="374" t="s">
        <v>1374</v>
      </c>
      <c r="K512" s="370">
        <f t="shared" si="37"/>
        <v>6500000</v>
      </c>
      <c r="L512" s="397">
        <f>F512-K512</f>
        <v>-6500000</v>
      </c>
      <c r="M512" s="385"/>
      <c r="N512" s="386"/>
      <c r="O512" s="386"/>
      <c r="P512" s="386"/>
      <c r="Q512" s="386"/>
      <c r="R512" s="386"/>
    </row>
    <row r="513" spans="1:18" ht="30" customHeight="1" x14ac:dyDescent="0.2">
      <c r="A513" s="642">
        <v>345</v>
      </c>
      <c r="B513" s="368" t="s">
        <v>2080</v>
      </c>
      <c r="C513" s="375" t="s">
        <v>1299</v>
      </c>
      <c r="D513" s="370">
        <v>60000000</v>
      </c>
      <c r="E513" s="17">
        <v>7.0000000000000007E-2</v>
      </c>
      <c r="F513" s="370">
        <f>D513*E513</f>
        <v>4200000</v>
      </c>
      <c r="G513" s="370">
        <v>4200000</v>
      </c>
      <c r="H513" s="370" t="s">
        <v>2072</v>
      </c>
      <c r="I513" s="391">
        <v>122385850637</v>
      </c>
      <c r="J513" s="374" t="s">
        <v>2081</v>
      </c>
      <c r="K513" s="370">
        <f t="shared" si="37"/>
        <v>4200000</v>
      </c>
      <c r="L513" s="674">
        <f>G513-K513</f>
        <v>0</v>
      </c>
      <c r="M513" s="385"/>
      <c r="N513" s="386"/>
      <c r="O513" s="386"/>
      <c r="P513" s="386"/>
      <c r="Q513" s="386"/>
      <c r="R513" s="386"/>
    </row>
    <row r="514" spans="1:18" ht="30" customHeight="1" x14ac:dyDescent="0.2">
      <c r="A514" s="642">
        <v>346</v>
      </c>
      <c r="B514" s="368" t="s">
        <v>1380</v>
      </c>
      <c r="C514" s="375"/>
      <c r="D514" s="369"/>
      <c r="E514" s="40"/>
      <c r="F514" s="369"/>
      <c r="G514" s="370">
        <v>250000</v>
      </c>
      <c r="H514" s="370" t="s">
        <v>1359</v>
      </c>
      <c r="I514" s="391">
        <v>551577</v>
      </c>
      <c r="J514" s="374" t="s">
        <v>1381</v>
      </c>
      <c r="K514" s="370">
        <f t="shared" si="37"/>
        <v>250000</v>
      </c>
      <c r="L514" s="397">
        <f>F514-K514</f>
        <v>-250000</v>
      </c>
      <c r="M514" s="385"/>
      <c r="N514" s="386"/>
      <c r="O514" s="386"/>
      <c r="P514" s="386"/>
      <c r="Q514" s="386"/>
      <c r="R514" s="386"/>
    </row>
    <row r="515" spans="1:18" ht="30" customHeight="1" x14ac:dyDescent="0.2">
      <c r="A515" s="642">
        <v>347</v>
      </c>
      <c r="B515" s="368" t="s">
        <v>178</v>
      </c>
      <c r="C515" s="375"/>
      <c r="D515" s="370">
        <v>130000000</v>
      </c>
      <c r="E515" s="17">
        <v>0.05</v>
      </c>
      <c r="F515" s="370">
        <f>D515*E515</f>
        <v>6500000</v>
      </c>
      <c r="G515" s="370">
        <v>6500000</v>
      </c>
      <c r="H515" s="370" t="s">
        <v>1359</v>
      </c>
      <c r="I515" s="391">
        <v>525106</v>
      </c>
      <c r="J515" s="374" t="s">
        <v>1386</v>
      </c>
      <c r="K515" s="370">
        <f t="shared" si="37"/>
        <v>6500000</v>
      </c>
      <c r="L515" s="390">
        <f>F515-K515</f>
        <v>0</v>
      </c>
      <c r="M515" s="385"/>
      <c r="N515" s="386"/>
      <c r="O515" s="386"/>
      <c r="P515" s="386"/>
      <c r="Q515" s="386"/>
      <c r="R515" s="386"/>
    </row>
    <row r="516" spans="1:18" ht="30" customHeight="1" x14ac:dyDescent="0.2">
      <c r="A516" s="4459">
        <v>348</v>
      </c>
      <c r="B516" s="4457" t="s">
        <v>1408</v>
      </c>
      <c r="C516" s="4537" t="s">
        <v>1306</v>
      </c>
      <c r="D516" s="4413">
        <v>50000000</v>
      </c>
      <c r="E516" s="4476">
        <v>0.04</v>
      </c>
      <c r="F516" s="4413">
        <f>D516*E516</f>
        <v>2000000</v>
      </c>
      <c r="G516" s="370">
        <v>2000000</v>
      </c>
      <c r="H516" s="370" t="s">
        <v>1405</v>
      </c>
      <c r="I516" s="391">
        <v>731008</v>
      </c>
      <c r="J516" s="374" t="s">
        <v>1409</v>
      </c>
      <c r="K516" s="370">
        <f t="shared" si="37"/>
        <v>2000000</v>
      </c>
      <c r="L516" s="390">
        <f>F516-K516</f>
        <v>0</v>
      </c>
      <c r="M516" s="385" t="s">
        <v>2228</v>
      </c>
      <c r="N516" s="386"/>
      <c r="O516" s="386"/>
      <c r="P516" s="386"/>
      <c r="Q516" s="386"/>
      <c r="R516" s="386"/>
    </row>
    <row r="517" spans="1:18" ht="30" customHeight="1" x14ac:dyDescent="0.2">
      <c r="A517" s="4460"/>
      <c r="B517" s="4458"/>
      <c r="C517" s="4538"/>
      <c r="D517" s="4415"/>
      <c r="E517" s="4477"/>
      <c r="F517" s="4415"/>
      <c r="G517" s="690">
        <v>2000000</v>
      </c>
      <c r="H517" s="690" t="s">
        <v>2165</v>
      </c>
      <c r="I517" s="391">
        <v>890776915</v>
      </c>
      <c r="J517" s="695" t="s">
        <v>1409</v>
      </c>
      <c r="K517" s="690">
        <f t="shared" si="37"/>
        <v>2000000</v>
      </c>
      <c r="L517" s="702">
        <f>G517-K517</f>
        <v>0</v>
      </c>
      <c r="M517" s="385"/>
      <c r="N517" s="386"/>
      <c r="O517" s="386"/>
      <c r="P517" s="386"/>
      <c r="Q517" s="386"/>
      <c r="R517" s="386"/>
    </row>
    <row r="518" spans="1:18" ht="30" customHeight="1" x14ac:dyDescent="0.2">
      <c r="A518" s="642">
        <v>349</v>
      </c>
      <c r="B518" s="393" t="s">
        <v>1526</v>
      </c>
      <c r="C518" s="396"/>
      <c r="D518" s="394">
        <v>80000000</v>
      </c>
      <c r="E518" s="17">
        <v>0.04</v>
      </c>
      <c r="F518" s="394">
        <f>D518*E518</f>
        <v>3200000</v>
      </c>
      <c r="G518" s="394"/>
      <c r="H518" s="394"/>
      <c r="I518" s="391"/>
      <c r="J518" s="395"/>
      <c r="K518" s="394"/>
      <c r="L518" s="390">
        <f t="shared" ref="L518:L525" si="38">F518-K518</f>
        <v>3200000</v>
      </c>
      <c r="M518" s="385" t="s">
        <v>4192</v>
      </c>
      <c r="N518" s="386"/>
      <c r="O518" s="386"/>
      <c r="P518" s="386"/>
      <c r="Q518" s="386"/>
      <c r="R518" s="386"/>
    </row>
    <row r="519" spans="1:18" ht="30" customHeight="1" x14ac:dyDescent="0.2">
      <c r="A519" s="642">
        <v>350</v>
      </c>
      <c r="B519" s="415" t="s">
        <v>1554</v>
      </c>
      <c r="C519" s="416"/>
      <c r="D519" s="417">
        <v>110000000</v>
      </c>
      <c r="E519" s="4610" t="s">
        <v>1556</v>
      </c>
      <c r="F519" s="4611"/>
      <c r="G519" s="417">
        <v>9000000</v>
      </c>
      <c r="H519" s="417" t="s">
        <v>1474</v>
      </c>
      <c r="I519" s="391">
        <v>792864814515</v>
      </c>
      <c r="J519" s="426" t="s">
        <v>1555</v>
      </c>
      <c r="K519" s="417">
        <f>G519</f>
        <v>9000000</v>
      </c>
      <c r="L519" s="397">
        <f t="shared" si="38"/>
        <v>-9000000</v>
      </c>
      <c r="M519" s="385"/>
      <c r="N519" s="386"/>
      <c r="O519" s="386"/>
      <c r="P519" s="386"/>
      <c r="Q519" s="386"/>
      <c r="R519" s="386"/>
    </row>
    <row r="520" spans="1:18" ht="30" customHeight="1" x14ac:dyDescent="0.2">
      <c r="A520" s="642">
        <v>351</v>
      </c>
      <c r="B520" s="415" t="s">
        <v>1558</v>
      </c>
      <c r="C520" s="416"/>
      <c r="D520" s="417">
        <v>560000000</v>
      </c>
      <c r="E520" s="17">
        <v>7.0000000000000007E-2</v>
      </c>
      <c r="F520" s="417">
        <f>D520*E520</f>
        <v>39200000.000000007</v>
      </c>
      <c r="G520" s="417">
        <v>39200000</v>
      </c>
      <c r="H520" s="417" t="s">
        <v>1474</v>
      </c>
      <c r="I520" s="391">
        <v>10165</v>
      </c>
      <c r="J520" s="426" t="s">
        <v>1559</v>
      </c>
      <c r="K520" s="417">
        <f>G520</f>
        <v>39200000</v>
      </c>
      <c r="L520" s="390">
        <f t="shared" si="38"/>
        <v>0</v>
      </c>
      <c r="M520" s="385"/>
      <c r="N520" s="386"/>
      <c r="O520" s="386"/>
      <c r="P520" s="386"/>
      <c r="Q520" s="386"/>
      <c r="R520" s="386"/>
    </row>
    <row r="521" spans="1:18" ht="30" customHeight="1" x14ac:dyDescent="0.2">
      <c r="A521" s="642">
        <v>352</v>
      </c>
      <c r="B521" s="415" t="s">
        <v>1561</v>
      </c>
      <c r="C521" s="416"/>
      <c r="D521" s="1126">
        <v>50000000</v>
      </c>
      <c r="E521" s="1129">
        <v>7.0000000000000007E-2</v>
      </c>
      <c r="F521" s="1126">
        <f>D521*E521</f>
        <v>3500000.0000000005</v>
      </c>
      <c r="G521" s="1126">
        <v>3500000</v>
      </c>
      <c r="H521" s="1126" t="s">
        <v>1474</v>
      </c>
      <c r="I521" s="391">
        <v>885318080</v>
      </c>
      <c r="J521" s="1127" t="s">
        <v>1562</v>
      </c>
      <c r="K521" s="1126">
        <f>G521</f>
        <v>3500000</v>
      </c>
      <c r="L521" s="1128">
        <f t="shared" si="38"/>
        <v>0</v>
      </c>
      <c r="M521" s="385"/>
      <c r="N521" s="386"/>
      <c r="O521" s="386"/>
      <c r="P521" s="386"/>
      <c r="Q521" s="386"/>
      <c r="R521" s="386"/>
    </row>
    <row r="522" spans="1:18" ht="30" customHeight="1" x14ac:dyDescent="0.2">
      <c r="A522" s="642">
        <v>353</v>
      </c>
      <c r="B522" s="415" t="s">
        <v>1565</v>
      </c>
      <c r="C522" s="416"/>
      <c r="D522" s="417">
        <v>50000000</v>
      </c>
      <c r="E522" s="40"/>
      <c r="F522" s="420"/>
      <c r="G522" s="417"/>
      <c r="H522" s="417"/>
      <c r="I522" s="391"/>
      <c r="J522" s="426"/>
      <c r="K522" s="417"/>
      <c r="L522" s="390">
        <f t="shared" si="38"/>
        <v>0</v>
      </c>
      <c r="M522" s="385" t="s">
        <v>1566</v>
      </c>
      <c r="N522" s="386"/>
      <c r="O522" s="386"/>
      <c r="P522" s="386"/>
      <c r="Q522" s="386"/>
      <c r="R522" s="386"/>
    </row>
    <row r="523" spans="1:18" ht="30" customHeight="1" x14ac:dyDescent="0.2">
      <c r="A523" s="642">
        <v>354</v>
      </c>
      <c r="B523" s="432" t="s">
        <v>4023</v>
      </c>
      <c r="C523" s="434"/>
      <c r="D523" s="433">
        <v>70000000</v>
      </c>
      <c r="E523" s="17">
        <v>0.04</v>
      </c>
      <c r="F523" s="433">
        <f>D523*E523</f>
        <v>2800000</v>
      </c>
      <c r="G523" s="433">
        <v>2800000</v>
      </c>
      <c r="H523" s="433" t="s">
        <v>1474</v>
      </c>
      <c r="I523" s="391">
        <v>885369253</v>
      </c>
      <c r="J523" s="391" t="s">
        <v>1578</v>
      </c>
      <c r="K523" s="433">
        <f>G523</f>
        <v>2800000</v>
      </c>
      <c r="L523" s="390">
        <f t="shared" si="38"/>
        <v>0</v>
      </c>
      <c r="M523" s="385"/>
      <c r="N523" s="386"/>
      <c r="O523" s="386"/>
      <c r="P523" s="386"/>
      <c r="Q523" s="386"/>
      <c r="R523" s="386"/>
    </row>
    <row r="524" spans="1:18" ht="30" customHeight="1" x14ac:dyDescent="0.2">
      <c r="A524" s="642">
        <v>355</v>
      </c>
      <c r="B524" s="456" t="s">
        <v>1582</v>
      </c>
      <c r="C524" s="458"/>
      <c r="D524" s="1092">
        <v>115000000</v>
      </c>
      <c r="E524" s="1101">
        <v>0.05</v>
      </c>
      <c r="F524" s="1092">
        <f>D524*E524</f>
        <v>5750000</v>
      </c>
      <c r="G524" s="1092">
        <v>5000000</v>
      </c>
      <c r="H524" s="1092" t="s">
        <v>1474</v>
      </c>
      <c r="I524" s="391">
        <v>121954245813</v>
      </c>
      <c r="J524" s="473" t="s">
        <v>1583</v>
      </c>
      <c r="K524" s="1092">
        <f>G524</f>
        <v>5000000</v>
      </c>
      <c r="L524" s="1100">
        <f t="shared" si="38"/>
        <v>750000</v>
      </c>
      <c r="M524" s="385"/>
      <c r="N524" s="386"/>
      <c r="O524" s="386"/>
      <c r="P524" s="386"/>
      <c r="Q524" s="386"/>
      <c r="R524" s="386"/>
    </row>
    <row r="525" spans="1:18" ht="30" customHeight="1" x14ac:dyDescent="0.2">
      <c r="A525" s="642">
        <v>356</v>
      </c>
      <c r="B525" s="456" t="s">
        <v>1590</v>
      </c>
      <c r="C525" s="458"/>
      <c r="D525" s="459"/>
      <c r="E525" s="40"/>
      <c r="F525" s="459"/>
      <c r="G525" s="455">
        <v>2800000</v>
      </c>
      <c r="H525" s="455" t="s">
        <v>1474</v>
      </c>
      <c r="I525" s="391">
        <v>885445016</v>
      </c>
      <c r="J525" s="473" t="s">
        <v>1591</v>
      </c>
      <c r="K525" s="455">
        <f>G525</f>
        <v>2800000</v>
      </c>
      <c r="L525" s="397">
        <f t="shared" si="38"/>
        <v>-2800000</v>
      </c>
      <c r="M525" s="385"/>
      <c r="N525" s="386"/>
      <c r="O525" s="386"/>
      <c r="P525" s="386"/>
      <c r="Q525" s="386"/>
      <c r="R525" s="386"/>
    </row>
    <row r="526" spans="1:18" ht="30" customHeight="1" x14ac:dyDescent="0.2">
      <c r="A526" s="642">
        <v>357</v>
      </c>
      <c r="B526" s="456" t="s">
        <v>1592</v>
      </c>
      <c r="C526" s="458"/>
      <c r="D526" s="455">
        <v>70000000</v>
      </c>
      <c r="E526" s="40"/>
      <c r="F526" s="459"/>
      <c r="G526" s="455"/>
      <c r="H526" s="455"/>
      <c r="I526" s="391"/>
      <c r="J526" s="473"/>
      <c r="K526" s="455"/>
      <c r="L526" s="397"/>
      <c r="M526" s="385" t="s">
        <v>1593</v>
      </c>
      <c r="N526" s="386"/>
      <c r="O526" s="386"/>
      <c r="P526" s="386"/>
      <c r="Q526" s="386"/>
      <c r="R526" s="386"/>
    </row>
    <row r="527" spans="1:18" ht="30" customHeight="1" x14ac:dyDescent="0.2">
      <c r="A527" s="642">
        <v>358</v>
      </c>
      <c r="B527" s="456" t="s">
        <v>1597</v>
      </c>
      <c r="C527" s="458"/>
      <c r="D527" s="459"/>
      <c r="E527" s="40"/>
      <c r="F527" s="459"/>
      <c r="G527" s="455">
        <v>6000000</v>
      </c>
      <c r="H527" s="455" t="s">
        <v>1594</v>
      </c>
      <c r="I527" s="391">
        <v>885556634</v>
      </c>
      <c r="J527" s="473" t="s">
        <v>1598</v>
      </c>
      <c r="K527" s="455">
        <f t="shared" ref="K527:K541" si="39">G527</f>
        <v>6000000</v>
      </c>
      <c r="L527" s="397">
        <f t="shared" ref="L527:L541" si="40">F527-K527</f>
        <v>-6000000</v>
      </c>
      <c r="M527" s="385"/>
      <c r="N527" s="386"/>
      <c r="O527" s="386"/>
      <c r="P527" s="386"/>
      <c r="Q527" s="386"/>
      <c r="R527" s="386"/>
    </row>
    <row r="528" spans="1:18" ht="30" customHeight="1" x14ac:dyDescent="0.2">
      <c r="A528" s="4459">
        <v>359</v>
      </c>
      <c r="B528" s="4457" t="s">
        <v>1599</v>
      </c>
      <c r="C528" s="4537"/>
      <c r="D528" s="4506"/>
      <c r="E528" s="4512"/>
      <c r="F528" s="4506"/>
      <c r="G528" s="455">
        <v>500000</v>
      </c>
      <c r="H528" s="455" t="s">
        <v>1594</v>
      </c>
      <c r="I528" s="391">
        <v>489571</v>
      </c>
      <c r="J528" s="473" t="s">
        <v>1600</v>
      </c>
      <c r="K528" s="4413">
        <f>G528+G529</f>
        <v>1500000</v>
      </c>
      <c r="L528" s="4605">
        <f t="shared" si="40"/>
        <v>-1500000</v>
      </c>
      <c r="M528" s="4603"/>
      <c r="N528" s="386"/>
      <c r="O528" s="386"/>
      <c r="P528" s="386"/>
      <c r="Q528" s="386"/>
      <c r="R528" s="386"/>
    </row>
    <row r="529" spans="1:18" ht="30" customHeight="1" x14ac:dyDescent="0.2">
      <c r="A529" s="4460"/>
      <c r="B529" s="4458"/>
      <c r="C529" s="4538"/>
      <c r="D529" s="4508"/>
      <c r="E529" s="4514"/>
      <c r="F529" s="4508"/>
      <c r="G529" s="690">
        <v>1000000</v>
      </c>
      <c r="H529" s="690" t="s">
        <v>2147</v>
      </c>
      <c r="I529" s="391">
        <v>122423409278</v>
      </c>
      <c r="J529" s="473" t="s">
        <v>1600</v>
      </c>
      <c r="K529" s="4415"/>
      <c r="L529" s="4606"/>
      <c r="M529" s="4604"/>
      <c r="N529" s="386"/>
      <c r="O529" s="386"/>
      <c r="P529" s="386"/>
      <c r="Q529" s="386"/>
      <c r="R529" s="386"/>
    </row>
    <row r="530" spans="1:18" ht="30" customHeight="1" x14ac:dyDescent="0.2">
      <c r="A530" s="642">
        <v>360</v>
      </c>
      <c r="B530" s="456" t="s">
        <v>1614</v>
      </c>
      <c r="C530" s="458"/>
      <c r="D530" s="610">
        <v>500000000</v>
      </c>
      <c r="E530" s="622">
        <f>F530/D530</f>
        <v>5.4199999999999998E-2</v>
      </c>
      <c r="F530" s="610">
        <v>27100000</v>
      </c>
      <c r="G530" s="610">
        <v>27100000</v>
      </c>
      <c r="H530" s="610" t="s">
        <v>1594</v>
      </c>
      <c r="I530" s="391">
        <v>1.4010406054200199E+19</v>
      </c>
      <c r="J530" s="473" t="s">
        <v>1611</v>
      </c>
      <c r="K530" s="610">
        <f t="shared" si="39"/>
        <v>27100000</v>
      </c>
      <c r="L530" s="621">
        <f t="shared" si="40"/>
        <v>0</v>
      </c>
      <c r="M530" s="385"/>
      <c r="N530" s="386"/>
      <c r="O530" s="386"/>
      <c r="P530" s="386"/>
      <c r="Q530" s="386"/>
      <c r="R530" s="386"/>
    </row>
    <row r="531" spans="1:18" ht="30" customHeight="1" x14ac:dyDescent="0.2">
      <c r="A531" s="4459">
        <v>361</v>
      </c>
      <c r="B531" s="4457" t="s">
        <v>1612</v>
      </c>
      <c r="C531" s="4537"/>
      <c r="D531" s="4413"/>
      <c r="E531" s="4476"/>
      <c r="F531" s="4413">
        <v>103600000</v>
      </c>
      <c r="G531" s="455">
        <v>15000000</v>
      </c>
      <c r="H531" s="455" t="s">
        <v>1594</v>
      </c>
      <c r="I531" s="391">
        <v>1.4010406054200199E+19</v>
      </c>
      <c r="J531" s="473" t="s">
        <v>1613</v>
      </c>
      <c r="K531" s="4413">
        <f>G531+G532+G533+G534+G535</f>
        <v>103600000</v>
      </c>
      <c r="L531" s="4603">
        <f>F531-K531</f>
        <v>0</v>
      </c>
      <c r="M531" s="848"/>
      <c r="N531" s="386"/>
      <c r="O531" s="386"/>
      <c r="P531" s="386"/>
      <c r="Q531" s="386"/>
      <c r="R531" s="386"/>
    </row>
    <row r="532" spans="1:18" ht="30" customHeight="1" x14ac:dyDescent="0.2">
      <c r="A532" s="4464"/>
      <c r="B532" s="4488"/>
      <c r="C532" s="4540"/>
      <c r="D532" s="4414"/>
      <c r="E532" s="4516"/>
      <c r="F532" s="4414"/>
      <c r="G532" s="643">
        <v>20000000</v>
      </c>
      <c r="H532" s="643" t="s">
        <v>1994</v>
      </c>
      <c r="I532" s="391">
        <v>1.40104150162812E+17</v>
      </c>
      <c r="J532" s="473" t="s">
        <v>1613</v>
      </c>
      <c r="K532" s="4414"/>
      <c r="L532" s="4609"/>
      <c r="M532" s="849"/>
      <c r="N532" s="386"/>
      <c r="O532" s="386"/>
      <c r="P532" s="386"/>
      <c r="Q532" s="386"/>
      <c r="R532" s="386"/>
    </row>
    <row r="533" spans="1:18" ht="30" customHeight="1" x14ac:dyDescent="0.2">
      <c r="A533" s="4464"/>
      <c r="B533" s="4488"/>
      <c r="C533" s="4540"/>
      <c r="D533" s="4414"/>
      <c r="E533" s="4516"/>
      <c r="F533" s="4414"/>
      <c r="G533" s="731">
        <v>18000000</v>
      </c>
      <c r="H533" s="731"/>
      <c r="I533" s="391"/>
      <c r="J533" s="473"/>
      <c r="K533" s="4414"/>
      <c r="L533" s="4609"/>
      <c r="M533" s="849"/>
      <c r="N533" s="386"/>
      <c r="O533" s="386"/>
      <c r="P533" s="386"/>
      <c r="Q533" s="386"/>
      <c r="R533" s="386"/>
    </row>
    <row r="534" spans="1:18" ht="30" customHeight="1" x14ac:dyDescent="0.2">
      <c r="A534" s="4464"/>
      <c r="B534" s="4488"/>
      <c r="C534" s="4540"/>
      <c r="D534" s="4414"/>
      <c r="E534" s="4516"/>
      <c r="F534" s="4414"/>
      <c r="G534" s="731">
        <v>40000000</v>
      </c>
      <c r="H534" s="731"/>
      <c r="I534" s="391"/>
      <c r="J534" s="473"/>
      <c r="K534" s="4414"/>
      <c r="L534" s="4609"/>
      <c r="M534" s="849"/>
      <c r="N534" s="386"/>
      <c r="O534" s="386"/>
      <c r="P534" s="386"/>
      <c r="Q534" s="386"/>
      <c r="R534" s="386"/>
    </row>
    <row r="535" spans="1:18" ht="30" customHeight="1" x14ac:dyDescent="0.2">
      <c r="A535" s="4464"/>
      <c r="B535" s="4488"/>
      <c r="C535" s="4540"/>
      <c r="D535" s="4414"/>
      <c r="E535" s="4516"/>
      <c r="F535" s="4414"/>
      <c r="G535" s="820">
        <v>10600000</v>
      </c>
      <c r="H535" s="820" t="s">
        <v>2262</v>
      </c>
      <c r="I535" s="391">
        <v>891695712</v>
      </c>
      <c r="J535" s="473" t="s">
        <v>2291</v>
      </c>
      <c r="K535" s="4415"/>
      <c r="L535" s="4604"/>
      <c r="M535" s="850" t="s">
        <v>2370</v>
      </c>
      <c r="N535" s="386"/>
      <c r="O535" s="386"/>
      <c r="P535" s="386"/>
      <c r="Q535" s="386"/>
      <c r="R535" s="386"/>
    </row>
    <row r="536" spans="1:18" ht="30" customHeight="1" x14ac:dyDescent="0.2">
      <c r="A536" s="4464"/>
      <c r="B536" s="4488"/>
      <c r="C536" s="4540"/>
      <c r="D536" s="4414"/>
      <c r="E536" s="4516"/>
      <c r="F536" s="4414"/>
      <c r="G536" s="917">
        <v>5000000</v>
      </c>
      <c r="H536" s="917" t="s">
        <v>2368</v>
      </c>
      <c r="I536" s="921">
        <v>942173</v>
      </c>
      <c r="J536" s="922" t="s">
        <v>2369</v>
      </c>
      <c r="K536" s="4597">
        <f>G536+G537</f>
        <v>10000000</v>
      </c>
      <c r="L536" s="4605"/>
      <c r="M536" s="385" t="s">
        <v>2387</v>
      </c>
      <c r="N536" s="386"/>
      <c r="O536" s="386"/>
      <c r="P536" s="386"/>
      <c r="Q536" s="386"/>
      <c r="R536" s="386"/>
    </row>
    <row r="537" spans="1:18" ht="30" customHeight="1" x14ac:dyDescent="0.2">
      <c r="A537" s="4460"/>
      <c r="B537" s="4458"/>
      <c r="C537" s="4538"/>
      <c r="D537" s="4415"/>
      <c r="E537" s="4477"/>
      <c r="F537" s="4415"/>
      <c r="G537" s="917">
        <v>5000000</v>
      </c>
      <c r="H537" s="917" t="s">
        <v>1939</v>
      </c>
      <c r="I537" s="921">
        <v>657945629243</v>
      </c>
      <c r="J537" s="922" t="s">
        <v>2467</v>
      </c>
      <c r="K537" s="4598"/>
      <c r="L537" s="4606"/>
      <c r="M537" s="385" t="s">
        <v>2468</v>
      </c>
      <c r="N537" s="386"/>
      <c r="O537" s="386"/>
      <c r="P537" s="386"/>
      <c r="Q537" s="386"/>
      <c r="R537" s="386"/>
    </row>
    <row r="538" spans="1:18" ht="30" customHeight="1" x14ac:dyDescent="0.2">
      <c r="A538" s="457">
        <v>362</v>
      </c>
      <c r="B538" s="456" t="s">
        <v>1619</v>
      </c>
      <c r="C538" s="458" t="s">
        <v>1652</v>
      </c>
      <c r="D538" s="455">
        <v>300000000</v>
      </c>
      <c r="E538" s="17">
        <v>4.4999999999999998E-2</v>
      </c>
      <c r="F538" s="455">
        <f>D538*E538</f>
        <v>13500000</v>
      </c>
      <c r="G538" s="455">
        <v>13500000</v>
      </c>
      <c r="H538" s="455" t="s">
        <v>1616</v>
      </c>
      <c r="I538" s="391">
        <v>1.4010407054200001E+19</v>
      </c>
      <c r="J538" s="473" t="s">
        <v>1620</v>
      </c>
      <c r="K538" s="455">
        <f t="shared" si="39"/>
        <v>13500000</v>
      </c>
      <c r="L538" s="390">
        <f t="shared" si="40"/>
        <v>0</v>
      </c>
      <c r="M538" s="385"/>
      <c r="N538" s="386"/>
      <c r="O538" s="386"/>
      <c r="P538" s="386"/>
      <c r="Q538" s="386"/>
      <c r="R538" s="386"/>
    </row>
    <row r="539" spans="1:18" ht="30" customHeight="1" x14ac:dyDescent="0.2">
      <c r="A539" s="457">
        <v>363</v>
      </c>
      <c r="B539" s="456" t="s">
        <v>1641</v>
      </c>
      <c r="C539" s="458"/>
      <c r="D539" s="455"/>
      <c r="E539" s="17"/>
      <c r="F539" s="455"/>
      <c r="G539" s="455">
        <v>1060000</v>
      </c>
      <c r="H539" s="455" t="s">
        <v>1616</v>
      </c>
      <c r="I539" s="391">
        <v>456199</v>
      </c>
      <c r="J539" s="473" t="s">
        <v>1621</v>
      </c>
      <c r="K539" s="455">
        <f t="shared" si="39"/>
        <v>1060000</v>
      </c>
      <c r="L539" s="390">
        <f t="shared" si="40"/>
        <v>-1060000</v>
      </c>
      <c r="M539" s="385"/>
      <c r="N539" s="386"/>
      <c r="O539" s="386"/>
      <c r="P539" s="386"/>
      <c r="Q539" s="386"/>
      <c r="R539" s="386"/>
    </row>
    <row r="540" spans="1:18" ht="30" customHeight="1" x14ac:dyDescent="0.2">
      <c r="A540" s="642">
        <v>364</v>
      </c>
      <c r="B540" s="456" t="s">
        <v>1637</v>
      </c>
      <c r="C540" s="458"/>
      <c r="D540" s="459"/>
      <c r="E540" s="40"/>
      <c r="F540" s="459"/>
      <c r="G540" s="455">
        <v>6600000</v>
      </c>
      <c r="H540" s="455" t="s">
        <v>1616</v>
      </c>
      <c r="I540" s="391">
        <v>1.4010407054200001E+19</v>
      </c>
      <c r="J540" s="473" t="s">
        <v>1638</v>
      </c>
      <c r="K540" s="455">
        <f t="shared" si="39"/>
        <v>6600000</v>
      </c>
      <c r="L540" s="397">
        <f t="shared" si="40"/>
        <v>-6600000</v>
      </c>
      <c r="M540" s="385"/>
      <c r="N540" s="386"/>
      <c r="O540" s="386"/>
      <c r="P540" s="386"/>
      <c r="Q540" s="386"/>
      <c r="R540" s="386"/>
    </row>
    <row r="541" spans="1:18" ht="30" customHeight="1" x14ac:dyDescent="0.2">
      <c r="A541" s="642">
        <v>365</v>
      </c>
      <c r="B541" s="456" t="s">
        <v>1639</v>
      </c>
      <c r="C541" s="458"/>
      <c r="D541" s="459"/>
      <c r="E541" s="40"/>
      <c r="F541" s="459"/>
      <c r="G541" s="455">
        <v>19000000</v>
      </c>
      <c r="H541" s="455" t="s">
        <v>1616</v>
      </c>
      <c r="I541" s="391">
        <v>17114</v>
      </c>
      <c r="J541" s="473" t="s">
        <v>1640</v>
      </c>
      <c r="K541" s="455">
        <f t="shared" si="39"/>
        <v>19000000</v>
      </c>
      <c r="L541" s="397">
        <f t="shared" si="40"/>
        <v>-19000000</v>
      </c>
      <c r="M541" s="385" t="s">
        <v>2739</v>
      </c>
      <c r="N541" s="386"/>
      <c r="O541" s="386"/>
      <c r="P541" s="386"/>
      <c r="Q541" s="386"/>
      <c r="R541" s="386"/>
    </row>
    <row r="542" spans="1:18" ht="30" customHeight="1" x14ac:dyDescent="0.2">
      <c r="A542" s="642">
        <v>366</v>
      </c>
      <c r="B542" s="462" t="s">
        <v>1719</v>
      </c>
      <c r="C542" s="469" t="s">
        <v>1107</v>
      </c>
      <c r="D542" s="465">
        <v>70000000</v>
      </c>
      <c r="E542" s="474">
        <v>6.3E-2</v>
      </c>
      <c r="F542" s="465">
        <v>4400000</v>
      </c>
      <c r="G542" s="485">
        <v>8800000</v>
      </c>
      <c r="H542" s="485" t="s">
        <v>1701</v>
      </c>
      <c r="I542" s="391">
        <v>886869894</v>
      </c>
      <c r="J542" s="473" t="s">
        <v>1703</v>
      </c>
      <c r="K542" s="485">
        <f>G542</f>
        <v>8800000</v>
      </c>
      <c r="L542" s="390">
        <f>F542-K542</f>
        <v>-4400000</v>
      </c>
      <c r="M542" s="385" t="s">
        <v>1702</v>
      </c>
      <c r="N542" s="386"/>
      <c r="O542" s="386"/>
      <c r="P542" s="386"/>
      <c r="Q542" s="386"/>
      <c r="R542" s="386"/>
    </row>
    <row r="543" spans="1:18" ht="30" customHeight="1" x14ac:dyDescent="0.2">
      <c r="A543" s="642">
        <v>367</v>
      </c>
      <c r="B543" s="462" t="s">
        <v>1666</v>
      </c>
      <c r="C543" s="469"/>
      <c r="D543" s="467"/>
      <c r="E543" s="40"/>
      <c r="F543" s="467">
        <f>D543*E543</f>
        <v>0</v>
      </c>
      <c r="G543" s="465">
        <v>1250000</v>
      </c>
      <c r="H543" s="465" t="s">
        <v>1658</v>
      </c>
      <c r="I543" s="391">
        <v>122048261797</v>
      </c>
      <c r="J543" s="473" t="s">
        <v>1667</v>
      </c>
      <c r="K543" s="465">
        <f>G543</f>
        <v>1250000</v>
      </c>
      <c r="L543" s="397">
        <f>F543-K543</f>
        <v>-1250000</v>
      </c>
      <c r="M543" s="385"/>
      <c r="N543" s="386"/>
      <c r="O543" s="386"/>
      <c r="P543" s="386"/>
      <c r="Q543" s="386"/>
      <c r="R543" s="386"/>
    </row>
    <row r="544" spans="1:18" ht="30" customHeight="1" x14ac:dyDescent="0.2">
      <c r="A544" s="642">
        <v>368</v>
      </c>
      <c r="B544" s="462" t="s">
        <v>1793</v>
      </c>
      <c r="C544" s="469"/>
      <c r="D544" s="465">
        <v>800000000</v>
      </c>
      <c r="E544" s="474">
        <v>7.0000000000000007E-2</v>
      </c>
      <c r="F544" s="465">
        <f>D544*E544</f>
        <v>56000000.000000007</v>
      </c>
      <c r="G544" s="465"/>
      <c r="H544" s="465"/>
      <c r="I544" s="391"/>
      <c r="J544" s="473"/>
      <c r="K544" s="465"/>
      <c r="L544" s="390"/>
      <c r="M544" s="385"/>
      <c r="N544" s="386"/>
      <c r="O544" s="386"/>
      <c r="P544" s="386"/>
      <c r="Q544" s="386"/>
      <c r="R544" s="386"/>
    </row>
    <row r="545" spans="1:18" ht="30" customHeight="1" x14ac:dyDescent="0.2">
      <c r="A545" s="642">
        <v>369</v>
      </c>
      <c r="B545" s="462" t="s">
        <v>1676</v>
      </c>
      <c r="C545" s="469" t="s">
        <v>1652</v>
      </c>
      <c r="D545" s="465">
        <v>250000000</v>
      </c>
      <c r="E545" s="474"/>
      <c r="F545" s="465"/>
      <c r="G545" s="465"/>
      <c r="H545" s="465"/>
      <c r="I545" s="391"/>
      <c r="J545" s="473"/>
      <c r="K545" s="465"/>
      <c r="L545" s="390"/>
      <c r="M545" s="385"/>
      <c r="N545" s="386"/>
      <c r="O545" s="386"/>
      <c r="P545" s="386"/>
      <c r="Q545" s="386"/>
      <c r="R545" s="386"/>
    </row>
    <row r="546" spans="1:18" ht="30" customHeight="1" x14ac:dyDescent="0.2">
      <c r="A546" s="4459">
        <v>370</v>
      </c>
      <c r="B546" s="4457" t="s">
        <v>1696</v>
      </c>
      <c r="C546" s="4537" t="s">
        <v>3323</v>
      </c>
      <c r="D546" s="4413">
        <v>200000000</v>
      </c>
      <c r="E546" s="4476">
        <v>0.05</v>
      </c>
      <c r="F546" s="4413">
        <f>D546*E546</f>
        <v>10000000</v>
      </c>
      <c r="G546" s="475">
        <v>10000000</v>
      </c>
      <c r="H546" s="475" t="s">
        <v>1658</v>
      </c>
      <c r="I546" s="391">
        <v>1.4010408054200101E+19</v>
      </c>
      <c r="J546" s="473" t="s">
        <v>2528</v>
      </c>
      <c r="K546" s="475">
        <f t="shared" ref="K546:K554" si="41">G546</f>
        <v>10000000</v>
      </c>
      <c r="L546" s="1958">
        <f>F546-K546</f>
        <v>0</v>
      </c>
      <c r="M546" s="848"/>
      <c r="N546" s="386"/>
      <c r="O546" s="386"/>
      <c r="P546" s="386"/>
      <c r="Q546" s="386"/>
      <c r="R546" s="386"/>
    </row>
    <row r="547" spans="1:18" ht="30" customHeight="1" x14ac:dyDescent="0.2">
      <c r="A547" s="4460"/>
      <c r="B547" s="4458"/>
      <c r="C547" s="4538"/>
      <c r="D547" s="4415"/>
      <c r="E547" s="4477"/>
      <c r="F547" s="4415"/>
      <c r="G547" s="923">
        <v>10000000</v>
      </c>
      <c r="H547" s="923" t="s">
        <v>1939</v>
      </c>
      <c r="I547" s="391">
        <v>310488</v>
      </c>
      <c r="J547" s="473" t="s">
        <v>2483</v>
      </c>
      <c r="K547" s="923">
        <f>G547</f>
        <v>10000000</v>
      </c>
      <c r="L547" s="1958">
        <f>F546-K547</f>
        <v>0</v>
      </c>
      <c r="M547" s="899" t="s">
        <v>2468</v>
      </c>
      <c r="N547" s="386"/>
      <c r="O547" s="386"/>
      <c r="P547" s="386"/>
      <c r="Q547" s="386"/>
      <c r="R547" s="386"/>
    </row>
    <row r="548" spans="1:18" ht="30" customHeight="1" x14ac:dyDescent="0.2">
      <c r="A548" s="642">
        <v>371</v>
      </c>
      <c r="B548" s="476" t="s">
        <v>1698</v>
      </c>
      <c r="C548" s="477" t="s">
        <v>942</v>
      </c>
      <c r="D548" s="475">
        <v>50000000</v>
      </c>
      <c r="E548" s="482">
        <v>0.04</v>
      </c>
      <c r="F548" s="475">
        <f>D548*E548</f>
        <v>2000000</v>
      </c>
      <c r="G548" s="475">
        <v>2000000</v>
      </c>
      <c r="H548" s="475" t="s">
        <v>1658</v>
      </c>
      <c r="I548" s="391">
        <v>349729</v>
      </c>
      <c r="J548" s="473" t="s">
        <v>1699</v>
      </c>
      <c r="K548" s="475">
        <f t="shared" si="41"/>
        <v>2000000</v>
      </c>
      <c r="L548" s="390">
        <f>F548-K548</f>
        <v>0</v>
      </c>
      <c r="M548" s="385"/>
      <c r="N548" s="386"/>
      <c r="O548" s="386"/>
      <c r="P548" s="386"/>
      <c r="Q548" s="386"/>
      <c r="R548" s="386"/>
    </row>
    <row r="549" spans="1:18" ht="30" customHeight="1" x14ac:dyDescent="0.2">
      <c r="A549" s="642">
        <v>372</v>
      </c>
      <c r="B549" s="476" t="s">
        <v>1706</v>
      </c>
      <c r="C549" s="477"/>
      <c r="D549" s="478"/>
      <c r="E549" s="40"/>
      <c r="F549" s="478"/>
      <c r="G549" s="475">
        <v>52250000</v>
      </c>
      <c r="H549" s="475" t="s">
        <v>1701</v>
      </c>
      <c r="I549" s="391">
        <v>1.4010409054200001E+19</v>
      </c>
      <c r="J549" s="473" t="s">
        <v>830</v>
      </c>
      <c r="K549" s="475">
        <f t="shared" si="41"/>
        <v>52250000</v>
      </c>
      <c r="L549" s="397"/>
      <c r="M549" s="385"/>
      <c r="N549" s="386"/>
      <c r="O549" s="386"/>
      <c r="P549" s="386"/>
      <c r="Q549" s="386"/>
      <c r="R549" s="386"/>
    </row>
    <row r="550" spans="1:18" ht="30" customHeight="1" x14ac:dyDescent="0.2">
      <c r="A550" s="642">
        <v>373</v>
      </c>
      <c r="B550" s="476" t="s">
        <v>1725</v>
      </c>
      <c r="C550" s="477"/>
      <c r="D550" s="486">
        <v>10000000</v>
      </c>
      <c r="E550" s="491">
        <v>0.05</v>
      </c>
      <c r="F550" s="486">
        <f>D550*E550</f>
        <v>500000</v>
      </c>
      <c r="G550" s="475">
        <v>500000</v>
      </c>
      <c r="H550" s="475" t="s">
        <v>1701</v>
      </c>
      <c r="I550" s="391">
        <v>122106943211</v>
      </c>
      <c r="J550" s="473" t="s">
        <v>1726</v>
      </c>
      <c r="K550" s="475">
        <f t="shared" si="41"/>
        <v>500000</v>
      </c>
      <c r="L550" s="390">
        <f t="shared" ref="L550:L556" si="42">F550-K550</f>
        <v>0</v>
      </c>
      <c r="M550" s="385"/>
      <c r="N550" s="386"/>
      <c r="O550" s="386"/>
      <c r="P550" s="386"/>
      <c r="Q550" s="386"/>
      <c r="R550" s="386"/>
    </row>
    <row r="551" spans="1:18" ht="30" customHeight="1" x14ac:dyDescent="0.2">
      <c r="A551" s="642">
        <v>374</v>
      </c>
      <c r="B551" s="487" t="s">
        <v>1727</v>
      </c>
      <c r="C551" s="489"/>
      <c r="D551" s="488"/>
      <c r="E551" s="40"/>
      <c r="F551" s="488"/>
      <c r="G551" s="486">
        <v>4500000</v>
      </c>
      <c r="H551" s="486" t="s">
        <v>1701</v>
      </c>
      <c r="I551" s="391">
        <v>656284506175</v>
      </c>
      <c r="J551" s="473" t="s">
        <v>1728</v>
      </c>
      <c r="K551" s="486">
        <f t="shared" si="41"/>
        <v>4500000</v>
      </c>
      <c r="L551" s="397">
        <f t="shared" si="42"/>
        <v>-4500000</v>
      </c>
      <c r="M551" s="385"/>
      <c r="N551" s="386"/>
      <c r="O551" s="386"/>
      <c r="P551" s="386"/>
      <c r="Q551" s="386"/>
      <c r="R551" s="386"/>
    </row>
    <row r="552" spans="1:18" ht="30" customHeight="1" x14ac:dyDescent="0.2">
      <c r="A552" s="642">
        <v>375</v>
      </c>
      <c r="B552" s="492" t="s">
        <v>1735</v>
      </c>
      <c r="C552" s="494"/>
      <c r="D552" s="493">
        <v>100000000</v>
      </c>
      <c r="E552" s="497">
        <v>0.05</v>
      </c>
      <c r="F552" s="493">
        <f>D552*E552</f>
        <v>5000000</v>
      </c>
      <c r="G552" s="493">
        <v>5000000</v>
      </c>
      <c r="H552" s="493" t="s">
        <v>1732</v>
      </c>
      <c r="I552" s="391">
        <v>600441</v>
      </c>
      <c r="J552" s="473" t="s">
        <v>1736</v>
      </c>
      <c r="K552" s="493">
        <f t="shared" si="41"/>
        <v>5000000</v>
      </c>
      <c r="L552" s="390">
        <f t="shared" si="42"/>
        <v>0</v>
      </c>
      <c r="M552" s="385"/>
      <c r="N552" s="386"/>
      <c r="O552" s="386"/>
      <c r="P552" s="386"/>
      <c r="Q552" s="386"/>
      <c r="R552" s="386"/>
    </row>
    <row r="553" spans="1:18" ht="30" customHeight="1" x14ac:dyDescent="0.2">
      <c r="A553" s="642">
        <v>376</v>
      </c>
      <c r="B553" s="492" t="s">
        <v>3509</v>
      </c>
      <c r="C553" s="494"/>
      <c r="D553" s="495"/>
      <c r="E553" s="40"/>
      <c r="F553" s="495"/>
      <c r="G553" s="493">
        <v>3000000</v>
      </c>
      <c r="H553" s="493" t="s">
        <v>1742</v>
      </c>
      <c r="I553" s="391">
        <v>656285880246</v>
      </c>
      <c r="J553" s="473" t="s">
        <v>1743</v>
      </c>
      <c r="K553" s="493">
        <f t="shared" si="41"/>
        <v>3000000</v>
      </c>
      <c r="L553" s="397">
        <f t="shared" si="42"/>
        <v>-3000000</v>
      </c>
      <c r="M553" s="385"/>
      <c r="N553" s="386"/>
      <c r="O553" s="386"/>
      <c r="P553" s="386"/>
      <c r="Q553" s="386"/>
      <c r="R553" s="386"/>
    </row>
    <row r="554" spans="1:18" ht="30" customHeight="1" x14ac:dyDescent="0.2">
      <c r="A554" s="642">
        <v>377</v>
      </c>
      <c r="B554" s="499" t="s">
        <v>1752</v>
      </c>
      <c r="C554" s="505" t="s">
        <v>1652</v>
      </c>
      <c r="D554" s="501">
        <v>153000000</v>
      </c>
      <c r="E554" s="509">
        <v>7.0000000000000007E-2</v>
      </c>
      <c r="F554" s="501">
        <f>D554*E554</f>
        <v>10710000.000000002</v>
      </c>
      <c r="G554" s="501">
        <v>10710000</v>
      </c>
      <c r="H554" s="501" t="s">
        <v>1944</v>
      </c>
      <c r="I554" s="391">
        <v>1.4010414054201999E+19</v>
      </c>
      <c r="J554" s="473" t="s">
        <v>1952</v>
      </c>
      <c r="K554" s="501">
        <f t="shared" si="41"/>
        <v>10710000</v>
      </c>
      <c r="L554" s="621">
        <f t="shared" si="42"/>
        <v>0</v>
      </c>
      <c r="M554" s="385"/>
      <c r="N554" s="386"/>
      <c r="O554" s="386"/>
      <c r="P554" s="386"/>
      <c r="Q554" s="386"/>
      <c r="R554" s="386"/>
    </row>
    <row r="555" spans="1:18" ht="30" customHeight="1" x14ac:dyDescent="0.2">
      <c r="A555" s="642">
        <v>378</v>
      </c>
      <c r="B555" s="526" t="s">
        <v>1790</v>
      </c>
      <c r="C555" s="533" t="s">
        <v>889</v>
      </c>
      <c r="D555" s="529">
        <v>300000000</v>
      </c>
      <c r="E555" s="538">
        <v>5.0999999999999997E-2</v>
      </c>
      <c r="F555" s="529">
        <v>15500000</v>
      </c>
      <c r="G555" s="529">
        <v>15500000</v>
      </c>
      <c r="H555" s="529" t="s">
        <v>1782</v>
      </c>
      <c r="I555" s="391">
        <v>1.40104120542003E+19</v>
      </c>
      <c r="J555" s="473" t="s">
        <v>1868</v>
      </c>
      <c r="K555" s="529">
        <f>G555</f>
        <v>15500000</v>
      </c>
      <c r="L555" s="561">
        <f t="shared" si="42"/>
        <v>0</v>
      </c>
      <c r="M555" s="385"/>
      <c r="N555" s="386"/>
      <c r="O555" s="386"/>
      <c r="P555" s="386"/>
      <c r="Q555" s="386"/>
      <c r="R555" s="386"/>
    </row>
    <row r="556" spans="1:18" ht="30" customHeight="1" x14ac:dyDescent="0.2">
      <c r="A556" s="4459">
        <v>379</v>
      </c>
      <c r="B556" s="4457" t="s">
        <v>1753</v>
      </c>
      <c r="C556" s="4537"/>
      <c r="D556" s="4413">
        <v>50000000</v>
      </c>
      <c r="E556" s="4476">
        <v>0.04</v>
      </c>
      <c r="F556" s="4413">
        <f>D556*E556</f>
        <v>2000000</v>
      </c>
      <c r="G556" s="529">
        <v>1600000</v>
      </c>
      <c r="H556" s="529" t="s">
        <v>1782</v>
      </c>
      <c r="I556" s="391">
        <v>89505</v>
      </c>
      <c r="J556" s="473" t="s">
        <v>1836</v>
      </c>
      <c r="K556" s="4413">
        <f>G556+G557</f>
        <v>2000000</v>
      </c>
      <c r="L556" s="4603">
        <f t="shared" si="42"/>
        <v>0</v>
      </c>
      <c r="M556" s="4603"/>
      <c r="N556" s="386"/>
      <c r="O556" s="386"/>
      <c r="P556" s="386"/>
      <c r="Q556" s="386"/>
      <c r="R556" s="386"/>
    </row>
    <row r="557" spans="1:18" ht="30" customHeight="1" x14ac:dyDescent="0.2">
      <c r="A557" s="4460"/>
      <c r="B557" s="4458"/>
      <c r="C557" s="4538"/>
      <c r="D557" s="4415"/>
      <c r="E557" s="4477"/>
      <c r="F557" s="4415"/>
      <c r="G557" s="529">
        <v>400000</v>
      </c>
      <c r="H557" s="529" t="s">
        <v>1944</v>
      </c>
      <c r="I557" s="391">
        <v>656296949744</v>
      </c>
      <c r="J557" s="473" t="s">
        <v>1951</v>
      </c>
      <c r="K557" s="4415"/>
      <c r="L557" s="4604"/>
      <c r="M557" s="4604"/>
      <c r="N557" s="386"/>
      <c r="O557" s="386"/>
      <c r="P557" s="386"/>
      <c r="Q557" s="386"/>
      <c r="R557" s="386"/>
    </row>
    <row r="558" spans="1:18" ht="30" customHeight="1" x14ac:dyDescent="0.2">
      <c r="A558" s="525">
        <v>380</v>
      </c>
      <c r="B558" s="526" t="s">
        <v>1795</v>
      </c>
      <c r="C558" s="533" t="s">
        <v>1100</v>
      </c>
      <c r="D558" s="529">
        <v>10000000</v>
      </c>
      <c r="E558" s="538">
        <v>0.05</v>
      </c>
      <c r="F558" s="529">
        <f>D558*E558</f>
        <v>500000</v>
      </c>
      <c r="G558" s="529">
        <v>2000000</v>
      </c>
      <c r="H558" s="529" t="s">
        <v>1782</v>
      </c>
      <c r="I558" s="391">
        <v>122205638275</v>
      </c>
      <c r="J558" s="473" t="s">
        <v>1870</v>
      </c>
      <c r="K558" s="529">
        <f>G558</f>
        <v>2000000</v>
      </c>
      <c r="L558" s="561">
        <f>F558-K558</f>
        <v>-1500000</v>
      </c>
      <c r="M558" s="385" t="s">
        <v>1871</v>
      </c>
      <c r="N558" s="386"/>
      <c r="O558" s="386"/>
      <c r="P558" s="386"/>
      <c r="Q558" s="386"/>
      <c r="R558" s="386"/>
    </row>
    <row r="559" spans="1:18" ht="30" customHeight="1" x14ac:dyDescent="0.2">
      <c r="A559" s="525">
        <v>381</v>
      </c>
      <c r="B559" s="526" t="s">
        <v>1797</v>
      </c>
      <c r="C559" s="533" t="s">
        <v>889</v>
      </c>
      <c r="D559" s="529">
        <v>50000000</v>
      </c>
      <c r="E559" s="538">
        <v>0.05</v>
      </c>
      <c r="F559" s="529">
        <f>D559*E559</f>
        <v>2500000</v>
      </c>
      <c r="G559" s="529">
        <v>2500000</v>
      </c>
      <c r="H559" s="529" t="s">
        <v>1749</v>
      </c>
      <c r="I559" s="391">
        <v>525279</v>
      </c>
      <c r="J559" s="473" t="s">
        <v>1798</v>
      </c>
      <c r="K559" s="529">
        <f>G559</f>
        <v>2500000</v>
      </c>
      <c r="L559" s="390">
        <f>F559-K559</f>
        <v>0</v>
      </c>
      <c r="M559" s="385"/>
      <c r="N559" s="386"/>
      <c r="O559" s="386"/>
      <c r="P559" s="386"/>
      <c r="Q559" s="386"/>
      <c r="R559" s="386"/>
    </row>
    <row r="560" spans="1:18" ht="30" customHeight="1" x14ac:dyDescent="0.2">
      <c r="A560" s="525">
        <v>382</v>
      </c>
      <c r="B560" s="526" t="s">
        <v>1812</v>
      </c>
      <c r="C560" s="533" t="s">
        <v>262</v>
      </c>
      <c r="D560" s="529">
        <v>150000000</v>
      </c>
      <c r="E560" s="538"/>
      <c r="F560" s="529"/>
      <c r="G560" s="529"/>
      <c r="H560" s="529"/>
      <c r="I560" s="391"/>
      <c r="J560" s="473"/>
      <c r="K560" s="529"/>
      <c r="L560" s="390"/>
      <c r="M560" s="385"/>
      <c r="N560" s="386"/>
      <c r="O560" s="386"/>
      <c r="P560" s="386"/>
      <c r="Q560" s="386"/>
      <c r="R560" s="386"/>
    </row>
    <row r="561" spans="1:18" ht="30" customHeight="1" x14ac:dyDescent="0.2">
      <c r="A561" s="525">
        <v>383</v>
      </c>
      <c r="B561" s="526" t="s">
        <v>1823</v>
      </c>
      <c r="C561" s="533" t="s">
        <v>262</v>
      </c>
      <c r="D561" s="529">
        <v>10000000</v>
      </c>
      <c r="E561" s="538">
        <v>7.0000000000000007E-2</v>
      </c>
      <c r="F561" s="529">
        <f>D561*E561</f>
        <v>700000.00000000012</v>
      </c>
      <c r="G561" s="529"/>
      <c r="H561" s="529"/>
      <c r="I561" s="391"/>
      <c r="J561" s="473"/>
      <c r="K561" s="529"/>
      <c r="L561" s="390"/>
      <c r="M561" s="385"/>
      <c r="N561" s="386"/>
      <c r="O561" s="386"/>
      <c r="P561" s="386"/>
      <c r="Q561" s="386"/>
      <c r="R561" s="386"/>
    </row>
    <row r="562" spans="1:18" ht="30" customHeight="1" x14ac:dyDescent="0.2">
      <c r="A562" s="625">
        <v>384</v>
      </c>
      <c r="B562" s="546" t="s">
        <v>1861</v>
      </c>
      <c r="C562" s="555" t="s">
        <v>262</v>
      </c>
      <c r="D562" s="549">
        <v>150000000</v>
      </c>
      <c r="E562" s="560">
        <v>7.0000000000000007E-2</v>
      </c>
      <c r="F562" s="549">
        <f>D562*E562</f>
        <v>10500000.000000002</v>
      </c>
      <c r="G562" s="549">
        <v>10500000</v>
      </c>
      <c r="H562" s="549" t="s">
        <v>1944</v>
      </c>
      <c r="I562" s="391">
        <v>104140804055964</v>
      </c>
      <c r="J562" s="473" t="s">
        <v>1960</v>
      </c>
      <c r="K562" s="549">
        <f>G562</f>
        <v>10500000</v>
      </c>
      <c r="L562" s="561">
        <f>F562-K562</f>
        <v>0</v>
      </c>
      <c r="M562" s="385"/>
      <c r="N562" s="386"/>
      <c r="O562" s="386"/>
      <c r="P562" s="386"/>
      <c r="Q562" s="386"/>
      <c r="R562" s="386"/>
    </row>
    <row r="563" spans="1:18" ht="30" customHeight="1" x14ac:dyDescent="0.2">
      <c r="A563" s="547">
        <v>385</v>
      </c>
      <c r="B563" s="546" t="s">
        <v>1877</v>
      </c>
      <c r="C563" s="555" t="s">
        <v>371</v>
      </c>
      <c r="D563" s="549">
        <v>12000000</v>
      </c>
      <c r="E563" s="560">
        <v>0.05</v>
      </c>
      <c r="F563" s="549">
        <f>D563*E563</f>
        <v>600000</v>
      </c>
      <c r="G563" s="549"/>
      <c r="H563" s="549"/>
      <c r="I563" s="391"/>
      <c r="J563" s="473"/>
      <c r="K563" s="549"/>
      <c r="L563" s="561"/>
      <c r="M563" s="385" t="s">
        <v>1878</v>
      </c>
      <c r="N563" s="386"/>
      <c r="O563" s="386"/>
      <c r="P563" s="386"/>
      <c r="Q563" s="386"/>
      <c r="R563" s="386"/>
    </row>
    <row r="564" spans="1:18" ht="30" customHeight="1" x14ac:dyDescent="0.2">
      <c r="A564" s="4459">
        <v>387</v>
      </c>
      <c r="B564" s="4457" t="s">
        <v>1923</v>
      </c>
      <c r="C564" s="4537"/>
      <c r="D564" s="4506"/>
      <c r="E564" s="4512"/>
      <c r="F564" s="4506"/>
      <c r="G564" s="599">
        <v>2400000</v>
      </c>
      <c r="H564" s="599" t="s">
        <v>1881</v>
      </c>
      <c r="I564" s="391">
        <v>888618690</v>
      </c>
      <c r="J564" s="473" t="s">
        <v>1924</v>
      </c>
      <c r="K564" s="599">
        <f>G564</f>
        <v>2400000</v>
      </c>
      <c r="L564" s="604">
        <f>F564-K564</f>
        <v>-2400000</v>
      </c>
      <c r="M564" s="385" t="s">
        <v>2258</v>
      </c>
      <c r="N564" s="386"/>
      <c r="O564" s="386"/>
      <c r="P564" s="386"/>
      <c r="Q564" s="386"/>
      <c r="R564" s="386"/>
    </row>
    <row r="565" spans="1:18" ht="30" customHeight="1" x14ac:dyDescent="0.2">
      <c r="A565" s="4460"/>
      <c r="B565" s="4458"/>
      <c r="C565" s="4538"/>
      <c r="D565" s="4508"/>
      <c r="E565" s="4514"/>
      <c r="F565" s="4508"/>
      <c r="G565" s="748">
        <v>2400000</v>
      </c>
      <c r="H565" s="748" t="s">
        <v>2214</v>
      </c>
      <c r="I565" s="391">
        <v>289768</v>
      </c>
      <c r="J565" s="473" t="s">
        <v>2257</v>
      </c>
      <c r="K565" s="748">
        <f>G565</f>
        <v>2400000</v>
      </c>
      <c r="L565" s="750"/>
      <c r="M565" s="385" t="s">
        <v>1307</v>
      </c>
      <c r="N565" s="386"/>
      <c r="O565" s="386"/>
      <c r="P565" s="386"/>
      <c r="Q565" s="386"/>
      <c r="R565" s="386"/>
    </row>
    <row r="566" spans="1:18" ht="30" customHeight="1" x14ac:dyDescent="0.2">
      <c r="A566" s="642">
        <v>388</v>
      </c>
      <c r="B566" s="605" t="s">
        <v>3092</v>
      </c>
      <c r="C566" s="1281" t="s">
        <v>1306</v>
      </c>
      <c r="D566" s="1276">
        <v>200000000</v>
      </c>
      <c r="E566" s="1291">
        <v>0.06</v>
      </c>
      <c r="F566" s="1276">
        <f>D566*E566</f>
        <v>12000000</v>
      </c>
      <c r="G566" s="610">
        <v>23000000</v>
      </c>
      <c r="H566" s="610" t="s">
        <v>1881</v>
      </c>
      <c r="I566" s="391">
        <v>104132024147435</v>
      </c>
      <c r="J566" s="473" t="s">
        <v>1943</v>
      </c>
      <c r="K566" s="610">
        <f>G566</f>
        <v>23000000</v>
      </c>
      <c r="L566" s="620">
        <f>F566-K566</f>
        <v>-11000000</v>
      </c>
      <c r="M566" s="385"/>
      <c r="N566" s="386"/>
      <c r="O566" s="386"/>
      <c r="P566" s="386"/>
      <c r="Q566" s="386"/>
      <c r="R566" s="386"/>
    </row>
    <row r="567" spans="1:18" ht="30" customHeight="1" x14ac:dyDescent="0.2">
      <c r="A567" s="642">
        <v>389</v>
      </c>
      <c r="B567" s="605" t="s">
        <v>1953</v>
      </c>
      <c r="C567" s="612"/>
      <c r="D567" s="610">
        <v>30000000</v>
      </c>
      <c r="E567" s="622">
        <v>0.05</v>
      </c>
      <c r="F567" s="610">
        <f>D567*E567</f>
        <v>1500000</v>
      </c>
      <c r="G567" s="610">
        <v>1500000</v>
      </c>
      <c r="H567" s="610" t="s">
        <v>1944</v>
      </c>
      <c r="I567" s="391">
        <v>153482</v>
      </c>
      <c r="J567" s="473" t="s">
        <v>1954</v>
      </c>
      <c r="K567" s="610">
        <f>G567</f>
        <v>1500000</v>
      </c>
      <c r="L567" s="621">
        <f>F567-K567</f>
        <v>0</v>
      </c>
      <c r="M567" s="385" t="s">
        <v>1955</v>
      </c>
      <c r="N567" s="386"/>
      <c r="O567" s="386"/>
      <c r="P567" s="386"/>
      <c r="Q567" s="386"/>
      <c r="R567" s="386"/>
    </row>
    <row r="568" spans="1:18" ht="30" customHeight="1" x14ac:dyDescent="0.2">
      <c r="A568" s="642">
        <v>390</v>
      </c>
      <c r="B568" s="627" t="s">
        <v>1996</v>
      </c>
      <c r="C568" s="634"/>
      <c r="D568" s="629">
        <v>5000000</v>
      </c>
      <c r="E568" s="635">
        <v>0.05</v>
      </c>
      <c r="F568" s="629">
        <f>D568*E568</f>
        <v>250000</v>
      </c>
      <c r="G568" s="629"/>
      <c r="H568" s="629"/>
      <c r="I568" s="391"/>
      <c r="J568" s="473"/>
      <c r="K568" s="629"/>
      <c r="L568" s="636"/>
      <c r="M568" s="385"/>
      <c r="N568" s="386"/>
      <c r="O568" s="386"/>
      <c r="P568" s="386"/>
      <c r="Q568" s="386"/>
      <c r="R568" s="386"/>
    </row>
    <row r="569" spans="1:18" ht="30" customHeight="1" x14ac:dyDescent="0.2">
      <c r="A569" s="4459">
        <v>391</v>
      </c>
      <c r="B569" s="4457" t="s">
        <v>2003</v>
      </c>
      <c r="C569" s="4537" t="s">
        <v>2004</v>
      </c>
      <c r="D569" s="629">
        <v>1158000000</v>
      </c>
      <c r="E569" s="635">
        <v>0.05</v>
      </c>
      <c r="F569" s="629">
        <v>58000000</v>
      </c>
      <c r="G569" s="629">
        <v>58000000</v>
      </c>
      <c r="H569" s="629" t="s">
        <v>2165</v>
      </c>
      <c r="I569" s="391">
        <v>78518</v>
      </c>
      <c r="J569" s="473" t="s">
        <v>2279</v>
      </c>
      <c r="K569" s="629">
        <f>G569</f>
        <v>58000000</v>
      </c>
      <c r="L569" s="636">
        <f>F569-K569</f>
        <v>0</v>
      </c>
      <c r="M569" s="4675" t="s">
        <v>2367</v>
      </c>
      <c r="N569" s="386"/>
      <c r="O569" s="386"/>
      <c r="P569" s="386"/>
      <c r="Q569" s="386"/>
      <c r="R569" s="386"/>
    </row>
    <row r="570" spans="1:18" ht="30" customHeight="1" x14ac:dyDescent="0.2">
      <c r="A570" s="4460"/>
      <c r="B570" s="4458"/>
      <c r="C570" s="4538"/>
      <c r="D570" s="4303" t="s">
        <v>2364</v>
      </c>
      <c r="E570" s="4324"/>
      <c r="F570" s="4355"/>
      <c r="G570" s="4303" t="s">
        <v>2366</v>
      </c>
      <c r="H570" s="4324"/>
      <c r="I570" s="4324"/>
      <c r="J570" s="4324"/>
      <c r="K570" s="4355"/>
      <c r="L570" s="816"/>
      <c r="M570" s="4676"/>
      <c r="N570" s="386"/>
      <c r="O570" s="386"/>
      <c r="P570" s="386"/>
      <c r="Q570" s="386"/>
      <c r="R570" s="386"/>
    </row>
    <row r="571" spans="1:18" ht="30" customHeight="1" x14ac:dyDescent="0.2">
      <c r="A571" s="654">
        <v>392</v>
      </c>
      <c r="B571" s="653" t="s">
        <v>2048</v>
      </c>
      <c r="C571" s="657" t="s">
        <v>1294</v>
      </c>
      <c r="D571" s="655">
        <v>50000000</v>
      </c>
      <c r="E571" s="662">
        <v>0.05</v>
      </c>
      <c r="F571" s="655">
        <f>D571*E571</f>
        <v>2500000</v>
      </c>
      <c r="G571" s="655"/>
      <c r="H571" s="655"/>
      <c r="I571" s="391"/>
      <c r="J571" s="473"/>
      <c r="K571" s="655"/>
      <c r="L571" s="661"/>
      <c r="M571" s="385" t="s">
        <v>2036</v>
      </c>
      <c r="N571" s="386"/>
      <c r="O571" s="386"/>
      <c r="P571" s="386"/>
      <c r="Q571" s="386"/>
      <c r="R571" s="386"/>
    </row>
    <row r="572" spans="1:18" ht="30" customHeight="1" x14ac:dyDescent="0.2">
      <c r="A572" s="654">
        <v>393</v>
      </c>
      <c r="B572" s="653" t="s">
        <v>2040</v>
      </c>
      <c r="C572" s="657"/>
      <c r="D572" s="656"/>
      <c r="E572" s="40"/>
      <c r="F572" s="656"/>
      <c r="G572" s="655">
        <v>1000000</v>
      </c>
      <c r="H572" s="655" t="s">
        <v>2005</v>
      </c>
      <c r="I572" s="391">
        <v>937493</v>
      </c>
      <c r="J572" s="473" t="s">
        <v>2041</v>
      </c>
      <c r="K572" s="655">
        <f>G572</f>
        <v>1000000</v>
      </c>
      <c r="L572" s="663">
        <f>F572-K572</f>
        <v>-1000000</v>
      </c>
      <c r="M572" s="385"/>
      <c r="N572" s="386"/>
      <c r="O572" s="386"/>
      <c r="P572" s="386"/>
      <c r="Q572" s="386"/>
      <c r="R572" s="386"/>
    </row>
    <row r="573" spans="1:18" ht="30" customHeight="1" x14ac:dyDescent="0.2">
      <c r="A573" s="654"/>
      <c r="B573" s="677" t="s">
        <v>2052</v>
      </c>
      <c r="C573" s="678" t="s">
        <v>1306</v>
      </c>
      <c r="D573" s="679">
        <v>600000000</v>
      </c>
      <c r="E573" s="680">
        <v>0.06</v>
      </c>
      <c r="F573" s="679">
        <f>D573*E573</f>
        <v>36000000</v>
      </c>
      <c r="G573" s="655"/>
      <c r="H573" s="655"/>
      <c r="I573" s="391"/>
      <c r="J573" s="473"/>
      <c r="K573" s="655"/>
      <c r="L573" s="661"/>
      <c r="M573" s="385" t="s">
        <v>2036</v>
      </c>
      <c r="N573" s="386"/>
      <c r="O573" s="386"/>
      <c r="P573" s="386"/>
      <c r="Q573" s="386"/>
      <c r="R573" s="386"/>
    </row>
    <row r="574" spans="1:18" ht="30" customHeight="1" x14ac:dyDescent="0.2">
      <c r="A574" s="654"/>
      <c r="B574" s="677" t="s">
        <v>2049</v>
      </c>
      <c r="C574" s="678" t="s">
        <v>1306</v>
      </c>
      <c r="D574" s="679">
        <v>310000000</v>
      </c>
      <c r="E574" s="680">
        <v>0.06</v>
      </c>
      <c r="F574" s="679">
        <f t="shared" ref="F574:F577" si="43">D574*E574</f>
        <v>18600000</v>
      </c>
      <c r="G574" s="655"/>
      <c r="H574" s="655"/>
      <c r="I574" s="391"/>
      <c r="J574" s="473"/>
      <c r="K574" s="655"/>
      <c r="L574" s="661"/>
      <c r="M574" s="385" t="s">
        <v>2036</v>
      </c>
      <c r="N574" s="386"/>
      <c r="O574" s="386"/>
      <c r="P574" s="386"/>
      <c r="Q574" s="386"/>
      <c r="R574" s="386"/>
    </row>
    <row r="575" spans="1:18" ht="30" customHeight="1" x14ac:dyDescent="0.2">
      <c r="A575" s="654"/>
      <c r="B575" s="677" t="s">
        <v>2053</v>
      </c>
      <c r="C575" s="678" t="s">
        <v>1306</v>
      </c>
      <c r="D575" s="679">
        <v>50000000</v>
      </c>
      <c r="E575" s="680">
        <v>0.06</v>
      </c>
      <c r="F575" s="679">
        <f t="shared" si="43"/>
        <v>3000000</v>
      </c>
      <c r="G575" s="655"/>
      <c r="H575" s="655"/>
      <c r="I575" s="391"/>
      <c r="J575" s="473"/>
      <c r="K575" s="655"/>
      <c r="L575" s="661"/>
      <c r="M575" s="385" t="s">
        <v>2036</v>
      </c>
      <c r="N575" s="386"/>
      <c r="O575" s="386"/>
      <c r="P575" s="386"/>
      <c r="Q575" s="386"/>
      <c r="R575" s="386"/>
    </row>
    <row r="576" spans="1:18" ht="30" customHeight="1" x14ac:dyDescent="0.2">
      <c r="A576" s="654"/>
      <c r="B576" s="677" t="s">
        <v>2050</v>
      </c>
      <c r="C576" s="678" t="s">
        <v>1306</v>
      </c>
      <c r="D576" s="679">
        <v>110000000</v>
      </c>
      <c r="E576" s="680">
        <v>0.06</v>
      </c>
      <c r="F576" s="679">
        <f t="shared" si="43"/>
        <v>6600000</v>
      </c>
      <c r="G576" s="655"/>
      <c r="H576" s="655"/>
      <c r="I576" s="391"/>
      <c r="J576" s="473"/>
      <c r="K576" s="655"/>
      <c r="L576" s="661"/>
      <c r="M576" s="385" t="s">
        <v>2036</v>
      </c>
      <c r="N576" s="386"/>
      <c r="O576" s="386"/>
      <c r="P576" s="386"/>
      <c r="Q576" s="386"/>
      <c r="R576" s="386"/>
    </row>
    <row r="577" spans="1:18" ht="30" customHeight="1" x14ac:dyDescent="0.2">
      <c r="A577" s="654"/>
      <c r="B577" s="677" t="s">
        <v>2051</v>
      </c>
      <c r="C577" s="678" t="s">
        <v>1306</v>
      </c>
      <c r="D577" s="679">
        <v>100000000</v>
      </c>
      <c r="E577" s="680">
        <v>0.06</v>
      </c>
      <c r="F577" s="679">
        <f t="shared" si="43"/>
        <v>6000000</v>
      </c>
      <c r="G577" s="655"/>
      <c r="H577" s="655"/>
      <c r="I577" s="391"/>
      <c r="J577" s="473"/>
      <c r="K577" s="655"/>
      <c r="L577" s="661"/>
      <c r="M577" s="385" t="s">
        <v>2036</v>
      </c>
      <c r="N577" s="386"/>
      <c r="O577" s="386"/>
      <c r="P577" s="386"/>
      <c r="Q577" s="386"/>
      <c r="R577" s="386"/>
    </row>
    <row r="578" spans="1:18" ht="30" customHeight="1" x14ac:dyDescent="0.2">
      <c r="A578" s="654"/>
      <c r="B578" s="677"/>
      <c r="C578" s="678"/>
      <c r="D578" s="679">
        <f>SUM(D573:D577)</f>
        <v>1170000000</v>
      </c>
      <c r="E578" s="680"/>
      <c r="F578" s="679">
        <f>SUM(F573:F577)</f>
        <v>70200000</v>
      </c>
      <c r="G578" s="655"/>
      <c r="H578" s="655"/>
      <c r="I578" s="391"/>
      <c r="J578" s="473"/>
      <c r="K578" s="655"/>
      <c r="L578" s="661"/>
      <c r="M578" s="385"/>
      <c r="N578" s="386"/>
      <c r="O578" s="386"/>
      <c r="P578" s="386"/>
      <c r="Q578" s="386"/>
      <c r="R578" s="386"/>
    </row>
    <row r="579" spans="1:18" ht="30" customHeight="1" x14ac:dyDescent="0.2">
      <c r="A579" s="4459"/>
      <c r="B579" s="4457" t="s">
        <v>2069</v>
      </c>
      <c r="C579" s="4537"/>
      <c r="D579" s="4413">
        <v>200000000</v>
      </c>
      <c r="E579" s="4476">
        <v>7.0000000000000007E-2</v>
      </c>
      <c r="F579" s="4413">
        <f>D579*E579</f>
        <v>14000000.000000002</v>
      </c>
      <c r="G579" s="873">
        <v>10000000</v>
      </c>
      <c r="H579" s="873" t="s">
        <v>2054</v>
      </c>
      <c r="I579" s="391">
        <v>405529587082</v>
      </c>
      <c r="J579" s="473" t="s">
        <v>2070</v>
      </c>
      <c r="K579" s="4413">
        <f>G579+G580</f>
        <v>14000000</v>
      </c>
      <c r="L579" s="4603">
        <f>F579-K579</f>
        <v>0</v>
      </c>
      <c r="M579" s="4603"/>
      <c r="N579" s="386"/>
      <c r="O579" s="386"/>
      <c r="P579" s="386"/>
      <c r="Q579" s="386"/>
      <c r="R579" s="386"/>
    </row>
    <row r="580" spans="1:18" ht="30" customHeight="1" x14ac:dyDescent="0.2">
      <c r="A580" s="4460"/>
      <c r="B580" s="4458"/>
      <c r="C580" s="4538"/>
      <c r="D580" s="4415"/>
      <c r="E580" s="4477"/>
      <c r="F580" s="4415"/>
      <c r="G580" s="873">
        <v>4000000</v>
      </c>
      <c r="H580" s="873" t="s">
        <v>2441</v>
      </c>
      <c r="I580" s="391">
        <v>122758388084</v>
      </c>
      <c r="J580" s="473" t="s">
        <v>2455</v>
      </c>
      <c r="K580" s="4415"/>
      <c r="L580" s="4604"/>
      <c r="M580" s="4604"/>
      <c r="N580" s="386"/>
      <c r="O580" s="386"/>
      <c r="P580" s="386"/>
      <c r="Q580" s="386"/>
      <c r="R580" s="386"/>
    </row>
    <row r="581" spans="1:18" ht="30" customHeight="1" x14ac:dyDescent="0.2">
      <c r="A581" s="668"/>
      <c r="B581" s="667" t="s">
        <v>2089</v>
      </c>
      <c r="C581" s="671"/>
      <c r="D581" s="670"/>
      <c r="E581" s="40"/>
      <c r="F581" s="670"/>
      <c r="G581" s="669">
        <v>650000</v>
      </c>
      <c r="H581" s="669" t="s">
        <v>2072</v>
      </c>
      <c r="I581" s="391">
        <v>122386692351</v>
      </c>
      <c r="J581" s="473" t="s">
        <v>2090</v>
      </c>
      <c r="K581" s="669">
        <f>G581</f>
        <v>650000</v>
      </c>
      <c r="L581" s="675">
        <f>F581-K581</f>
        <v>-650000</v>
      </c>
      <c r="M581" s="385"/>
      <c r="N581" s="386"/>
      <c r="O581" s="386"/>
      <c r="P581" s="386"/>
      <c r="Q581" s="386"/>
      <c r="R581" s="386"/>
    </row>
    <row r="582" spans="1:18" ht="30" customHeight="1" x14ac:dyDescent="0.2">
      <c r="A582" s="689"/>
      <c r="B582" s="687" t="s">
        <v>2128</v>
      </c>
      <c r="C582" s="698"/>
      <c r="D582" s="690">
        <v>50000000</v>
      </c>
      <c r="E582" s="703">
        <v>0.04</v>
      </c>
      <c r="F582" s="690">
        <f>D582*E582</f>
        <v>2000000</v>
      </c>
      <c r="G582" s="690">
        <v>2000000</v>
      </c>
      <c r="H582" s="690" t="s">
        <v>2147</v>
      </c>
      <c r="I582" s="391">
        <v>122424700656</v>
      </c>
      <c r="J582" s="473" t="s">
        <v>2169</v>
      </c>
      <c r="K582" s="690">
        <f>G582</f>
        <v>2000000</v>
      </c>
      <c r="L582" s="702">
        <f>F582-G582</f>
        <v>0</v>
      </c>
      <c r="M582" s="385"/>
      <c r="N582" s="386"/>
      <c r="O582" s="386"/>
      <c r="P582" s="386"/>
      <c r="Q582" s="386"/>
      <c r="R582" s="386"/>
    </row>
    <row r="583" spans="1:18" ht="30" customHeight="1" x14ac:dyDescent="0.2">
      <c r="A583" s="689"/>
      <c r="B583" s="687" t="s">
        <v>2129</v>
      </c>
      <c r="C583" s="698"/>
      <c r="D583" s="690">
        <v>100000000</v>
      </c>
      <c r="E583" s="703">
        <v>0.04</v>
      </c>
      <c r="F583" s="690">
        <f>D583*E583</f>
        <v>4000000</v>
      </c>
      <c r="G583" s="690"/>
      <c r="H583" s="690"/>
      <c r="I583" s="391"/>
      <c r="J583" s="473"/>
      <c r="K583" s="690"/>
      <c r="L583" s="702"/>
      <c r="M583" s="385"/>
      <c r="N583" s="386"/>
      <c r="O583" s="386"/>
      <c r="P583" s="386"/>
      <c r="Q583" s="386"/>
      <c r="R583" s="386"/>
    </row>
    <row r="584" spans="1:18" ht="30" customHeight="1" x14ac:dyDescent="0.2">
      <c r="A584" s="689"/>
      <c r="B584" s="687" t="s">
        <v>2206</v>
      </c>
      <c r="C584" s="698" t="s">
        <v>1306</v>
      </c>
      <c r="D584" s="690">
        <v>150000000</v>
      </c>
      <c r="E584" s="703">
        <v>0.05</v>
      </c>
      <c r="F584" s="690">
        <f>D584*E584</f>
        <v>7500000</v>
      </c>
      <c r="G584" s="4623" t="s">
        <v>2207</v>
      </c>
      <c r="H584" s="4624"/>
      <c r="I584" s="4624"/>
      <c r="J584" s="4624"/>
      <c r="K584" s="4624"/>
      <c r="L584" s="4625"/>
      <c r="M584" s="385"/>
      <c r="N584" s="386"/>
      <c r="O584" s="386"/>
      <c r="P584" s="386"/>
      <c r="Q584" s="386"/>
      <c r="R584" s="386"/>
    </row>
    <row r="585" spans="1:18" ht="30" customHeight="1" x14ac:dyDescent="0.2">
      <c r="A585" s="689"/>
      <c r="B585" s="687" t="s">
        <v>2208</v>
      </c>
      <c r="C585" s="698" t="s">
        <v>1306</v>
      </c>
      <c r="D585" s="690">
        <v>30000000</v>
      </c>
      <c r="E585" s="703">
        <v>0.05</v>
      </c>
      <c r="F585" s="690">
        <f>D585*E585</f>
        <v>1500000</v>
      </c>
      <c r="G585" s="4623" t="s">
        <v>2207</v>
      </c>
      <c r="H585" s="4624"/>
      <c r="I585" s="4624"/>
      <c r="J585" s="4624"/>
      <c r="K585" s="4624"/>
      <c r="L585" s="4625"/>
      <c r="M585" s="385"/>
      <c r="N585" s="386"/>
      <c r="O585" s="386"/>
      <c r="P585" s="386"/>
      <c r="Q585" s="386"/>
      <c r="R585" s="386"/>
    </row>
    <row r="586" spans="1:18" ht="30" customHeight="1" x14ac:dyDescent="0.2">
      <c r="A586" s="689"/>
      <c r="B586" s="687" t="s">
        <v>2275</v>
      </c>
      <c r="C586" s="698" t="s">
        <v>1299</v>
      </c>
      <c r="D586" s="690">
        <v>600000000</v>
      </c>
      <c r="E586" s="703">
        <v>0.05</v>
      </c>
      <c r="F586" s="690">
        <f>D586*E586</f>
        <v>30000000</v>
      </c>
      <c r="G586" s="690"/>
      <c r="H586" s="690"/>
      <c r="I586" s="391"/>
      <c r="J586" s="473"/>
      <c r="K586" s="690"/>
      <c r="L586" s="702"/>
      <c r="M586" s="385"/>
      <c r="N586" s="386"/>
      <c r="O586" s="386"/>
      <c r="P586" s="386"/>
      <c r="Q586" s="386"/>
      <c r="R586" s="386"/>
    </row>
    <row r="587" spans="1:18" ht="30" customHeight="1" x14ac:dyDescent="0.2">
      <c r="A587" s="771"/>
      <c r="B587" s="769" t="s">
        <v>2292</v>
      </c>
      <c r="C587" s="779"/>
      <c r="D587" s="774"/>
      <c r="E587" s="40"/>
      <c r="F587" s="774"/>
      <c r="G587" s="773">
        <v>1430000</v>
      </c>
      <c r="H587" s="773" t="s">
        <v>2262</v>
      </c>
      <c r="I587" s="391">
        <v>891721761</v>
      </c>
      <c r="J587" s="473" t="s">
        <v>2293</v>
      </c>
      <c r="K587" s="773">
        <f t="shared" ref="K587:K591" si="44">G587</f>
        <v>1430000</v>
      </c>
      <c r="L587" s="782"/>
      <c r="M587" s="385" t="s">
        <v>2079</v>
      </c>
      <c r="N587" s="386"/>
      <c r="O587" s="386"/>
      <c r="P587" s="386"/>
      <c r="Q587" s="386"/>
      <c r="R587" s="386"/>
    </row>
    <row r="588" spans="1:18" ht="30" customHeight="1" x14ac:dyDescent="0.2">
      <c r="A588" s="771"/>
      <c r="B588" s="775" t="s">
        <v>2303</v>
      </c>
      <c r="C588" s="787"/>
      <c r="D588" s="774"/>
      <c r="E588" s="40"/>
      <c r="F588" s="774"/>
      <c r="G588" s="774">
        <v>9000000</v>
      </c>
      <c r="H588" s="774" t="s">
        <v>2296</v>
      </c>
      <c r="I588" s="788">
        <v>892192819</v>
      </c>
      <c r="J588" s="789" t="s">
        <v>2304</v>
      </c>
      <c r="K588" s="774">
        <f t="shared" si="44"/>
        <v>9000000</v>
      </c>
      <c r="L588" s="782">
        <f>F588-K588</f>
        <v>-9000000</v>
      </c>
      <c r="M588" s="385" t="s">
        <v>2079</v>
      </c>
      <c r="N588" s="386"/>
      <c r="O588" s="386"/>
      <c r="P588" s="386"/>
      <c r="Q588" s="386"/>
      <c r="R588" s="386"/>
    </row>
    <row r="589" spans="1:18" ht="30" customHeight="1" x14ac:dyDescent="0.2">
      <c r="A589" s="795"/>
      <c r="B589" s="794" t="s">
        <v>2344</v>
      </c>
      <c r="C589" s="800"/>
      <c r="D589" s="799"/>
      <c r="E589" s="40"/>
      <c r="F589" s="799"/>
      <c r="G589" s="797">
        <v>2000000</v>
      </c>
      <c r="H589" s="797" t="s">
        <v>2345</v>
      </c>
      <c r="I589" s="391">
        <v>869814</v>
      </c>
      <c r="J589" s="473" t="s">
        <v>2346</v>
      </c>
      <c r="K589" s="797">
        <f t="shared" si="44"/>
        <v>2000000</v>
      </c>
      <c r="L589" s="806">
        <f>F589-K589</f>
        <v>-2000000</v>
      </c>
      <c r="M589" s="385" t="s">
        <v>4032</v>
      </c>
      <c r="N589" s="386"/>
      <c r="O589" s="386"/>
      <c r="P589" s="386"/>
      <c r="Q589" s="386"/>
      <c r="R589" s="386"/>
    </row>
    <row r="590" spans="1:18" ht="30" customHeight="1" x14ac:dyDescent="0.2">
      <c r="A590" s="824"/>
      <c r="B590" s="823" t="s">
        <v>2385</v>
      </c>
      <c r="C590" s="827"/>
      <c r="D590" s="826"/>
      <c r="E590" s="40"/>
      <c r="F590" s="826"/>
      <c r="G590" s="820">
        <v>4290000</v>
      </c>
      <c r="H590" s="820" t="s">
        <v>2368</v>
      </c>
      <c r="I590" s="391">
        <v>939748</v>
      </c>
      <c r="J590" s="473" t="s">
        <v>2386</v>
      </c>
      <c r="K590" s="820">
        <f t="shared" si="44"/>
        <v>4290000</v>
      </c>
      <c r="L590" s="831">
        <f>F590-K590</f>
        <v>-4290000</v>
      </c>
      <c r="M590" s="385"/>
      <c r="N590" s="386"/>
      <c r="O590" s="386"/>
      <c r="P590" s="386"/>
      <c r="Q590" s="386"/>
      <c r="R590" s="386"/>
    </row>
    <row r="591" spans="1:18" ht="30" customHeight="1" x14ac:dyDescent="0.2">
      <c r="A591" s="824"/>
      <c r="B591" s="823" t="s">
        <v>2388</v>
      </c>
      <c r="C591" s="827"/>
      <c r="D591" s="4303" t="s">
        <v>4746</v>
      </c>
      <c r="E591" s="4324"/>
      <c r="F591" s="4355"/>
      <c r="G591" s="820">
        <v>40000000</v>
      </c>
      <c r="H591" s="820" t="s">
        <v>2368</v>
      </c>
      <c r="I591" s="391">
        <v>78505</v>
      </c>
      <c r="J591" s="473" t="s">
        <v>2389</v>
      </c>
      <c r="K591" s="820">
        <f t="shared" si="44"/>
        <v>40000000</v>
      </c>
      <c r="L591" s="2741"/>
      <c r="M591" s="385" t="s">
        <v>4279</v>
      </c>
      <c r="N591" s="386"/>
      <c r="O591" s="386"/>
      <c r="P591" s="386"/>
      <c r="Q591" s="386"/>
      <c r="R591" s="386"/>
    </row>
    <row r="592" spans="1:18" ht="30" customHeight="1" x14ac:dyDescent="0.2">
      <c r="A592" s="824"/>
      <c r="B592" s="823" t="s">
        <v>2405</v>
      </c>
      <c r="C592" s="827"/>
      <c r="D592" s="826">
        <v>100000000</v>
      </c>
      <c r="E592" s="40"/>
      <c r="F592" s="826"/>
      <c r="G592" s="4303"/>
      <c r="H592" s="4324"/>
      <c r="I592" s="4324"/>
      <c r="J592" s="4324"/>
      <c r="K592" s="4355"/>
      <c r="L592" s="831"/>
      <c r="M592" s="385"/>
      <c r="N592" s="386"/>
      <c r="O592" s="386"/>
      <c r="P592" s="386"/>
      <c r="Q592" s="386"/>
      <c r="R592" s="386"/>
    </row>
    <row r="593" spans="1:18" ht="30" customHeight="1" x14ac:dyDescent="0.2">
      <c r="A593" s="824"/>
      <c r="B593" s="823" t="s">
        <v>2407</v>
      </c>
      <c r="C593" s="827"/>
      <c r="D593" s="837">
        <v>20000000</v>
      </c>
      <c r="E593" s="846">
        <v>0.05</v>
      </c>
      <c r="F593" s="837">
        <f>D593*E593</f>
        <v>1000000</v>
      </c>
      <c r="G593" s="837"/>
      <c r="H593" s="837"/>
      <c r="I593" s="391"/>
      <c r="J593" s="473"/>
      <c r="K593" s="837"/>
      <c r="L593" s="843"/>
      <c r="M593" s="385"/>
      <c r="N593" s="386"/>
      <c r="O593" s="386"/>
      <c r="P593" s="386"/>
      <c r="Q593" s="386"/>
      <c r="R593" s="386"/>
    </row>
    <row r="594" spans="1:18" ht="30" customHeight="1" x14ac:dyDescent="0.2">
      <c r="A594" s="4459"/>
      <c r="B594" s="4457" t="s">
        <v>2471</v>
      </c>
      <c r="C594" s="4537" t="s">
        <v>889</v>
      </c>
      <c r="D594" s="902">
        <v>51000000</v>
      </c>
      <c r="E594" s="908">
        <v>0.06</v>
      </c>
      <c r="F594" s="902">
        <f>D594*E594</f>
        <v>3060000</v>
      </c>
      <c r="G594" s="4469" t="s">
        <v>2514</v>
      </c>
      <c r="H594" s="4470"/>
      <c r="I594" s="4470"/>
      <c r="J594" s="4470"/>
      <c r="K594" s="4470"/>
      <c r="L594" s="4471"/>
      <c r="M594" s="385"/>
      <c r="N594" s="386"/>
      <c r="O594" s="386"/>
      <c r="P594" s="386"/>
      <c r="Q594" s="386"/>
      <c r="R594" s="386"/>
    </row>
    <row r="595" spans="1:18" ht="30" customHeight="1" x14ac:dyDescent="0.2">
      <c r="A595" s="4460"/>
      <c r="B595" s="4458"/>
      <c r="C595" s="4538"/>
      <c r="D595" s="949">
        <v>57000000</v>
      </c>
      <c r="E595" s="955">
        <v>0.06</v>
      </c>
      <c r="F595" s="949">
        <f>D595*E595</f>
        <v>3420000</v>
      </c>
      <c r="G595" s="4469" t="s">
        <v>2515</v>
      </c>
      <c r="H595" s="4470"/>
      <c r="I595" s="4470"/>
      <c r="J595" s="4470"/>
      <c r="K595" s="4471"/>
      <c r="L595" s="952"/>
      <c r="M595" s="385"/>
      <c r="N595" s="386"/>
      <c r="O595" s="386"/>
      <c r="P595" s="386"/>
      <c r="Q595" s="386"/>
      <c r="R595" s="386"/>
    </row>
    <row r="596" spans="1:18" ht="30" customHeight="1" x14ac:dyDescent="0.2">
      <c r="A596" s="900"/>
      <c r="B596" s="901" t="s">
        <v>2517</v>
      </c>
      <c r="C596" s="906" t="s">
        <v>1080</v>
      </c>
      <c r="D596" s="902">
        <v>80000000</v>
      </c>
      <c r="E596" s="908">
        <v>0.05</v>
      </c>
      <c r="F596" s="902">
        <f>D596*E596</f>
        <v>4000000</v>
      </c>
      <c r="G596" s="4593" t="s">
        <v>2205</v>
      </c>
      <c r="H596" s="4594"/>
      <c r="I596" s="4594"/>
      <c r="J596" s="4594"/>
      <c r="K596" s="4594"/>
      <c r="L596" s="4595"/>
      <c r="M596" s="385"/>
      <c r="N596" s="386"/>
      <c r="O596" s="386"/>
      <c r="P596" s="386"/>
      <c r="Q596" s="386"/>
      <c r="R596" s="386"/>
    </row>
    <row r="597" spans="1:18" ht="30" customHeight="1" x14ac:dyDescent="0.2">
      <c r="A597" s="900"/>
      <c r="B597" s="901" t="s">
        <v>2878</v>
      </c>
      <c r="C597" s="906" t="s">
        <v>1718</v>
      </c>
      <c r="D597" s="902">
        <v>25000000</v>
      </c>
      <c r="E597" s="908">
        <v>0.04</v>
      </c>
      <c r="F597" s="902">
        <f>D597*E597</f>
        <v>1000000</v>
      </c>
      <c r="G597" s="902"/>
      <c r="H597" s="902"/>
      <c r="I597" s="391"/>
      <c r="J597" s="473"/>
      <c r="K597" s="902"/>
      <c r="L597" s="907"/>
      <c r="M597" s="1978" t="s">
        <v>4031</v>
      </c>
      <c r="N597" s="386"/>
      <c r="O597" s="386"/>
      <c r="P597" s="386"/>
      <c r="Q597" s="386"/>
      <c r="R597" s="386"/>
    </row>
    <row r="598" spans="1:18" ht="30" customHeight="1" x14ac:dyDescent="0.2">
      <c r="A598" s="4"/>
      <c r="B598" s="41"/>
      <c r="C598" s="344"/>
      <c r="D598" s="332"/>
      <c r="E598" s="17"/>
      <c r="F598" s="332"/>
      <c r="G598" s="332"/>
      <c r="H598" s="332"/>
      <c r="I598" s="338"/>
      <c r="J598" s="21"/>
      <c r="K598" s="332"/>
      <c r="L598" s="332"/>
      <c r="M598" s="41"/>
    </row>
  </sheetData>
  <mergeCells count="765">
    <mergeCell ref="L194:L195"/>
    <mergeCell ref="M274:M275"/>
    <mergeCell ref="M222:M229"/>
    <mergeCell ref="M386:M389"/>
    <mergeCell ref="M291:M293"/>
    <mergeCell ref="K205:K207"/>
    <mergeCell ref="H379:H380"/>
    <mergeCell ref="K289:K291"/>
    <mergeCell ref="L289:L291"/>
    <mergeCell ref="G293:K293"/>
    <mergeCell ref="L295:L296"/>
    <mergeCell ref="I288:I289"/>
    <mergeCell ref="L201:L202"/>
    <mergeCell ref="G197:K197"/>
    <mergeCell ref="K194:K195"/>
    <mergeCell ref="K386:K389"/>
    <mergeCell ref="M201:M202"/>
    <mergeCell ref="M235:M236"/>
    <mergeCell ref="L205:L207"/>
    <mergeCell ref="M295:M296"/>
    <mergeCell ref="L386:L389"/>
    <mergeCell ref="M339:M341"/>
    <mergeCell ref="K339:K340"/>
    <mergeCell ref="M379:M380"/>
    <mergeCell ref="G402:J402"/>
    <mergeCell ref="M194:M195"/>
    <mergeCell ref="G246:G247"/>
    <mergeCell ref="K274:K275"/>
    <mergeCell ref="L274:L275"/>
    <mergeCell ref="M285:M286"/>
    <mergeCell ref="L246:L247"/>
    <mergeCell ref="L235:L236"/>
    <mergeCell ref="H246:K247"/>
    <mergeCell ref="H285:H286"/>
    <mergeCell ref="I285:I286"/>
    <mergeCell ref="J285:J286"/>
    <mergeCell ref="K285:K286"/>
    <mergeCell ref="L214:L229"/>
    <mergeCell ref="M205:M207"/>
    <mergeCell ref="L272:L273"/>
    <mergeCell ref="M272:M273"/>
    <mergeCell ref="G267:K267"/>
    <mergeCell ref="G261:K261"/>
    <mergeCell ref="K214:K229"/>
    <mergeCell ref="L339:L340"/>
    <mergeCell ref="L310:L311"/>
    <mergeCell ref="L285:L286"/>
    <mergeCell ref="K201:K202"/>
    <mergeCell ref="M310:M311"/>
    <mergeCell ref="K310:K311"/>
    <mergeCell ref="G299:K299"/>
    <mergeCell ref="M321:M322"/>
    <mergeCell ref="M382:M383"/>
    <mergeCell ref="M373:O373"/>
    <mergeCell ref="G375:K375"/>
    <mergeCell ref="L379:L380"/>
    <mergeCell ref="K379:K380"/>
    <mergeCell ref="J379:J380"/>
    <mergeCell ref="K235:K236"/>
    <mergeCell ref="G570:K570"/>
    <mergeCell ref="M569:M570"/>
    <mergeCell ref="B386:B390"/>
    <mergeCell ref="C386:C390"/>
    <mergeCell ref="G390:K390"/>
    <mergeCell ref="B397:B403"/>
    <mergeCell ref="B468:B469"/>
    <mergeCell ref="D417:D418"/>
    <mergeCell ref="M528:M529"/>
    <mergeCell ref="B417:B418"/>
    <mergeCell ref="C417:C418"/>
    <mergeCell ref="K490:K491"/>
    <mergeCell ref="M427:M428"/>
    <mergeCell ref="M414:M415"/>
    <mergeCell ref="M429:M430"/>
    <mergeCell ref="M456:M457"/>
    <mergeCell ref="D425:F425"/>
    <mergeCell ref="G403:J403"/>
    <mergeCell ref="B569:B570"/>
    <mergeCell ref="K414:K415"/>
    <mergeCell ref="M490:M491"/>
    <mergeCell ref="M501:M502"/>
    <mergeCell ref="L329:L334"/>
    <mergeCell ref="B456:B457"/>
    <mergeCell ref="M404:M407"/>
    <mergeCell ref="K329:K334"/>
    <mergeCell ref="D295:D296"/>
    <mergeCell ref="E295:E296"/>
    <mergeCell ref="K295:K296"/>
    <mergeCell ref="F329:F334"/>
    <mergeCell ref="H288:H289"/>
    <mergeCell ref="F214:F229"/>
    <mergeCell ref="F235:F236"/>
    <mergeCell ref="D235:D236"/>
    <mergeCell ref="F295:F296"/>
    <mergeCell ref="E329:E334"/>
    <mergeCell ref="J310:J311"/>
    <mergeCell ref="B427:B428"/>
    <mergeCell ref="C427:C428"/>
    <mergeCell ref="B274:B275"/>
    <mergeCell ref="C373:C375"/>
    <mergeCell ref="B448:B453"/>
    <mergeCell ref="F417:F418"/>
    <mergeCell ref="B429:B430"/>
    <mergeCell ref="C429:C430"/>
    <mergeCell ref="C404:C408"/>
    <mergeCell ref="J288:J289"/>
    <mergeCell ref="I144:I145"/>
    <mergeCell ref="F87:F94"/>
    <mergeCell ref="A386:A390"/>
    <mergeCell ref="F564:F565"/>
    <mergeCell ref="E140:K140"/>
    <mergeCell ref="B355:B356"/>
    <mergeCell ref="D194:D195"/>
    <mergeCell ref="C456:C457"/>
    <mergeCell ref="E235:E236"/>
    <mergeCell ref="A194:A195"/>
    <mergeCell ref="E214:E229"/>
    <mergeCell ref="D274:D275"/>
    <mergeCell ref="E274:E275"/>
    <mergeCell ref="C397:C403"/>
    <mergeCell ref="E417:E418"/>
    <mergeCell ref="I182:I183"/>
    <mergeCell ref="H182:H183"/>
    <mergeCell ref="I379:I380"/>
    <mergeCell ref="G285:G286"/>
    <mergeCell ref="F274:F275"/>
    <mergeCell ref="G372:K372"/>
    <mergeCell ref="D374:F374"/>
    <mergeCell ref="G379:G380"/>
    <mergeCell ref="F355:F356"/>
    <mergeCell ref="G144:G145"/>
    <mergeCell ref="F192:F193"/>
    <mergeCell ref="E179:E180"/>
    <mergeCell ref="F179:F180"/>
    <mergeCell ref="B191:B193"/>
    <mergeCell ref="F194:F195"/>
    <mergeCell ref="D179:D180"/>
    <mergeCell ref="B194:B195"/>
    <mergeCell ref="E194:E195"/>
    <mergeCell ref="M25:M26"/>
    <mergeCell ref="A97:A98"/>
    <mergeCell ref="B75:B79"/>
    <mergeCell ref="C75:C79"/>
    <mergeCell ref="B25:B27"/>
    <mergeCell ref="C25:C27"/>
    <mergeCell ref="A73:A74"/>
    <mergeCell ref="A56:A58"/>
    <mergeCell ref="C56:C58"/>
    <mergeCell ref="A68:A70"/>
    <mergeCell ref="B43:B44"/>
    <mergeCell ref="B56:B58"/>
    <mergeCell ref="B71:B72"/>
    <mergeCell ref="A71:A72"/>
    <mergeCell ref="C71:C72"/>
    <mergeCell ref="A41:A42"/>
    <mergeCell ref="B41:B42"/>
    <mergeCell ref="C41:C42"/>
    <mergeCell ref="D41:D42"/>
    <mergeCell ref="A87:A94"/>
    <mergeCell ref="B87:B94"/>
    <mergeCell ref="C87:C94"/>
    <mergeCell ref="D87:D94"/>
    <mergeCell ref="E87:E94"/>
    <mergeCell ref="G585:L585"/>
    <mergeCell ref="M439:M440"/>
    <mergeCell ref="A246:A249"/>
    <mergeCell ref="B246:B249"/>
    <mergeCell ref="G248:K249"/>
    <mergeCell ref="L248:L249"/>
    <mergeCell ref="M248:M249"/>
    <mergeCell ref="G584:L584"/>
    <mergeCell ref="M329:M334"/>
    <mergeCell ref="B357:B359"/>
    <mergeCell ref="A357:A359"/>
    <mergeCell ref="M357:M359"/>
    <mergeCell ref="B528:B529"/>
    <mergeCell ref="A528:A529"/>
    <mergeCell ref="C528:C529"/>
    <mergeCell ref="D528:D529"/>
    <mergeCell ref="E528:E529"/>
    <mergeCell ref="F528:F529"/>
    <mergeCell ref="K528:K529"/>
    <mergeCell ref="L528:L529"/>
    <mergeCell ref="M496:M497"/>
    <mergeCell ref="M458:M459"/>
    <mergeCell ref="L414:L415"/>
    <mergeCell ref="J414:J415"/>
    <mergeCell ref="M15:M16"/>
    <mergeCell ref="L11:L12"/>
    <mergeCell ref="M11:M12"/>
    <mergeCell ref="H75:H76"/>
    <mergeCell ref="M75:M79"/>
    <mergeCell ref="K78:K79"/>
    <mergeCell ref="L78:L79"/>
    <mergeCell ref="I75:I76"/>
    <mergeCell ref="M41:M42"/>
    <mergeCell ref="M53:M54"/>
    <mergeCell ref="M43:M44"/>
    <mergeCell ref="M28:M29"/>
    <mergeCell ref="K11:K12"/>
    <mergeCell ref="K41:K42"/>
    <mergeCell ref="K25:K26"/>
    <mergeCell ref="J25:J26"/>
    <mergeCell ref="H25:H26"/>
    <mergeCell ref="M56:M58"/>
    <mergeCell ref="I77:I78"/>
    <mergeCell ref="J77:J78"/>
    <mergeCell ref="K76:K77"/>
    <mergeCell ref="G73:K73"/>
    <mergeCell ref="M62:M63"/>
    <mergeCell ref="M60:M61"/>
    <mergeCell ref="M159:M160"/>
    <mergeCell ref="M142:M143"/>
    <mergeCell ref="M188:M189"/>
    <mergeCell ref="L142:L143"/>
    <mergeCell ref="M192:M193"/>
    <mergeCell ref="M144:M145"/>
    <mergeCell ref="L144:L145"/>
    <mergeCell ref="K182:K183"/>
    <mergeCell ref="L192:L193"/>
    <mergeCell ref="L188:L189"/>
    <mergeCell ref="K142:K143"/>
    <mergeCell ref="M182:M183"/>
    <mergeCell ref="L182:L183"/>
    <mergeCell ref="K192:K193"/>
    <mergeCell ref="K144:K145"/>
    <mergeCell ref="K188:K189"/>
    <mergeCell ref="M147:M148"/>
    <mergeCell ref="M97:M98"/>
    <mergeCell ref="K97:K98"/>
    <mergeCell ref="K130:K132"/>
    <mergeCell ref="L130:L132"/>
    <mergeCell ref="K121:K122"/>
    <mergeCell ref="L121:L122"/>
    <mergeCell ref="M88:M93"/>
    <mergeCell ref="G104:L104"/>
    <mergeCell ref="G131:G132"/>
    <mergeCell ref="M121:M122"/>
    <mergeCell ref="H131:H132"/>
    <mergeCell ref="I131:I132"/>
    <mergeCell ref="L106:L107"/>
    <mergeCell ref="M64:M65"/>
    <mergeCell ref="J142:J143"/>
    <mergeCell ref="M69:M70"/>
    <mergeCell ref="L82:L83"/>
    <mergeCell ref="L76:L77"/>
    <mergeCell ref="G71:K71"/>
    <mergeCell ref="H77:H78"/>
    <mergeCell ref="M108:M109"/>
    <mergeCell ref="M80:M81"/>
    <mergeCell ref="L136:L137"/>
    <mergeCell ref="G98:J98"/>
    <mergeCell ref="I87:I88"/>
    <mergeCell ref="J108:J109"/>
    <mergeCell ref="M136:M140"/>
    <mergeCell ref="J131:J132"/>
    <mergeCell ref="I108:I109"/>
    <mergeCell ref="G86:L86"/>
    <mergeCell ref="G80:G81"/>
    <mergeCell ref="M130:M132"/>
    <mergeCell ref="K111:K112"/>
    <mergeCell ref="L111:L112"/>
    <mergeCell ref="M111:M112"/>
    <mergeCell ref="K89:K93"/>
    <mergeCell ref="L87:L93"/>
    <mergeCell ref="L56:L58"/>
    <mergeCell ref="J87:J88"/>
    <mergeCell ref="G74:L74"/>
    <mergeCell ref="L25:L26"/>
    <mergeCell ref="G72:K72"/>
    <mergeCell ref="L53:L54"/>
    <mergeCell ref="K80:K81"/>
    <mergeCell ref="I84:I85"/>
    <mergeCell ref="J84:J85"/>
    <mergeCell ref="H80:H81"/>
    <mergeCell ref="L80:L81"/>
    <mergeCell ref="K84:K85"/>
    <mergeCell ref="K69:K70"/>
    <mergeCell ref="L69:L70"/>
    <mergeCell ref="I53:I54"/>
    <mergeCell ref="H53:H54"/>
    <mergeCell ref="H87:H88"/>
    <mergeCell ref="G82:G83"/>
    <mergeCell ref="H82:H83"/>
    <mergeCell ref="K62:K63"/>
    <mergeCell ref="G53:G54"/>
    <mergeCell ref="J53:J54"/>
    <mergeCell ref="K53:K54"/>
    <mergeCell ref="K56:K58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I25:I26"/>
    <mergeCell ref="G27:K27"/>
    <mergeCell ref="K36:K37"/>
    <mergeCell ref="L36:L37"/>
    <mergeCell ref="G485:K485"/>
    <mergeCell ref="K458:K459"/>
    <mergeCell ref="L458:L459"/>
    <mergeCell ref="M435:M436"/>
    <mergeCell ref="H461:H462"/>
    <mergeCell ref="M461:M462"/>
    <mergeCell ref="L417:L418"/>
    <mergeCell ref="K427:K428"/>
    <mergeCell ref="L435:L436"/>
    <mergeCell ref="L456:L457"/>
    <mergeCell ref="L452:L453"/>
    <mergeCell ref="G451:L451"/>
    <mergeCell ref="L429:L430"/>
    <mergeCell ref="M454:M455"/>
    <mergeCell ref="M423:M424"/>
    <mergeCell ref="M417:M418"/>
    <mergeCell ref="H423:H425"/>
    <mergeCell ref="I423:I425"/>
    <mergeCell ref="G430:K430"/>
    <mergeCell ref="H449:J449"/>
    <mergeCell ref="L468:L469"/>
    <mergeCell ref="L439:L440"/>
    <mergeCell ref="A458:A459"/>
    <mergeCell ref="A501:A504"/>
    <mergeCell ref="A484:A485"/>
    <mergeCell ref="B484:B485"/>
    <mergeCell ref="C484:C485"/>
    <mergeCell ref="F382:F383"/>
    <mergeCell ref="K423:K424"/>
    <mergeCell ref="L423:L424"/>
    <mergeCell ref="G392:K392"/>
    <mergeCell ref="A404:A408"/>
    <mergeCell ref="B404:B408"/>
    <mergeCell ref="B423:B425"/>
    <mergeCell ref="C423:C425"/>
    <mergeCell ref="B414:B415"/>
    <mergeCell ref="A397:A403"/>
    <mergeCell ref="A382:A383"/>
    <mergeCell ref="A423:A424"/>
    <mergeCell ref="B454:B455"/>
    <mergeCell ref="J461:J462"/>
    <mergeCell ref="G461:G462"/>
    <mergeCell ref="C468:C469"/>
    <mergeCell ref="G423:G424"/>
    <mergeCell ref="G422:L422"/>
    <mergeCell ref="D468:D469"/>
    <mergeCell ref="M36:M37"/>
    <mergeCell ref="E272:E273"/>
    <mergeCell ref="F272:F273"/>
    <mergeCell ref="K272:K273"/>
    <mergeCell ref="H61:H62"/>
    <mergeCell ref="I61:I62"/>
    <mergeCell ref="J61:J62"/>
    <mergeCell ref="K60:K61"/>
    <mergeCell ref="L60:L61"/>
    <mergeCell ref="G208:L208"/>
    <mergeCell ref="E188:E189"/>
    <mergeCell ref="F60:F61"/>
    <mergeCell ref="E60:E61"/>
    <mergeCell ref="E111:E112"/>
    <mergeCell ref="F111:F112"/>
    <mergeCell ref="E205:F207"/>
    <mergeCell ref="F188:F189"/>
    <mergeCell ref="L62:L63"/>
    <mergeCell ref="L97:L98"/>
    <mergeCell ref="I80:I81"/>
    <mergeCell ref="J75:J76"/>
    <mergeCell ref="J182:J183"/>
    <mergeCell ref="G182:G183"/>
    <mergeCell ref="E106:E107"/>
    <mergeCell ref="K136:K137"/>
    <mergeCell ref="H121:H122"/>
    <mergeCell ref="I121:I122"/>
    <mergeCell ref="G133:K133"/>
    <mergeCell ref="I82:I83"/>
    <mergeCell ref="K87:K88"/>
    <mergeCell ref="D78:D79"/>
    <mergeCell ref="G103:L103"/>
    <mergeCell ref="G121:G122"/>
    <mergeCell ref="J121:J122"/>
    <mergeCell ref="J80:J81"/>
    <mergeCell ref="D109:F109"/>
    <mergeCell ref="E136:E137"/>
    <mergeCell ref="D106:D107"/>
    <mergeCell ref="J82:J83"/>
    <mergeCell ref="K82:K83"/>
    <mergeCell ref="K106:K107"/>
    <mergeCell ref="F106:F107"/>
    <mergeCell ref="A373:A375"/>
    <mergeCell ref="A159:A160"/>
    <mergeCell ref="A274:A275"/>
    <mergeCell ref="B321:B322"/>
    <mergeCell ref="J144:J145"/>
    <mergeCell ref="G142:G143"/>
    <mergeCell ref="B97:B98"/>
    <mergeCell ref="B102:B104"/>
    <mergeCell ref="B111:B112"/>
    <mergeCell ref="A111:A112"/>
    <mergeCell ref="C108:C109"/>
    <mergeCell ref="A108:A109"/>
    <mergeCell ref="C191:C193"/>
    <mergeCell ref="H144:H145"/>
    <mergeCell ref="E192:E193"/>
    <mergeCell ref="D185:D186"/>
    <mergeCell ref="D192:D193"/>
    <mergeCell ref="C173:C174"/>
    <mergeCell ref="B173:B174"/>
    <mergeCell ref="H142:H143"/>
    <mergeCell ref="A142:A143"/>
    <mergeCell ref="C185:C186"/>
    <mergeCell ref="G135:K135"/>
    <mergeCell ref="I142:I143"/>
    <mergeCell ref="A338:A341"/>
    <mergeCell ref="C338:C341"/>
    <mergeCell ref="D339:F340"/>
    <mergeCell ref="E355:E356"/>
    <mergeCell ref="B182:B183"/>
    <mergeCell ref="A80:A83"/>
    <mergeCell ref="B80:B83"/>
    <mergeCell ref="C111:C112"/>
    <mergeCell ref="A421:A422"/>
    <mergeCell ref="C421:C422"/>
    <mergeCell ref="A121:A122"/>
    <mergeCell ref="A130:A134"/>
    <mergeCell ref="A321:A322"/>
    <mergeCell ref="A191:A193"/>
    <mergeCell ref="B185:B186"/>
    <mergeCell ref="A188:A189"/>
    <mergeCell ref="A173:A174"/>
    <mergeCell ref="A149:A150"/>
    <mergeCell ref="B149:B150"/>
    <mergeCell ref="C188:C189"/>
    <mergeCell ref="C310:C311"/>
    <mergeCell ref="B188:B189"/>
    <mergeCell ref="A371:A372"/>
    <mergeCell ref="B214:B229"/>
    <mergeCell ref="C121:C122"/>
    <mergeCell ref="D136:D137"/>
    <mergeCell ref="C371:C372"/>
    <mergeCell ref="B327:B334"/>
    <mergeCell ref="C327:C334"/>
    <mergeCell ref="B295:B296"/>
    <mergeCell ref="C295:C296"/>
    <mergeCell ref="B310:B311"/>
    <mergeCell ref="B298:B299"/>
    <mergeCell ref="C214:C229"/>
    <mergeCell ref="D214:D229"/>
    <mergeCell ref="C355:C356"/>
    <mergeCell ref="D355:D356"/>
    <mergeCell ref="B201:B202"/>
    <mergeCell ref="C204:C208"/>
    <mergeCell ref="D205:D207"/>
    <mergeCell ref="B371:B372"/>
    <mergeCell ref="B338:B341"/>
    <mergeCell ref="D329:D334"/>
    <mergeCell ref="C197:C198"/>
    <mergeCell ref="B197:B198"/>
    <mergeCell ref="B266:B267"/>
    <mergeCell ref="C274:C275"/>
    <mergeCell ref="F36:F37"/>
    <mergeCell ref="F41:F42"/>
    <mergeCell ref="F69:F70"/>
    <mergeCell ref="F56:F58"/>
    <mergeCell ref="E41:E42"/>
    <mergeCell ref="C36:C37"/>
    <mergeCell ref="D36:D37"/>
    <mergeCell ref="E36:E37"/>
    <mergeCell ref="B179:B180"/>
    <mergeCell ref="C179:C180"/>
    <mergeCell ref="B144:B145"/>
    <mergeCell ref="B142:B143"/>
    <mergeCell ref="B159:B160"/>
    <mergeCell ref="F136:F137"/>
    <mergeCell ref="B130:B134"/>
    <mergeCell ref="C130:C134"/>
    <mergeCell ref="D111:D112"/>
    <mergeCell ref="B147:B148"/>
    <mergeCell ref="C159:C160"/>
    <mergeCell ref="C149:C150"/>
    <mergeCell ref="E138:K138"/>
    <mergeCell ref="E139:K139"/>
    <mergeCell ref="B136:B140"/>
    <mergeCell ref="C136:C140"/>
    <mergeCell ref="D382:D383"/>
    <mergeCell ref="E185:E186"/>
    <mergeCell ref="F185:F186"/>
    <mergeCell ref="D272:D273"/>
    <mergeCell ref="D188:D189"/>
    <mergeCell ref="B260:B261"/>
    <mergeCell ref="B373:B375"/>
    <mergeCell ref="A75:A79"/>
    <mergeCell ref="E78:F79"/>
    <mergeCell ref="C80:C83"/>
    <mergeCell ref="E76:F77"/>
    <mergeCell ref="A310:A311"/>
    <mergeCell ref="A298:A299"/>
    <mergeCell ref="A327:A334"/>
    <mergeCell ref="B288:B293"/>
    <mergeCell ref="B285:B286"/>
    <mergeCell ref="C288:C293"/>
    <mergeCell ref="C84:C86"/>
    <mergeCell ref="B114:B115"/>
    <mergeCell ref="C114:C115"/>
    <mergeCell ref="D114:D115"/>
    <mergeCell ref="E114:E115"/>
    <mergeCell ref="F114:F115"/>
    <mergeCell ref="C235:C236"/>
    <mergeCell ref="A114:A115"/>
    <mergeCell ref="A204:A208"/>
    <mergeCell ref="B204:B208"/>
    <mergeCell ref="B272:B273"/>
    <mergeCell ref="D8:F9"/>
    <mergeCell ref="D56:D58"/>
    <mergeCell ref="D35:F35"/>
    <mergeCell ref="B68:B70"/>
    <mergeCell ref="C68:C70"/>
    <mergeCell ref="A64:A65"/>
    <mergeCell ref="B64:B65"/>
    <mergeCell ref="C64:C65"/>
    <mergeCell ref="A59:A63"/>
    <mergeCell ref="B7:B9"/>
    <mergeCell ref="A7:A9"/>
    <mergeCell ref="C7:C9"/>
    <mergeCell ref="C34:C35"/>
    <mergeCell ref="B34:B35"/>
    <mergeCell ref="C43:C44"/>
    <mergeCell ref="A43:A44"/>
    <mergeCell ref="A11:A12"/>
    <mergeCell ref="F11:F12"/>
    <mergeCell ref="B11:B12"/>
    <mergeCell ref="C11:C12"/>
    <mergeCell ref="D11:D12"/>
    <mergeCell ref="E11:E12"/>
    <mergeCell ref="A36:A37"/>
    <mergeCell ref="B36:B37"/>
    <mergeCell ref="A15:A17"/>
    <mergeCell ref="B15:B17"/>
    <mergeCell ref="A25:A27"/>
    <mergeCell ref="A84:A86"/>
    <mergeCell ref="C97:C98"/>
    <mergeCell ref="D60:D61"/>
    <mergeCell ref="D69:D70"/>
    <mergeCell ref="E69:E70"/>
    <mergeCell ref="C102:C103"/>
    <mergeCell ref="B382:B383"/>
    <mergeCell ref="C382:C383"/>
    <mergeCell ref="A185:A186"/>
    <mergeCell ref="C266:C267"/>
    <mergeCell ref="C272:C273"/>
    <mergeCell ref="A197:A198"/>
    <mergeCell ref="A201:A202"/>
    <mergeCell ref="A106:A107"/>
    <mergeCell ref="B106:B107"/>
    <mergeCell ref="C106:C107"/>
    <mergeCell ref="A102:A104"/>
    <mergeCell ref="B108:B109"/>
    <mergeCell ref="B121:B122"/>
    <mergeCell ref="C142:C143"/>
    <mergeCell ref="C144:C145"/>
    <mergeCell ref="A147:A148"/>
    <mergeCell ref="A182:A183"/>
    <mergeCell ref="A179:A180"/>
    <mergeCell ref="A272:A273"/>
    <mergeCell ref="A214:A229"/>
    <mergeCell ref="A285:A286"/>
    <mergeCell ref="A288:A293"/>
    <mergeCell ref="A136:A140"/>
    <mergeCell ref="K8:K9"/>
    <mergeCell ref="L8:L9"/>
    <mergeCell ref="A414:A415"/>
    <mergeCell ref="C414:C415"/>
    <mergeCell ref="G414:G415"/>
    <mergeCell ref="H414:H415"/>
    <mergeCell ref="I414:I415"/>
    <mergeCell ref="C59:C63"/>
    <mergeCell ref="D62:D63"/>
    <mergeCell ref="E62:E63"/>
    <mergeCell ref="F62:F63"/>
    <mergeCell ref="H108:H109"/>
    <mergeCell ref="D289:F292"/>
    <mergeCell ref="A295:A296"/>
    <mergeCell ref="L84:L85"/>
    <mergeCell ref="G84:G85"/>
    <mergeCell ref="H84:H85"/>
    <mergeCell ref="B84:B86"/>
    <mergeCell ref="A34:A35"/>
    <mergeCell ref="G25:G26"/>
    <mergeCell ref="B59:B63"/>
    <mergeCell ref="E56:E58"/>
    <mergeCell ref="D76:D77"/>
    <mergeCell ref="B73:B74"/>
    <mergeCell ref="E579:E580"/>
    <mergeCell ref="F579:F580"/>
    <mergeCell ref="A546:A547"/>
    <mergeCell ref="E556:E557"/>
    <mergeCell ref="F556:F557"/>
    <mergeCell ref="D546:D547"/>
    <mergeCell ref="B546:B547"/>
    <mergeCell ref="E519:F519"/>
    <mergeCell ref="B556:B557"/>
    <mergeCell ref="A556:A557"/>
    <mergeCell ref="D556:D557"/>
    <mergeCell ref="F531:F537"/>
    <mergeCell ref="A531:A537"/>
    <mergeCell ref="E546:E547"/>
    <mergeCell ref="F546:F547"/>
    <mergeCell ref="C546:C547"/>
    <mergeCell ref="A564:A565"/>
    <mergeCell ref="A569:A570"/>
    <mergeCell ref="A579:A580"/>
    <mergeCell ref="B579:B580"/>
    <mergeCell ref="C579:C580"/>
    <mergeCell ref="D579:D580"/>
    <mergeCell ref="L531:L535"/>
    <mergeCell ref="B505:B507"/>
    <mergeCell ref="A476:A477"/>
    <mergeCell ref="B476:B477"/>
    <mergeCell ref="C476:C477"/>
    <mergeCell ref="B480:B481"/>
    <mergeCell ref="A480:A481"/>
    <mergeCell ref="C480:C481"/>
    <mergeCell ref="C496:C500"/>
    <mergeCell ref="L501:L502"/>
    <mergeCell ref="L496:L497"/>
    <mergeCell ref="G499:K499"/>
    <mergeCell ref="G498:K498"/>
    <mergeCell ref="G500:K500"/>
    <mergeCell ref="C516:C517"/>
    <mergeCell ref="D516:D517"/>
    <mergeCell ref="D501:D503"/>
    <mergeCell ref="E501:E503"/>
    <mergeCell ref="A505:A507"/>
    <mergeCell ref="E516:E517"/>
    <mergeCell ref="B516:B517"/>
    <mergeCell ref="A516:A517"/>
    <mergeCell ref="A490:A491"/>
    <mergeCell ref="B490:B491"/>
    <mergeCell ref="M579:M580"/>
    <mergeCell ref="G450:J450"/>
    <mergeCell ref="L448:L449"/>
    <mergeCell ref="B458:B459"/>
    <mergeCell ref="E468:E469"/>
    <mergeCell ref="F468:F469"/>
    <mergeCell ref="C458:C459"/>
    <mergeCell ref="D458:D459"/>
    <mergeCell ref="L461:L462"/>
    <mergeCell ref="L490:L491"/>
    <mergeCell ref="M556:M557"/>
    <mergeCell ref="M468:M469"/>
    <mergeCell ref="K461:K462"/>
    <mergeCell ref="E456:E457"/>
    <mergeCell ref="F456:F457"/>
    <mergeCell ref="E458:F459"/>
    <mergeCell ref="K456:K457"/>
    <mergeCell ref="K448:K449"/>
    <mergeCell ref="E448:E449"/>
    <mergeCell ref="E531:E537"/>
    <mergeCell ref="L556:L557"/>
    <mergeCell ref="M510:M511"/>
    <mergeCell ref="F516:F517"/>
    <mergeCell ref="H496:K496"/>
    <mergeCell ref="G596:L596"/>
    <mergeCell ref="D321:D322"/>
    <mergeCell ref="E321:E322"/>
    <mergeCell ref="F321:F322"/>
    <mergeCell ref="K321:K322"/>
    <mergeCell ref="L321:L322"/>
    <mergeCell ref="D386:D389"/>
    <mergeCell ref="E386:E389"/>
    <mergeCell ref="F386:F389"/>
    <mergeCell ref="E382:E383"/>
    <mergeCell ref="K397:K398"/>
    <mergeCell ref="D401:J401"/>
    <mergeCell ref="D407:E407"/>
    <mergeCell ref="D400:E400"/>
    <mergeCell ref="L579:L580"/>
    <mergeCell ref="K417:K418"/>
    <mergeCell ref="G594:L594"/>
    <mergeCell ref="G341:K341"/>
    <mergeCell ref="L397:L398"/>
    <mergeCell ref="L427:L428"/>
    <mergeCell ref="K452:K453"/>
    <mergeCell ref="I461:I462"/>
    <mergeCell ref="K579:K580"/>
    <mergeCell ref="L536:L537"/>
    <mergeCell ref="A468:A469"/>
    <mergeCell ref="A456:A457"/>
    <mergeCell ref="K501:K503"/>
    <mergeCell ref="C434:C436"/>
    <mergeCell ref="C454:C455"/>
    <mergeCell ref="D427:D428"/>
    <mergeCell ref="K468:K469"/>
    <mergeCell ref="A448:A453"/>
    <mergeCell ref="F427:F428"/>
    <mergeCell ref="G439:G440"/>
    <mergeCell ref="D435:D436"/>
    <mergeCell ref="A434:A436"/>
    <mergeCell ref="F448:F449"/>
    <mergeCell ref="B434:B436"/>
    <mergeCell ref="C448:C453"/>
    <mergeCell ref="A429:A430"/>
    <mergeCell ref="A427:A428"/>
    <mergeCell ref="A496:A500"/>
    <mergeCell ref="B501:B504"/>
    <mergeCell ref="C501:C504"/>
    <mergeCell ref="D448:D449"/>
    <mergeCell ref="D456:D457"/>
    <mergeCell ref="B496:B500"/>
    <mergeCell ref="F501:F503"/>
    <mergeCell ref="B594:B595"/>
    <mergeCell ref="C594:C595"/>
    <mergeCell ref="G595:K595"/>
    <mergeCell ref="A594:A595"/>
    <mergeCell ref="B421:B422"/>
    <mergeCell ref="G592:K592"/>
    <mergeCell ref="D531:D537"/>
    <mergeCell ref="K531:K535"/>
    <mergeCell ref="K556:K557"/>
    <mergeCell ref="E564:E565"/>
    <mergeCell ref="J423:J425"/>
    <mergeCell ref="J435:J436"/>
    <mergeCell ref="K435:K436"/>
    <mergeCell ref="E435:F436"/>
    <mergeCell ref="G435:G436"/>
    <mergeCell ref="H435:H436"/>
    <mergeCell ref="I435:I436"/>
    <mergeCell ref="D505:D506"/>
    <mergeCell ref="G506:K506"/>
    <mergeCell ref="C505:C507"/>
    <mergeCell ref="G507:K507"/>
    <mergeCell ref="H439:K440"/>
    <mergeCell ref="K536:K537"/>
    <mergeCell ref="B564:B565"/>
    <mergeCell ref="D452:F453"/>
    <mergeCell ref="A144:A145"/>
    <mergeCell ref="A266:A267"/>
    <mergeCell ref="A235:A236"/>
    <mergeCell ref="B235:B236"/>
    <mergeCell ref="A260:A261"/>
    <mergeCell ref="D591:F591"/>
    <mergeCell ref="C569:C570"/>
    <mergeCell ref="D570:F570"/>
    <mergeCell ref="C564:C565"/>
    <mergeCell ref="D564:D565"/>
    <mergeCell ref="C556:C557"/>
    <mergeCell ref="C531:C537"/>
    <mergeCell ref="E505:E506"/>
    <mergeCell ref="F505:F506"/>
    <mergeCell ref="B510:B511"/>
    <mergeCell ref="C510:C511"/>
    <mergeCell ref="D510:D511"/>
    <mergeCell ref="E510:E511"/>
    <mergeCell ref="F510:F511"/>
    <mergeCell ref="A510:A511"/>
    <mergeCell ref="B531:B537"/>
    <mergeCell ref="E427:E428"/>
    <mergeCell ref="A454:A45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8"/>
  <sheetViews>
    <sheetView rightToLeft="1" zoomScale="60" zoomScaleNormal="60" workbookViewId="0">
      <pane ySplit="1" topLeftCell="A371" activePane="bottomLeft" state="frozen"/>
      <selection activeCell="B1" sqref="B1"/>
      <selection pane="bottomLeft" activeCell="B388" sqref="B388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366" customWidth="1"/>
  </cols>
  <sheetData>
    <row r="1" spans="1:13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263</v>
      </c>
      <c r="J1" s="1" t="s">
        <v>261</v>
      </c>
      <c r="K1" s="1" t="s">
        <v>278</v>
      </c>
      <c r="L1" s="10" t="s">
        <v>291</v>
      </c>
      <c r="M1" s="148" t="s">
        <v>268</v>
      </c>
    </row>
    <row r="2" spans="1:13" ht="30" customHeight="1" x14ac:dyDescent="0.2">
      <c r="A2" s="4459">
        <v>1</v>
      </c>
      <c r="B2" s="4457" t="s">
        <v>1496</v>
      </c>
      <c r="C2" s="4537" t="s">
        <v>372</v>
      </c>
      <c r="D2" s="4413">
        <v>600000000</v>
      </c>
      <c r="E2" s="4476">
        <v>0.06</v>
      </c>
      <c r="F2" s="4413">
        <f>D2*E2</f>
        <v>36000000</v>
      </c>
      <c r="G2" s="968">
        <v>16000000</v>
      </c>
      <c r="H2" s="968" t="s">
        <v>2877</v>
      </c>
      <c r="I2" s="984" t="s">
        <v>2962</v>
      </c>
      <c r="J2" s="21" t="s">
        <v>1803</v>
      </c>
      <c r="K2" s="4413">
        <f>G2+G3</f>
        <v>36000000</v>
      </c>
      <c r="L2" s="4413">
        <f t="shared" ref="L2:L11" si="0">F2-K2</f>
        <v>0</v>
      </c>
      <c r="M2" s="4599"/>
    </row>
    <row r="3" spans="1:13" ht="30" customHeight="1" x14ac:dyDescent="0.2">
      <c r="A3" s="4460"/>
      <c r="B3" s="4458"/>
      <c r="C3" s="4538"/>
      <c r="D3" s="4415"/>
      <c r="E3" s="4477"/>
      <c r="F3" s="4415"/>
      <c r="G3" s="1230">
        <v>20000000</v>
      </c>
      <c r="H3" s="1230" t="s">
        <v>2897</v>
      </c>
      <c r="I3" s="1233" t="s">
        <v>3017</v>
      </c>
      <c r="J3" s="21" t="s">
        <v>1803</v>
      </c>
      <c r="K3" s="4415"/>
      <c r="L3" s="4415"/>
      <c r="M3" s="4607"/>
    </row>
    <row r="4" spans="1:13" ht="30" customHeight="1" x14ac:dyDescent="0.2">
      <c r="A4" s="1001">
        <v>2</v>
      </c>
      <c r="B4" s="19" t="s">
        <v>282</v>
      </c>
      <c r="C4" s="982"/>
      <c r="D4" s="968">
        <v>300000000</v>
      </c>
      <c r="E4" s="996">
        <v>0.05</v>
      </c>
      <c r="F4" s="968">
        <f>D4*E4</f>
        <v>15000000</v>
      </c>
      <c r="G4" s="968">
        <v>15000000</v>
      </c>
      <c r="H4" s="968" t="s">
        <v>2803</v>
      </c>
      <c r="I4" s="984" t="s">
        <v>2821</v>
      </c>
      <c r="J4" s="21" t="s">
        <v>1776</v>
      </c>
      <c r="K4" s="968">
        <f t="shared" ref="K4:K11" si="1">G4</f>
        <v>15000000</v>
      </c>
      <c r="L4" s="968">
        <f t="shared" si="0"/>
        <v>0</v>
      </c>
      <c r="M4" s="1003"/>
    </row>
    <row r="5" spans="1:13" ht="30" customHeight="1" x14ac:dyDescent="0.2">
      <c r="A5" s="1001">
        <v>3</v>
      </c>
      <c r="B5" s="19" t="s">
        <v>285</v>
      </c>
      <c r="C5" s="982" t="s">
        <v>359</v>
      </c>
      <c r="D5" s="968">
        <v>36000000</v>
      </c>
      <c r="E5" s="996">
        <v>7.0000000000000007E-2</v>
      </c>
      <c r="F5" s="968">
        <v>2500000</v>
      </c>
      <c r="G5" s="968">
        <v>2500000</v>
      </c>
      <c r="H5" s="968" t="s">
        <v>1916</v>
      </c>
      <c r="I5" s="984" t="s">
        <v>2850</v>
      </c>
      <c r="J5" s="24" t="s">
        <v>2851</v>
      </c>
      <c r="K5" s="968">
        <f t="shared" si="1"/>
        <v>2500000</v>
      </c>
      <c r="L5" s="968">
        <f t="shared" si="0"/>
        <v>0</v>
      </c>
      <c r="M5" s="1003"/>
    </row>
    <row r="6" spans="1:13" ht="30" customHeight="1" x14ac:dyDescent="0.2">
      <c r="A6" s="1001">
        <v>4</v>
      </c>
      <c r="B6" s="19" t="s">
        <v>310</v>
      </c>
      <c r="C6" s="982"/>
      <c r="D6" s="968">
        <v>535000000</v>
      </c>
      <c r="E6" s="996">
        <v>5.7000000000000002E-2</v>
      </c>
      <c r="F6" s="968">
        <v>30000000</v>
      </c>
      <c r="G6" s="968">
        <v>30000000</v>
      </c>
      <c r="H6" s="968" t="s">
        <v>2705</v>
      </c>
      <c r="I6" s="984" t="s">
        <v>2718</v>
      </c>
      <c r="J6" s="24" t="s">
        <v>2719</v>
      </c>
      <c r="K6" s="968">
        <f t="shared" si="1"/>
        <v>30000000</v>
      </c>
      <c r="L6" s="968">
        <f t="shared" si="0"/>
        <v>0</v>
      </c>
      <c r="M6" s="1003"/>
    </row>
    <row r="7" spans="1:13" ht="30" customHeight="1" x14ac:dyDescent="0.2">
      <c r="A7" s="1001">
        <v>5</v>
      </c>
      <c r="B7" s="19" t="s">
        <v>317</v>
      </c>
      <c r="C7" s="982" t="s">
        <v>372</v>
      </c>
      <c r="D7" s="968">
        <v>20000000</v>
      </c>
      <c r="E7" s="996">
        <v>7.0000000000000007E-2</v>
      </c>
      <c r="F7" s="968">
        <v>1400000</v>
      </c>
      <c r="G7" s="968">
        <v>1400000</v>
      </c>
      <c r="H7" s="968" t="s">
        <v>2689</v>
      </c>
      <c r="I7" s="984" t="s">
        <v>2752</v>
      </c>
      <c r="J7" s="24" t="s">
        <v>1838</v>
      </c>
      <c r="K7" s="968">
        <f t="shared" si="1"/>
        <v>1400000</v>
      </c>
      <c r="L7" s="968">
        <f t="shared" si="0"/>
        <v>0</v>
      </c>
      <c r="M7" s="29" t="s">
        <v>320</v>
      </c>
    </row>
    <row r="8" spans="1:13" ht="30" customHeight="1" x14ac:dyDescent="0.2">
      <c r="A8" s="962">
        <v>6</v>
      </c>
      <c r="B8" s="1002" t="s">
        <v>407</v>
      </c>
      <c r="C8" s="981"/>
      <c r="D8" s="968">
        <v>15000000</v>
      </c>
      <c r="E8" s="996">
        <v>0.05</v>
      </c>
      <c r="F8" s="968">
        <f t="shared" ref="F8:F14" si="2">D8*E8</f>
        <v>750000</v>
      </c>
      <c r="G8" s="968"/>
      <c r="H8" s="968"/>
      <c r="I8" s="984"/>
      <c r="J8" s="24"/>
      <c r="K8" s="968">
        <f t="shared" si="1"/>
        <v>0</v>
      </c>
      <c r="L8" s="968">
        <f t="shared" si="0"/>
        <v>750000</v>
      </c>
      <c r="M8" s="638"/>
    </row>
    <row r="9" spans="1:13" ht="30" customHeight="1" x14ac:dyDescent="0.2">
      <c r="A9" s="962">
        <v>7</v>
      </c>
      <c r="B9" s="1002" t="s">
        <v>102</v>
      </c>
      <c r="C9" s="981" t="s">
        <v>889</v>
      </c>
      <c r="D9" s="968">
        <v>45000000</v>
      </c>
      <c r="E9" s="996">
        <v>0.05</v>
      </c>
      <c r="F9" s="968">
        <f t="shared" si="2"/>
        <v>2250000</v>
      </c>
      <c r="G9" s="968">
        <v>2250000</v>
      </c>
      <c r="H9" s="968" t="s">
        <v>2553</v>
      </c>
      <c r="I9" s="984" t="s">
        <v>2555</v>
      </c>
      <c r="J9" s="26" t="s">
        <v>409</v>
      </c>
      <c r="K9" s="968">
        <f t="shared" si="1"/>
        <v>2250000</v>
      </c>
      <c r="L9" s="968">
        <f t="shared" si="0"/>
        <v>0</v>
      </c>
      <c r="M9" s="737"/>
    </row>
    <row r="10" spans="1:13" ht="30" customHeight="1" x14ac:dyDescent="0.2">
      <c r="A10" s="962">
        <v>8</v>
      </c>
      <c r="B10" s="19" t="s">
        <v>349</v>
      </c>
      <c r="C10" s="378" t="s">
        <v>1291</v>
      </c>
      <c r="D10" s="983">
        <v>400000000</v>
      </c>
      <c r="E10" s="996">
        <v>4.4999999999999998E-2</v>
      </c>
      <c r="F10" s="983">
        <f t="shared" si="2"/>
        <v>18000000</v>
      </c>
      <c r="G10" s="983">
        <v>18000000</v>
      </c>
      <c r="H10" s="968" t="s">
        <v>2897</v>
      </c>
      <c r="I10" s="993" t="s">
        <v>2988</v>
      </c>
      <c r="J10" s="24" t="s">
        <v>2035</v>
      </c>
      <c r="K10" s="968">
        <f t="shared" si="1"/>
        <v>18000000</v>
      </c>
      <c r="L10" s="983">
        <f t="shared" si="0"/>
        <v>0</v>
      </c>
      <c r="M10" s="969"/>
    </row>
    <row r="11" spans="1:13" ht="30" customHeight="1" x14ac:dyDescent="0.2">
      <c r="A11" s="1001">
        <v>9</v>
      </c>
      <c r="B11" s="1003" t="s">
        <v>378</v>
      </c>
      <c r="C11" s="982" t="s">
        <v>371</v>
      </c>
      <c r="D11" s="968">
        <v>10000000</v>
      </c>
      <c r="E11" s="965">
        <v>0.05</v>
      </c>
      <c r="F11" s="968">
        <f t="shared" si="2"/>
        <v>500000</v>
      </c>
      <c r="G11" s="968">
        <v>500000</v>
      </c>
      <c r="H11" s="968" t="s">
        <v>2803</v>
      </c>
      <c r="I11" s="984" t="s">
        <v>2818</v>
      </c>
      <c r="J11" s="24" t="s">
        <v>1001</v>
      </c>
      <c r="K11" s="968">
        <f t="shared" si="1"/>
        <v>500000</v>
      </c>
      <c r="L11" s="968">
        <f t="shared" si="0"/>
        <v>0</v>
      </c>
      <c r="M11" s="29"/>
    </row>
    <row r="12" spans="1:13" ht="30" customHeight="1" x14ac:dyDescent="0.2">
      <c r="A12" s="1001">
        <v>10</v>
      </c>
      <c r="B12" s="1002" t="s">
        <v>999</v>
      </c>
      <c r="C12" s="995" t="s">
        <v>1796</v>
      </c>
      <c r="D12" s="968">
        <v>180000000</v>
      </c>
      <c r="E12" s="996">
        <v>7.0000000000000007E-2</v>
      </c>
      <c r="F12" s="968">
        <f t="shared" si="2"/>
        <v>12600000.000000002</v>
      </c>
      <c r="G12" s="968">
        <v>12600000</v>
      </c>
      <c r="H12" s="968" t="s">
        <v>3189</v>
      </c>
      <c r="I12" s="984" t="s">
        <v>3196</v>
      </c>
      <c r="J12" s="24" t="s">
        <v>2372</v>
      </c>
      <c r="K12" s="968">
        <f>G12</f>
        <v>12600000</v>
      </c>
      <c r="L12" s="968">
        <f>F12-K12</f>
        <v>0</v>
      </c>
      <c r="M12" s="180" t="s">
        <v>3197</v>
      </c>
    </row>
    <row r="13" spans="1:13" ht="30" customHeight="1" x14ac:dyDescent="0.2">
      <c r="A13" s="4459">
        <v>11</v>
      </c>
      <c r="B13" s="4615" t="s">
        <v>393</v>
      </c>
      <c r="C13" s="982" t="s">
        <v>359</v>
      </c>
      <c r="D13" s="983">
        <v>15000000</v>
      </c>
      <c r="E13" s="996">
        <v>7.0000000000000007E-2</v>
      </c>
      <c r="F13" s="983">
        <f t="shared" si="2"/>
        <v>1050000</v>
      </c>
      <c r="G13" s="968">
        <v>1050000</v>
      </c>
      <c r="H13" s="968" t="s">
        <v>2916</v>
      </c>
      <c r="I13" s="984" t="s">
        <v>2921</v>
      </c>
      <c r="J13" s="26" t="s">
        <v>2922</v>
      </c>
      <c r="K13" s="4413">
        <f>G13+G14</f>
        <v>1300000</v>
      </c>
      <c r="L13" s="4413">
        <f>(F13+F14)-K13</f>
        <v>0</v>
      </c>
      <c r="M13" s="4498"/>
    </row>
    <row r="14" spans="1:13" ht="30" customHeight="1" x14ac:dyDescent="0.2">
      <c r="A14" s="4464"/>
      <c r="B14" s="4615"/>
      <c r="C14" s="982" t="s">
        <v>1080</v>
      </c>
      <c r="D14" s="983">
        <v>5000000</v>
      </c>
      <c r="E14" s="996">
        <v>0.05</v>
      </c>
      <c r="F14" s="983">
        <f t="shared" si="2"/>
        <v>250000</v>
      </c>
      <c r="G14" s="968">
        <v>250000</v>
      </c>
      <c r="H14" s="968" t="s">
        <v>3305</v>
      </c>
      <c r="I14" s="984" t="s">
        <v>3339</v>
      </c>
      <c r="J14" s="52" t="s">
        <v>2922</v>
      </c>
      <c r="K14" s="4415"/>
      <c r="L14" s="4415"/>
      <c r="M14" s="4499"/>
    </row>
    <row r="15" spans="1:13" ht="30" customHeight="1" x14ac:dyDescent="0.2">
      <c r="A15" s="963">
        <v>12</v>
      </c>
      <c r="B15" s="961" t="s">
        <v>399</v>
      </c>
      <c r="C15" s="982" t="s">
        <v>402</v>
      </c>
      <c r="D15" s="968">
        <v>75000000</v>
      </c>
      <c r="E15" s="965"/>
      <c r="F15" s="968">
        <v>3750000</v>
      </c>
      <c r="G15" s="968">
        <v>3750000</v>
      </c>
      <c r="H15" s="968" t="s">
        <v>2211</v>
      </c>
      <c r="I15" s="984" t="s">
        <v>2614</v>
      </c>
      <c r="J15" s="52" t="s">
        <v>401</v>
      </c>
      <c r="K15" s="968">
        <f>G15</f>
        <v>3750000</v>
      </c>
      <c r="L15" s="968">
        <f>F15-K15</f>
        <v>0</v>
      </c>
      <c r="M15" s="971"/>
    </row>
    <row r="16" spans="1:13" ht="30" customHeight="1" x14ac:dyDescent="0.2">
      <c r="A16" s="4459">
        <v>13</v>
      </c>
      <c r="B16" s="4457" t="s">
        <v>420</v>
      </c>
      <c r="C16" s="4537" t="s">
        <v>359</v>
      </c>
      <c r="D16" s="968">
        <v>80000000</v>
      </c>
      <c r="E16" s="1154">
        <f>F16/D16</f>
        <v>0.06</v>
      </c>
      <c r="F16" s="968">
        <v>4800000</v>
      </c>
      <c r="G16" s="4303" t="s">
        <v>2404</v>
      </c>
      <c r="H16" s="4324"/>
      <c r="I16" s="4324"/>
      <c r="J16" s="4355"/>
      <c r="K16" s="968" t="str">
        <f>G16</f>
        <v>به اصل مبلغ اضافه شد.</v>
      </c>
      <c r="L16" s="968" t="e">
        <f>F16-K16</f>
        <v>#VALUE!</v>
      </c>
      <c r="M16" s="971"/>
    </row>
    <row r="17" spans="1:13" ht="30" customHeight="1" x14ac:dyDescent="0.2">
      <c r="A17" s="4464"/>
      <c r="B17" s="4488"/>
      <c r="C17" s="4540"/>
      <c r="D17" s="4413"/>
      <c r="E17" s="4476"/>
      <c r="F17" s="4413"/>
      <c r="G17" s="4325" t="s">
        <v>2730</v>
      </c>
      <c r="H17" s="4326"/>
      <c r="I17" s="4326"/>
      <c r="J17" s="4563"/>
      <c r="K17" s="1151"/>
      <c r="L17" s="1151"/>
      <c r="M17" s="1152"/>
    </row>
    <row r="18" spans="1:13" ht="30" customHeight="1" x14ac:dyDescent="0.2">
      <c r="A18" s="4464"/>
      <c r="B18" s="4488"/>
      <c r="C18" s="4540"/>
      <c r="D18" s="4415"/>
      <c r="E18" s="4477"/>
      <c r="F18" s="4415"/>
      <c r="G18" s="4564"/>
      <c r="H18" s="4596"/>
      <c r="I18" s="4596"/>
      <c r="J18" s="4565"/>
      <c r="K18" s="1151"/>
      <c r="L18" s="1151"/>
      <c r="M18" s="1152"/>
    </row>
    <row r="19" spans="1:13" ht="30" customHeight="1" x14ac:dyDescent="0.2">
      <c r="A19" s="4464"/>
      <c r="B19" s="4488"/>
      <c r="C19" s="4540"/>
      <c r="D19" s="1151">
        <v>80000000</v>
      </c>
      <c r="E19" s="1154">
        <v>0.06</v>
      </c>
      <c r="F19" s="1151">
        <f t="shared" ref="F19:F24" si="3">D19*E19</f>
        <v>4800000</v>
      </c>
      <c r="G19" s="4736" t="s">
        <v>2731</v>
      </c>
      <c r="H19" s="4737"/>
      <c r="I19" s="4737"/>
      <c r="J19" s="4738"/>
      <c r="K19" s="1151"/>
      <c r="L19" s="1151"/>
      <c r="M19" s="1152"/>
    </row>
    <row r="20" spans="1:13" ht="30" customHeight="1" x14ac:dyDescent="0.2">
      <c r="A20" s="4460"/>
      <c r="B20" s="4458"/>
      <c r="C20" s="4538"/>
      <c r="D20" s="1151">
        <v>100000000</v>
      </c>
      <c r="E20" s="1154">
        <v>7.0000000000000007E-2</v>
      </c>
      <c r="F20" s="1151">
        <f t="shared" si="3"/>
        <v>7000000.0000000009</v>
      </c>
      <c r="G20" s="4739"/>
      <c r="H20" s="4740"/>
      <c r="I20" s="4740"/>
      <c r="J20" s="4741"/>
      <c r="K20" s="1151"/>
      <c r="L20" s="1151"/>
      <c r="M20" s="1152"/>
    </row>
    <row r="21" spans="1:13" ht="30" customHeight="1" x14ac:dyDescent="0.2">
      <c r="A21" s="963">
        <v>14</v>
      </c>
      <c r="B21" s="961" t="s">
        <v>428</v>
      </c>
      <c r="C21" s="982" t="s">
        <v>1300</v>
      </c>
      <c r="D21" s="968">
        <v>150000000</v>
      </c>
      <c r="E21" s="965">
        <v>0.04</v>
      </c>
      <c r="F21" s="968">
        <f t="shared" si="3"/>
        <v>6000000</v>
      </c>
      <c r="G21" s="968">
        <v>6000000</v>
      </c>
      <c r="H21" s="968" t="s">
        <v>2965</v>
      </c>
      <c r="I21" s="984" t="s">
        <v>2982</v>
      </c>
      <c r="J21" s="64" t="s">
        <v>430</v>
      </c>
      <c r="K21" s="968">
        <f>G21</f>
        <v>6000000</v>
      </c>
      <c r="L21" s="968">
        <f>F21-K21</f>
        <v>0</v>
      </c>
      <c r="M21" s="971"/>
    </row>
    <row r="22" spans="1:13" ht="30" customHeight="1" x14ac:dyDescent="0.2">
      <c r="A22" s="963">
        <v>15</v>
      </c>
      <c r="B22" s="961" t="s">
        <v>436</v>
      </c>
      <c r="C22" s="982"/>
      <c r="D22" s="968">
        <v>13000000</v>
      </c>
      <c r="E22" s="965">
        <v>0.05</v>
      </c>
      <c r="F22" s="968">
        <f t="shared" si="3"/>
        <v>650000</v>
      </c>
      <c r="G22" s="968">
        <v>650000</v>
      </c>
      <c r="H22" s="968" t="s">
        <v>2916</v>
      </c>
      <c r="I22" s="984" t="s">
        <v>2917</v>
      </c>
      <c r="J22" s="64" t="s">
        <v>2092</v>
      </c>
      <c r="K22" s="968">
        <f>G22</f>
        <v>650000</v>
      </c>
      <c r="L22" s="968">
        <f t="shared" ref="L22:L26" si="4">F22-K22</f>
        <v>0</v>
      </c>
      <c r="M22" s="971"/>
    </row>
    <row r="23" spans="1:13" ht="30" customHeight="1" x14ac:dyDescent="0.2">
      <c r="A23" s="963">
        <v>16</v>
      </c>
      <c r="B23" s="4457" t="s">
        <v>487</v>
      </c>
      <c r="C23" s="4537"/>
      <c r="D23" s="1034">
        <v>80000000</v>
      </c>
      <c r="E23" s="1038">
        <v>0.04</v>
      </c>
      <c r="F23" s="1034">
        <f t="shared" si="3"/>
        <v>3200000</v>
      </c>
      <c r="G23" s="968">
        <v>3200000</v>
      </c>
      <c r="H23" s="4413" t="s">
        <v>2553</v>
      </c>
      <c r="I23" s="4555" t="s">
        <v>2559</v>
      </c>
      <c r="J23" s="4568" t="s">
        <v>2560</v>
      </c>
      <c r="K23" s="4413">
        <f>G23+G24</f>
        <v>6400000</v>
      </c>
      <c r="L23" s="4413">
        <f>(F23+F24)-K23</f>
        <v>0</v>
      </c>
      <c r="M23" s="1036"/>
    </row>
    <row r="24" spans="1:13" ht="30" customHeight="1" x14ac:dyDescent="0.2">
      <c r="A24" s="1033"/>
      <c r="B24" s="4458"/>
      <c r="C24" s="4538"/>
      <c r="D24" s="1034">
        <v>80000000</v>
      </c>
      <c r="E24" s="1038">
        <v>0.04</v>
      </c>
      <c r="F24" s="1034">
        <f t="shared" si="3"/>
        <v>3200000</v>
      </c>
      <c r="G24" s="1035">
        <v>3200000</v>
      </c>
      <c r="H24" s="4415"/>
      <c r="I24" s="4557"/>
      <c r="J24" s="4569"/>
      <c r="K24" s="4415"/>
      <c r="L24" s="4415"/>
      <c r="M24" s="1037"/>
    </row>
    <row r="25" spans="1:13" ht="30" customHeight="1" x14ac:dyDescent="0.2">
      <c r="A25" s="963">
        <v>17</v>
      </c>
      <c r="B25" s="961" t="s">
        <v>747</v>
      </c>
      <c r="C25" s="982" t="s">
        <v>1289</v>
      </c>
      <c r="D25" s="968">
        <v>100000000</v>
      </c>
      <c r="E25" s="965">
        <v>0.06</v>
      </c>
      <c r="F25" s="968">
        <f t="shared" ref="F25:F26" si="5">D25*E25</f>
        <v>6000000</v>
      </c>
      <c r="G25" s="968">
        <v>6000000</v>
      </c>
      <c r="H25" s="968" t="s">
        <v>3189</v>
      </c>
      <c r="I25" s="984" t="s">
        <v>3207</v>
      </c>
      <c r="J25" s="64" t="s">
        <v>3208</v>
      </c>
      <c r="K25" s="968">
        <f>G25</f>
        <v>6000000</v>
      </c>
      <c r="L25" s="968">
        <f t="shared" si="4"/>
        <v>0</v>
      </c>
      <c r="M25" s="971"/>
    </row>
    <row r="26" spans="1:13" ht="30" customHeight="1" x14ac:dyDescent="0.2">
      <c r="A26" s="963">
        <v>18</v>
      </c>
      <c r="B26" s="961" t="s">
        <v>554</v>
      </c>
      <c r="C26" s="982" t="s">
        <v>1300</v>
      </c>
      <c r="D26" s="968">
        <v>50000000</v>
      </c>
      <c r="E26" s="965">
        <v>0.05</v>
      </c>
      <c r="F26" s="968">
        <f t="shared" si="5"/>
        <v>2500000</v>
      </c>
      <c r="G26" s="968">
        <v>2500000</v>
      </c>
      <c r="H26" s="968" t="s">
        <v>2965</v>
      </c>
      <c r="I26" s="984" t="s">
        <v>2973</v>
      </c>
      <c r="J26" s="64" t="s">
        <v>2974</v>
      </c>
      <c r="K26" s="968">
        <f>G26</f>
        <v>2500000</v>
      </c>
      <c r="L26" s="968">
        <f t="shared" si="4"/>
        <v>0</v>
      </c>
      <c r="M26" s="971"/>
    </row>
    <row r="27" spans="1:13" ht="30" customHeight="1" x14ac:dyDescent="0.2">
      <c r="A27" s="4459">
        <v>19</v>
      </c>
      <c r="B27" s="4457" t="s">
        <v>560</v>
      </c>
      <c r="C27" s="4537"/>
      <c r="D27" s="974">
        <v>5000000</v>
      </c>
      <c r="E27" s="975"/>
      <c r="F27" s="974">
        <v>200000</v>
      </c>
      <c r="G27" s="4413"/>
      <c r="H27" s="4413"/>
      <c r="I27" s="4555"/>
      <c r="J27" s="4568"/>
      <c r="K27" s="4413"/>
      <c r="L27" s="4413">
        <f>(F27+F28)-K27</f>
        <v>300000</v>
      </c>
      <c r="M27" s="4498" t="s">
        <v>1209</v>
      </c>
    </row>
    <row r="28" spans="1:13" ht="30" customHeight="1" x14ac:dyDescent="0.2">
      <c r="A28" s="4464"/>
      <c r="B28" s="4488"/>
      <c r="C28" s="4540"/>
      <c r="D28" s="974">
        <v>2500000</v>
      </c>
      <c r="E28" s="975"/>
      <c r="F28" s="974">
        <v>100000</v>
      </c>
      <c r="G28" s="4415"/>
      <c r="H28" s="4415"/>
      <c r="I28" s="4557"/>
      <c r="J28" s="4569"/>
      <c r="K28" s="4415"/>
      <c r="L28" s="4415"/>
      <c r="M28" s="4499"/>
    </row>
    <row r="29" spans="1:13" ht="30" customHeight="1" x14ac:dyDescent="0.2">
      <c r="A29" s="4464"/>
      <c r="B29" s="4488"/>
      <c r="C29" s="4540"/>
      <c r="D29" s="974">
        <v>50000000</v>
      </c>
      <c r="E29" s="975"/>
      <c r="F29" s="974"/>
      <c r="G29" s="4623" t="s">
        <v>1995</v>
      </c>
      <c r="H29" s="4624"/>
      <c r="I29" s="4624"/>
      <c r="J29" s="4624"/>
      <c r="K29" s="4625"/>
      <c r="L29" s="967"/>
      <c r="M29" s="970"/>
    </row>
    <row r="30" spans="1:13" ht="30" customHeight="1" x14ac:dyDescent="0.2">
      <c r="A30" s="4460"/>
      <c r="B30" s="4458"/>
      <c r="C30" s="4538"/>
      <c r="D30" s="1223">
        <v>15000000</v>
      </c>
      <c r="E30" s="1224"/>
      <c r="F30" s="1223"/>
      <c r="G30" s="4623" t="s">
        <v>2912</v>
      </c>
      <c r="H30" s="4624"/>
      <c r="I30" s="4624"/>
      <c r="J30" s="4624"/>
      <c r="K30" s="4625"/>
      <c r="L30" s="1220"/>
      <c r="M30" s="1222"/>
    </row>
    <row r="31" spans="1:13" ht="30" customHeight="1" x14ac:dyDescent="0.2">
      <c r="A31" s="963">
        <v>22</v>
      </c>
      <c r="B31" s="19" t="s">
        <v>658</v>
      </c>
      <c r="C31" s="378"/>
      <c r="D31" s="968">
        <v>300000000</v>
      </c>
      <c r="E31" s="965">
        <v>0.05</v>
      </c>
      <c r="F31" s="968">
        <f>D31*E31</f>
        <v>15000000</v>
      </c>
      <c r="G31" s="968">
        <v>15000000</v>
      </c>
      <c r="H31" s="968" t="s">
        <v>2965</v>
      </c>
      <c r="I31" s="984" t="s">
        <v>2971</v>
      </c>
      <c r="J31" s="64" t="s">
        <v>2168</v>
      </c>
      <c r="K31" s="983">
        <f>G31</f>
        <v>15000000</v>
      </c>
      <c r="L31" s="983">
        <f>F31-K31</f>
        <v>0</v>
      </c>
      <c r="M31" s="48"/>
    </row>
    <row r="32" spans="1:13" ht="30" customHeight="1" x14ac:dyDescent="0.2">
      <c r="A32" s="963">
        <v>23</v>
      </c>
      <c r="B32" s="1000" t="s">
        <v>2121</v>
      </c>
      <c r="C32" s="995"/>
      <c r="D32" s="968">
        <v>150000000</v>
      </c>
      <c r="E32" s="965">
        <v>7.0000000000000007E-2</v>
      </c>
      <c r="F32" s="968">
        <f>D32*E32</f>
        <v>10500000.000000002</v>
      </c>
      <c r="G32" s="968">
        <v>5000000</v>
      </c>
      <c r="H32" s="978" t="s">
        <v>3083</v>
      </c>
      <c r="I32" s="986">
        <v>653751</v>
      </c>
      <c r="J32" s="64" t="s">
        <v>3094</v>
      </c>
      <c r="K32" s="983">
        <f>G32</f>
        <v>5000000</v>
      </c>
      <c r="L32" s="983">
        <f>F32-G32</f>
        <v>5500000.0000000019</v>
      </c>
      <c r="M32" s="973" t="s">
        <v>2120</v>
      </c>
    </row>
    <row r="33" spans="1:13" ht="30" customHeight="1" x14ac:dyDescent="0.2">
      <c r="A33" s="963">
        <v>25</v>
      </c>
      <c r="B33" s="961" t="s">
        <v>718</v>
      </c>
      <c r="C33" s="982" t="s">
        <v>1296</v>
      </c>
      <c r="D33" s="968">
        <v>35000000</v>
      </c>
      <c r="E33" s="965">
        <v>5.8000000000000003E-2</v>
      </c>
      <c r="F33" s="968">
        <v>2000000</v>
      </c>
      <c r="G33" s="968"/>
      <c r="H33" s="978"/>
      <c r="I33" s="986"/>
      <c r="J33" s="64"/>
      <c r="K33" s="968"/>
      <c r="L33" s="968">
        <f>F33-G33</f>
        <v>2000000</v>
      </c>
      <c r="M33" s="973"/>
    </row>
    <row r="34" spans="1:13" ht="30" customHeight="1" x14ac:dyDescent="0.2">
      <c r="A34" s="4459">
        <v>26</v>
      </c>
      <c r="B34" s="4599" t="s">
        <v>803</v>
      </c>
      <c r="C34" s="4537" t="s">
        <v>1718</v>
      </c>
      <c r="D34" s="968">
        <v>500000000</v>
      </c>
      <c r="E34" s="965">
        <v>4.4999999999999998E-2</v>
      </c>
      <c r="F34" s="968">
        <f>D34*E34</f>
        <v>22500000</v>
      </c>
      <c r="G34" s="233">
        <v>22500000</v>
      </c>
      <c r="H34" s="983" t="s">
        <v>2713</v>
      </c>
      <c r="I34" s="639">
        <v>464435</v>
      </c>
      <c r="J34" s="640" t="s">
        <v>3063</v>
      </c>
      <c r="K34" s="988">
        <f t="shared" ref="K34:K52" si="6">G34</f>
        <v>22500000</v>
      </c>
      <c r="L34" s="983">
        <f>F34-K34</f>
        <v>0</v>
      </c>
      <c r="M34" s="638" t="s">
        <v>3064</v>
      </c>
    </row>
    <row r="35" spans="1:13" ht="30" customHeight="1" x14ac:dyDescent="0.2">
      <c r="A35" s="4464"/>
      <c r="B35" s="4600"/>
      <c r="C35" s="4540"/>
      <c r="D35" s="1312">
        <v>450000000</v>
      </c>
      <c r="E35" s="1314">
        <v>0.05</v>
      </c>
      <c r="F35" s="1312">
        <f>D35*E35</f>
        <v>22500000</v>
      </c>
      <c r="G35" s="233">
        <v>22500000</v>
      </c>
      <c r="H35" s="1320" t="s">
        <v>3127</v>
      </c>
      <c r="I35" s="639">
        <v>1.4010523018252899E+17</v>
      </c>
      <c r="J35" s="640" t="s">
        <v>3156</v>
      </c>
      <c r="K35" s="1321">
        <f>G35</f>
        <v>22500000</v>
      </c>
      <c r="L35" s="1320">
        <f>F35-K35</f>
        <v>0</v>
      </c>
      <c r="M35" s="180" t="s">
        <v>3064</v>
      </c>
    </row>
    <row r="36" spans="1:13" ht="30" customHeight="1" x14ac:dyDescent="0.2">
      <c r="A36" s="4464"/>
      <c r="B36" s="4600"/>
      <c r="C36" s="4540"/>
      <c r="D36" s="4750" t="s">
        <v>3472</v>
      </c>
      <c r="E36" s="4751"/>
      <c r="F36" s="4752"/>
      <c r="G36" s="233">
        <v>64000000</v>
      </c>
      <c r="H36" s="983" t="s">
        <v>3189</v>
      </c>
      <c r="I36" s="639">
        <v>105250181428654</v>
      </c>
      <c r="J36" s="640" t="s">
        <v>3156</v>
      </c>
      <c r="K36" s="988">
        <f t="shared" si="6"/>
        <v>64000000</v>
      </c>
      <c r="L36" s="983">
        <f>100000000-G36</f>
        <v>36000000</v>
      </c>
      <c r="M36" s="29" t="s">
        <v>1980</v>
      </c>
    </row>
    <row r="37" spans="1:13" ht="30" customHeight="1" x14ac:dyDescent="0.2">
      <c r="A37" s="4464"/>
      <c r="B37" s="4600"/>
      <c r="C37" s="4540"/>
      <c r="D37" s="4753"/>
      <c r="E37" s="4754"/>
      <c r="F37" s="4755"/>
      <c r="G37" s="7"/>
      <c r="H37" s="1319"/>
      <c r="I37" s="1323"/>
      <c r="J37" s="1339"/>
      <c r="K37" s="1327"/>
      <c r="L37" s="1311"/>
      <c r="M37" s="180"/>
    </row>
    <row r="38" spans="1:13" ht="30" customHeight="1" x14ac:dyDescent="0.2">
      <c r="A38" s="4460"/>
      <c r="B38" s="4607"/>
      <c r="C38" s="4538"/>
      <c r="D38" s="439">
        <f>D35-G36</f>
        <v>386000000</v>
      </c>
      <c r="E38" s="1338"/>
      <c r="F38" s="1338"/>
      <c r="G38" s="4469" t="s">
        <v>3157</v>
      </c>
      <c r="H38" s="4470"/>
      <c r="I38" s="4470"/>
      <c r="J38" s="4470"/>
      <c r="K38" s="4471"/>
      <c r="L38" s="1311"/>
      <c r="M38" s="180"/>
    </row>
    <row r="39" spans="1:13" ht="30" customHeight="1" x14ac:dyDescent="0.2">
      <c r="A39" s="962">
        <v>27</v>
      </c>
      <c r="B39" s="1002" t="s">
        <v>807</v>
      </c>
      <c r="C39" s="345" t="s">
        <v>1299</v>
      </c>
      <c r="D39" s="966">
        <v>500000000</v>
      </c>
      <c r="E39" s="964">
        <v>7.0000000000000007E-2</v>
      </c>
      <c r="F39" s="966">
        <f>D39*E39</f>
        <v>35000000</v>
      </c>
      <c r="G39" s="968">
        <v>35000000</v>
      </c>
      <c r="H39" s="978" t="s">
        <v>3004</v>
      </c>
      <c r="I39" s="986">
        <v>105201344381569</v>
      </c>
      <c r="J39" s="64" t="s">
        <v>2290</v>
      </c>
      <c r="K39" s="966">
        <f t="shared" si="6"/>
        <v>35000000</v>
      </c>
      <c r="L39" s="966">
        <f>F39-K39</f>
        <v>0</v>
      </c>
      <c r="M39" s="969"/>
    </row>
    <row r="40" spans="1:13" ht="30" customHeight="1" x14ac:dyDescent="0.2">
      <c r="A40" s="4464">
        <v>28</v>
      </c>
      <c r="B40" s="4599" t="s">
        <v>819</v>
      </c>
      <c r="C40" s="4537" t="s">
        <v>1299</v>
      </c>
      <c r="D40" s="1232">
        <v>600000000</v>
      </c>
      <c r="E40" s="1235">
        <v>0.05</v>
      </c>
      <c r="F40" s="1232">
        <f>D40*E40</f>
        <v>30000000</v>
      </c>
      <c r="G40" s="968">
        <v>30000000</v>
      </c>
      <c r="H40" s="978" t="s">
        <v>3002</v>
      </c>
      <c r="I40" s="986">
        <v>377476</v>
      </c>
      <c r="J40" s="64" t="s">
        <v>3034</v>
      </c>
      <c r="K40" s="983">
        <f t="shared" si="6"/>
        <v>30000000</v>
      </c>
      <c r="L40" s="983">
        <f>F40-K40</f>
        <v>0</v>
      </c>
      <c r="M40" s="1255" t="s">
        <v>3035</v>
      </c>
    </row>
    <row r="41" spans="1:13" ht="30" customHeight="1" x14ac:dyDescent="0.2">
      <c r="A41" s="4464"/>
      <c r="B41" s="4600"/>
      <c r="C41" s="4540"/>
      <c r="D41" s="1283"/>
      <c r="E41" s="1282"/>
      <c r="F41" s="1284"/>
      <c r="G41" s="4469" t="s">
        <v>3069</v>
      </c>
      <c r="H41" s="4470"/>
      <c r="I41" s="4470"/>
      <c r="J41" s="4470"/>
      <c r="K41" s="4471"/>
      <c r="L41" s="1275"/>
      <c r="M41" s="1293"/>
    </row>
    <row r="42" spans="1:13" ht="30" customHeight="1" x14ac:dyDescent="0.2">
      <c r="A42" s="4464"/>
      <c r="B42" s="4600"/>
      <c r="C42" s="4540"/>
      <c r="D42" s="1286">
        <v>750000000</v>
      </c>
      <c r="E42" s="1291"/>
      <c r="F42" s="1286"/>
      <c r="G42" s="1285"/>
      <c r="H42" s="1290"/>
      <c r="I42" s="1290"/>
      <c r="J42" s="1290"/>
      <c r="K42" s="1284"/>
      <c r="L42" s="1275"/>
      <c r="M42" s="1293"/>
    </row>
    <row r="43" spans="1:13" ht="30" customHeight="1" x14ac:dyDescent="0.2">
      <c r="A43" s="4464"/>
      <c r="B43" s="4600"/>
      <c r="C43" s="4540"/>
      <c r="D43" s="4325" t="s">
        <v>3070</v>
      </c>
      <c r="E43" s="4326"/>
      <c r="F43" s="4563"/>
      <c r="G43" s="1253">
        <v>35000000</v>
      </c>
      <c r="H43" s="1259" t="s">
        <v>3004</v>
      </c>
      <c r="I43" s="1263">
        <v>183433</v>
      </c>
      <c r="J43" s="64" t="s">
        <v>3043</v>
      </c>
      <c r="K43" s="4413">
        <f>G43+G44</f>
        <v>50000000</v>
      </c>
      <c r="L43" s="4413">
        <f>50000000-K43</f>
        <v>0</v>
      </c>
      <c r="M43" s="4498"/>
    </row>
    <row r="44" spans="1:13" ht="30" customHeight="1" x14ac:dyDescent="0.2">
      <c r="A44" s="4464"/>
      <c r="B44" s="4600"/>
      <c r="C44" s="4540"/>
      <c r="D44" s="4564"/>
      <c r="E44" s="4596"/>
      <c r="F44" s="4565"/>
      <c r="G44" s="1253">
        <v>15000000</v>
      </c>
      <c r="H44" s="1259" t="s">
        <v>3004</v>
      </c>
      <c r="I44" s="1263">
        <v>1.40105200182504E+17</v>
      </c>
      <c r="J44" s="64" t="s">
        <v>820</v>
      </c>
      <c r="K44" s="4415"/>
      <c r="L44" s="4415"/>
      <c r="M44" s="4499"/>
    </row>
    <row r="45" spans="1:13" ht="30" customHeight="1" x14ac:dyDescent="0.2">
      <c r="A45" s="4464"/>
      <c r="B45" s="4600"/>
      <c r="C45" s="4540"/>
      <c r="D45" s="4303" t="s">
        <v>3237</v>
      </c>
      <c r="E45" s="4324"/>
      <c r="F45" s="4355"/>
      <c r="G45" s="1352">
        <v>5000000</v>
      </c>
      <c r="H45" s="1352" t="s">
        <v>3227</v>
      </c>
      <c r="I45" s="1352">
        <v>265993</v>
      </c>
      <c r="J45" s="1352" t="s">
        <v>3238</v>
      </c>
      <c r="K45" s="1352">
        <f>G45</f>
        <v>5000000</v>
      </c>
      <c r="L45" s="1345"/>
      <c r="M45" s="1346"/>
    </row>
    <row r="46" spans="1:13" ht="30" customHeight="1" x14ac:dyDescent="0.2">
      <c r="A46" s="4460"/>
      <c r="B46" s="4607"/>
      <c r="C46" s="4538"/>
      <c r="D46" s="1286">
        <v>700000000</v>
      </c>
      <c r="E46" s="1291">
        <v>0.06</v>
      </c>
      <c r="F46" s="1286">
        <f>D46*E46</f>
        <v>42000000</v>
      </c>
      <c r="G46" s="4623" t="s">
        <v>2685</v>
      </c>
      <c r="H46" s="4624"/>
      <c r="I46" s="4624"/>
      <c r="J46" s="4624"/>
      <c r="K46" s="4625"/>
      <c r="L46" s="1276"/>
      <c r="M46" s="1411" t="s">
        <v>3311</v>
      </c>
    </row>
    <row r="47" spans="1:13" ht="30" customHeight="1" x14ac:dyDescent="0.2">
      <c r="A47" s="963">
        <v>29</v>
      </c>
      <c r="B47" s="1000" t="s">
        <v>839</v>
      </c>
      <c r="C47" s="995" t="s">
        <v>1306</v>
      </c>
      <c r="D47" s="968">
        <v>42000000</v>
      </c>
      <c r="E47" s="965">
        <v>7.0000000000000007E-2</v>
      </c>
      <c r="F47" s="968">
        <f>D47*E47</f>
        <v>2940000.0000000005</v>
      </c>
      <c r="G47" s="968">
        <v>2940000</v>
      </c>
      <c r="H47" s="978" t="s">
        <v>3189</v>
      </c>
      <c r="I47" s="986">
        <v>81405</v>
      </c>
      <c r="J47" s="64" t="s">
        <v>3190</v>
      </c>
      <c r="K47" s="968">
        <f t="shared" si="6"/>
        <v>2940000</v>
      </c>
      <c r="L47" s="968">
        <f>F47-K47</f>
        <v>0</v>
      </c>
      <c r="M47" s="973"/>
    </row>
    <row r="48" spans="1:13" ht="30" customHeight="1" x14ac:dyDescent="0.2">
      <c r="A48" s="963">
        <v>30</v>
      </c>
      <c r="B48" s="961" t="s">
        <v>843</v>
      </c>
      <c r="C48" s="982"/>
      <c r="D48" s="968">
        <v>20000000</v>
      </c>
      <c r="E48" s="965">
        <v>0.04</v>
      </c>
      <c r="F48" s="968">
        <f>D48*E48</f>
        <v>800000</v>
      </c>
      <c r="G48" s="968">
        <v>1000000</v>
      </c>
      <c r="H48" s="978" t="s">
        <v>3101</v>
      </c>
      <c r="I48" s="986">
        <v>799393</v>
      </c>
      <c r="J48" s="64" t="s">
        <v>3105</v>
      </c>
      <c r="K48" s="4413">
        <f>G48+G49</f>
        <v>1200000</v>
      </c>
      <c r="L48" s="4413">
        <f>(F48+F49)-K48</f>
        <v>0</v>
      </c>
      <c r="M48" s="638"/>
    </row>
    <row r="49" spans="1:13" ht="30" customHeight="1" x14ac:dyDescent="0.2">
      <c r="A49" s="4459"/>
      <c r="B49" s="4457" t="s">
        <v>3006</v>
      </c>
      <c r="C49" s="4537" t="s">
        <v>1306</v>
      </c>
      <c r="D49" s="1312">
        <v>10000000</v>
      </c>
      <c r="E49" s="1314">
        <v>0.04</v>
      </c>
      <c r="F49" s="1312">
        <f>D49*E49</f>
        <v>400000</v>
      </c>
      <c r="G49" s="1312">
        <v>200000</v>
      </c>
      <c r="H49" s="1319" t="s">
        <v>3127</v>
      </c>
      <c r="I49" s="1323">
        <v>123624761157</v>
      </c>
      <c r="J49" s="64" t="s">
        <v>3146</v>
      </c>
      <c r="K49" s="4415"/>
      <c r="L49" s="4415"/>
      <c r="M49" s="29" t="s">
        <v>3147</v>
      </c>
    </row>
    <row r="50" spans="1:13" ht="30" customHeight="1" x14ac:dyDescent="0.2">
      <c r="A50" s="4460"/>
      <c r="B50" s="4458"/>
      <c r="C50" s="4538"/>
      <c r="D50" s="4303" t="s">
        <v>3342</v>
      </c>
      <c r="E50" s="4324"/>
      <c r="F50" s="4355"/>
      <c r="G50" s="1407">
        <v>9600000</v>
      </c>
      <c r="H50" s="1416" t="s">
        <v>3305</v>
      </c>
      <c r="I50" s="1423">
        <v>1.40105310542005E+19</v>
      </c>
      <c r="J50" s="64" t="s">
        <v>3343</v>
      </c>
      <c r="K50" s="1406">
        <f>G50</f>
        <v>9600000</v>
      </c>
      <c r="L50" s="1406"/>
      <c r="M50" s="180" t="s">
        <v>1326</v>
      </c>
    </row>
    <row r="51" spans="1:13" ht="30" customHeight="1" x14ac:dyDescent="0.2">
      <c r="A51" s="962">
        <v>31</v>
      </c>
      <c r="B51" s="1002" t="s">
        <v>915</v>
      </c>
      <c r="C51" s="345"/>
      <c r="D51" s="983">
        <v>100000000</v>
      </c>
      <c r="E51" s="996">
        <v>7.0000000000000007E-2</v>
      </c>
      <c r="F51" s="983">
        <f>D51*E51</f>
        <v>7000000.0000000009</v>
      </c>
      <c r="G51" s="968">
        <v>7000000</v>
      </c>
      <c r="H51" s="978" t="s">
        <v>3189</v>
      </c>
      <c r="I51" s="986">
        <v>105250706031576</v>
      </c>
      <c r="J51" s="64" t="s">
        <v>3195</v>
      </c>
      <c r="K51" s="966">
        <f t="shared" si="6"/>
        <v>7000000</v>
      </c>
      <c r="L51" s="966">
        <f>F51-K51</f>
        <v>0</v>
      </c>
      <c r="M51" s="969"/>
    </row>
    <row r="52" spans="1:13" ht="30" customHeight="1" x14ac:dyDescent="0.2">
      <c r="A52" s="4459">
        <v>32</v>
      </c>
      <c r="B52" s="4599" t="s">
        <v>982</v>
      </c>
      <c r="C52" s="4537" t="s">
        <v>1306</v>
      </c>
      <c r="D52" s="968">
        <v>100000000</v>
      </c>
      <c r="E52" s="965">
        <v>0.05</v>
      </c>
      <c r="F52" s="968">
        <f t="shared" ref="F52:F53" si="7">D52*E52</f>
        <v>5000000</v>
      </c>
      <c r="G52" s="4413">
        <v>7450000</v>
      </c>
      <c r="H52" s="4413" t="s">
        <v>3214</v>
      </c>
      <c r="I52" s="4566">
        <v>278416</v>
      </c>
      <c r="J52" s="4568" t="s">
        <v>2377</v>
      </c>
      <c r="K52" s="4413">
        <f t="shared" si="6"/>
        <v>7450000</v>
      </c>
      <c r="L52" s="4413">
        <f>(F52+F53)-K52</f>
        <v>0</v>
      </c>
      <c r="M52" s="4492"/>
    </row>
    <row r="53" spans="1:13" ht="30" customHeight="1" x14ac:dyDescent="0.2">
      <c r="A53" s="4464"/>
      <c r="B53" s="4600"/>
      <c r="C53" s="4538"/>
      <c r="D53" s="968">
        <v>35000000</v>
      </c>
      <c r="E53" s="965">
        <v>7.0000000000000007E-2</v>
      </c>
      <c r="F53" s="968">
        <f t="shared" si="7"/>
        <v>2450000.0000000005</v>
      </c>
      <c r="G53" s="4415"/>
      <c r="H53" s="4415"/>
      <c r="I53" s="4567"/>
      <c r="J53" s="4569"/>
      <c r="K53" s="4415"/>
      <c r="L53" s="4415"/>
      <c r="M53" s="4493"/>
    </row>
    <row r="54" spans="1:13" ht="30" customHeight="1" x14ac:dyDescent="0.2">
      <c r="A54" s="963">
        <v>33</v>
      </c>
      <c r="B54" s="1000" t="s">
        <v>993</v>
      </c>
      <c r="C54" s="982" t="s">
        <v>1287</v>
      </c>
      <c r="D54" s="968">
        <v>63580000</v>
      </c>
      <c r="E54" s="965">
        <v>7.0000000000000007E-2</v>
      </c>
      <c r="F54" s="968">
        <v>4450000</v>
      </c>
      <c r="G54" s="968">
        <v>4450000</v>
      </c>
      <c r="H54" s="968" t="s">
        <v>2916</v>
      </c>
      <c r="I54" s="984" t="s">
        <v>2942</v>
      </c>
      <c r="J54" s="64" t="s">
        <v>2160</v>
      </c>
      <c r="K54" s="968">
        <f>G54</f>
        <v>4450000</v>
      </c>
      <c r="L54" s="968">
        <f t="shared" ref="L54:L59" si="8">F54-K54</f>
        <v>0</v>
      </c>
      <c r="M54" s="973"/>
    </row>
    <row r="55" spans="1:13" ht="30" customHeight="1" x14ac:dyDescent="0.2">
      <c r="A55" s="963">
        <v>34</v>
      </c>
      <c r="B55" s="960" t="s">
        <v>1110</v>
      </c>
      <c r="C55" s="982"/>
      <c r="D55" s="968">
        <v>20000000</v>
      </c>
      <c r="E55" s="965">
        <v>0.04</v>
      </c>
      <c r="F55" s="968">
        <f>D55*E55</f>
        <v>800000</v>
      </c>
      <c r="G55" s="968">
        <v>800000</v>
      </c>
      <c r="H55" s="968" t="s">
        <v>3227</v>
      </c>
      <c r="I55" s="984" t="s">
        <v>3249</v>
      </c>
      <c r="J55" s="64" t="s">
        <v>1112</v>
      </c>
      <c r="K55" s="968">
        <f>G55</f>
        <v>800000</v>
      </c>
      <c r="L55" s="968">
        <f t="shared" si="8"/>
        <v>0</v>
      </c>
      <c r="M55" s="973"/>
    </row>
    <row r="56" spans="1:13" ht="30" customHeight="1" x14ac:dyDescent="0.2">
      <c r="A56" s="4459">
        <v>35</v>
      </c>
      <c r="B56" s="4457" t="s">
        <v>1150</v>
      </c>
      <c r="C56" s="4537" t="s">
        <v>1138</v>
      </c>
      <c r="D56" s="1352">
        <v>150000000</v>
      </c>
      <c r="E56" s="1357">
        <v>0.06</v>
      </c>
      <c r="F56" s="1352">
        <f>D56*E56</f>
        <v>9000000</v>
      </c>
      <c r="G56" s="4303" t="s">
        <v>3262</v>
      </c>
      <c r="H56" s="4324"/>
      <c r="I56" s="4324"/>
      <c r="J56" s="4324"/>
      <c r="K56" s="4355"/>
      <c r="L56" s="968">
        <f t="shared" si="8"/>
        <v>9000000</v>
      </c>
      <c r="M56" s="4492" t="s">
        <v>2991</v>
      </c>
    </row>
    <row r="57" spans="1:13" ht="30" customHeight="1" x14ac:dyDescent="0.2">
      <c r="A57" s="4460"/>
      <c r="B57" s="4458"/>
      <c r="C57" s="4538"/>
      <c r="D57" s="1356">
        <v>175000000</v>
      </c>
      <c r="E57" s="1362">
        <v>0.06</v>
      </c>
      <c r="F57" s="1356">
        <f>D57*E57</f>
        <v>10500000</v>
      </c>
      <c r="G57" s="4303" t="s">
        <v>3263</v>
      </c>
      <c r="H57" s="4324"/>
      <c r="I57" s="4324"/>
      <c r="J57" s="4324"/>
      <c r="K57" s="4355"/>
      <c r="L57" s="1345">
        <f t="shared" si="8"/>
        <v>10500000</v>
      </c>
      <c r="M57" s="4493"/>
    </row>
    <row r="58" spans="1:13" ht="30" customHeight="1" x14ac:dyDescent="0.2">
      <c r="A58" s="1344"/>
      <c r="B58" s="1343" t="s">
        <v>3264</v>
      </c>
      <c r="C58" s="1349"/>
      <c r="D58" s="1356">
        <v>100000000</v>
      </c>
      <c r="E58" s="1362">
        <v>0.04</v>
      </c>
      <c r="F58" s="1356">
        <f>D58*E58</f>
        <v>4000000</v>
      </c>
      <c r="G58" s="4469" t="s">
        <v>3265</v>
      </c>
      <c r="H58" s="4470"/>
      <c r="I58" s="4470"/>
      <c r="J58" s="4470"/>
      <c r="K58" s="4471"/>
      <c r="L58" s="1345">
        <f t="shared" si="8"/>
        <v>4000000</v>
      </c>
      <c r="M58" s="1347"/>
    </row>
    <row r="59" spans="1:13" ht="30" customHeight="1" x14ac:dyDescent="0.2">
      <c r="A59" s="4459">
        <v>36</v>
      </c>
      <c r="B59" s="4599" t="s">
        <v>1155</v>
      </c>
      <c r="C59" s="4537" t="s">
        <v>1081</v>
      </c>
      <c r="D59" s="4413">
        <v>50000000</v>
      </c>
      <c r="E59" s="4476">
        <v>7.0000000000000007E-2</v>
      </c>
      <c r="F59" s="4413">
        <f>D59*E59</f>
        <v>3500000.0000000005</v>
      </c>
      <c r="G59" s="1196">
        <v>3500000</v>
      </c>
      <c r="H59" s="1196" t="s">
        <v>2553</v>
      </c>
      <c r="I59" s="1201" t="s">
        <v>2566</v>
      </c>
      <c r="J59" s="65" t="s">
        <v>2567</v>
      </c>
      <c r="K59" s="1196">
        <f>G59</f>
        <v>3500000</v>
      </c>
      <c r="L59" s="968">
        <f t="shared" si="8"/>
        <v>0</v>
      </c>
      <c r="M59" s="973" t="s">
        <v>3279</v>
      </c>
    </row>
    <row r="60" spans="1:13" ht="30" customHeight="1" x14ac:dyDescent="0.2">
      <c r="A60" s="4460"/>
      <c r="B60" s="4607"/>
      <c r="C60" s="4538"/>
      <c r="D60" s="4415"/>
      <c r="E60" s="4477"/>
      <c r="F60" s="4415"/>
      <c r="G60" s="1345">
        <v>3500000</v>
      </c>
      <c r="H60" s="1345" t="s">
        <v>3276</v>
      </c>
      <c r="I60" s="1353" t="s">
        <v>3277</v>
      </c>
      <c r="J60" s="65" t="s">
        <v>3278</v>
      </c>
      <c r="K60" s="1345">
        <f>G60</f>
        <v>3500000</v>
      </c>
      <c r="L60" s="1345">
        <f>F59-K60</f>
        <v>0</v>
      </c>
      <c r="M60" s="1347" t="s">
        <v>2991</v>
      </c>
    </row>
    <row r="61" spans="1:13" ht="30" customHeight="1" x14ac:dyDescent="0.2">
      <c r="A61" s="963">
        <v>38</v>
      </c>
      <c r="B61" s="959" t="s">
        <v>1254</v>
      </c>
      <c r="C61" s="982"/>
      <c r="D61" s="298"/>
      <c r="E61" s="299"/>
      <c r="F61" s="298"/>
      <c r="G61" s="968"/>
      <c r="H61" s="968"/>
      <c r="I61" s="984"/>
      <c r="J61" s="64"/>
      <c r="K61" s="968"/>
      <c r="L61" s="974">
        <f>F61-K61</f>
        <v>0</v>
      </c>
      <c r="M61" s="973"/>
    </row>
    <row r="62" spans="1:13" ht="30" customHeight="1" x14ac:dyDescent="0.2">
      <c r="A62" s="963">
        <v>39</v>
      </c>
      <c r="B62" s="959" t="s">
        <v>1213</v>
      </c>
      <c r="C62" s="982"/>
      <c r="D62" s="298"/>
      <c r="E62" s="299"/>
      <c r="F62" s="298"/>
      <c r="G62" s="968"/>
      <c r="H62" s="968"/>
      <c r="I62" s="984"/>
      <c r="J62" s="64"/>
      <c r="K62" s="968"/>
      <c r="L62" s="974">
        <f>F62-K62</f>
        <v>0</v>
      </c>
      <c r="M62" s="973"/>
    </row>
    <row r="63" spans="1:13" ht="30" customHeight="1" x14ac:dyDescent="0.2">
      <c r="A63" s="963">
        <v>40</v>
      </c>
      <c r="B63" s="959" t="s">
        <v>1265</v>
      </c>
      <c r="C63" s="982" t="s">
        <v>1289</v>
      </c>
      <c r="D63" s="229">
        <v>16000000</v>
      </c>
      <c r="E63" s="300">
        <v>0.05</v>
      </c>
      <c r="F63" s="229">
        <f>D63*E63</f>
        <v>800000</v>
      </c>
      <c r="G63" s="968">
        <v>800000</v>
      </c>
      <c r="H63" s="968" t="s">
        <v>3127</v>
      </c>
      <c r="I63" s="984" t="s">
        <v>3148</v>
      </c>
      <c r="J63" s="64" t="s">
        <v>3149</v>
      </c>
      <c r="K63" s="968">
        <f>G63</f>
        <v>800000</v>
      </c>
      <c r="L63" s="968">
        <f>F63-K63</f>
        <v>0</v>
      </c>
      <c r="M63" s="973"/>
    </row>
    <row r="64" spans="1:13" ht="30" customHeight="1" x14ac:dyDescent="0.2">
      <c r="A64" s="963">
        <v>41</v>
      </c>
      <c r="B64" s="959" t="s">
        <v>1285</v>
      </c>
      <c r="C64" s="982"/>
      <c r="D64" s="298"/>
      <c r="E64" s="299"/>
      <c r="F64" s="298"/>
      <c r="G64" s="968"/>
      <c r="H64" s="968"/>
      <c r="I64" s="993"/>
      <c r="J64" s="64"/>
      <c r="K64" s="968"/>
      <c r="L64" s="974">
        <f>F64-K64</f>
        <v>0</v>
      </c>
      <c r="M64" s="973"/>
    </row>
    <row r="65" spans="1:13" ht="30" customHeight="1" x14ac:dyDescent="0.2">
      <c r="A65" s="963">
        <v>42</v>
      </c>
      <c r="B65" s="1002" t="s">
        <v>183</v>
      </c>
      <c r="C65" s="982"/>
      <c r="D65" s="968">
        <v>60000000</v>
      </c>
      <c r="E65" s="996">
        <v>0.05</v>
      </c>
      <c r="F65" s="968">
        <f t="shared" ref="F65:F181" si="9">D65*E65</f>
        <v>3000000</v>
      </c>
      <c r="G65" s="4413">
        <v>3500000</v>
      </c>
      <c r="H65" s="4413" t="s">
        <v>2803</v>
      </c>
      <c r="I65" s="4555" t="s">
        <v>2819</v>
      </c>
      <c r="J65" s="4558" t="s">
        <v>2820</v>
      </c>
      <c r="K65" s="4413">
        <f>G65</f>
        <v>3500000</v>
      </c>
      <c r="L65" s="4413">
        <f>(F65+F66)-K65</f>
        <v>0</v>
      </c>
      <c r="M65" s="4599"/>
    </row>
    <row r="66" spans="1:13" ht="30" customHeight="1" x14ac:dyDescent="0.2">
      <c r="A66" s="963">
        <v>43</v>
      </c>
      <c r="B66" s="1000" t="s">
        <v>1079</v>
      </c>
      <c r="C66" s="982"/>
      <c r="D66" s="968">
        <v>10000000</v>
      </c>
      <c r="E66" s="996">
        <v>0.05</v>
      </c>
      <c r="F66" s="968">
        <f>D66*E66</f>
        <v>500000</v>
      </c>
      <c r="G66" s="4415"/>
      <c r="H66" s="4415"/>
      <c r="I66" s="4557"/>
      <c r="J66" s="4560"/>
      <c r="K66" s="4415"/>
      <c r="L66" s="4415"/>
      <c r="M66" s="4607"/>
    </row>
    <row r="67" spans="1:13" ht="30" customHeight="1" x14ac:dyDescent="0.2">
      <c r="A67" s="963">
        <v>44</v>
      </c>
      <c r="B67" s="1000" t="s">
        <v>184</v>
      </c>
      <c r="C67" s="982" t="s">
        <v>889</v>
      </c>
      <c r="D67" s="968">
        <v>150000000</v>
      </c>
      <c r="E67" s="996">
        <v>0.05</v>
      </c>
      <c r="F67" s="968">
        <f t="shared" si="9"/>
        <v>7500000</v>
      </c>
      <c r="G67" s="968">
        <v>7500000</v>
      </c>
      <c r="H67" s="968" t="s">
        <v>2689</v>
      </c>
      <c r="I67" s="993" t="s">
        <v>2691</v>
      </c>
      <c r="J67" s="983" t="s">
        <v>1339</v>
      </c>
      <c r="K67" s="968">
        <f t="shared" ref="K67:K77" si="10">G67</f>
        <v>7500000</v>
      </c>
      <c r="L67" s="968">
        <f t="shared" ref="L67:L182" si="11">F67-K67</f>
        <v>0</v>
      </c>
      <c r="M67" s="1000"/>
    </row>
    <row r="68" spans="1:13" ht="30" customHeight="1" x14ac:dyDescent="0.2">
      <c r="A68" s="4459">
        <v>45</v>
      </c>
      <c r="B68" s="4457" t="s">
        <v>185</v>
      </c>
      <c r="C68" s="4537" t="s">
        <v>1295</v>
      </c>
      <c r="D68" s="4413">
        <v>1190000000</v>
      </c>
      <c r="E68" s="4476">
        <v>7.0000000000000007E-2</v>
      </c>
      <c r="F68" s="4413">
        <f t="shared" si="9"/>
        <v>83300000.000000015</v>
      </c>
      <c r="G68" s="968">
        <v>70000000</v>
      </c>
      <c r="H68" s="968" t="s">
        <v>2634</v>
      </c>
      <c r="I68" s="997" t="s">
        <v>2636</v>
      </c>
      <c r="J68" s="21" t="s">
        <v>2637</v>
      </c>
      <c r="K68" s="4413">
        <f>G68+G69</f>
        <v>83300000</v>
      </c>
      <c r="L68" s="4413">
        <f>F68-K68</f>
        <v>0</v>
      </c>
      <c r="M68" s="4599"/>
    </row>
    <row r="69" spans="1:13" ht="30" customHeight="1" x14ac:dyDescent="0.2">
      <c r="A69" s="4460"/>
      <c r="B69" s="4458"/>
      <c r="C69" s="4538"/>
      <c r="D69" s="4415"/>
      <c r="E69" s="4477"/>
      <c r="F69" s="4415"/>
      <c r="G69" s="1092">
        <v>13300000</v>
      </c>
      <c r="H69" s="1092" t="s">
        <v>2689</v>
      </c>
      <c r="I69" s="1106" t="s">
        <v>2695</v>
      </c>
      <c r="J69" s="21" t="s">
        <v>2696</v>
      </c>
      <c r="K69" s="4415"/>
      <c r="L69" s="4415"/>
      <c r="M69" s="4607"/>
    </row>
    <row r="70" spans="1:13" ht="30" customHeight="1" x14ac:dyDescent="0.2">
      <c r="A70" s="4459">
        <v>46</v>
      </c>
      <c r="B70" s="4758" t="s">
        <v>186</v>
      </c>
      <c r="C70" s="4761" t="s">
        <v>1081</v>
      </c>
      <c r="D70" s="4597">
        <v>1200000000</v>
      </c>
      <c r="E70" s="4672">
        <v>0.08</v>
      </c>
      <c r="F70" s="4597">
        <f>D70*E70</f>
        <v>96000000</v>
      </c>
      <c r="G70" s="1356">
        <v>30000000</v>
      </c>
      <c r="H70" s="1356" t="s">
        <v>2875</v>
      </c>
      <c r="I70" s="1382" t="s">
        <v>2948</v>
      </c>
      <c r="J70" s="564" t="s">
        <v>1076</v>
      </c>
      <c r="K70" s="1383">
        <f t="shared" si="10"/>
        <v>30000000</v>
      </c>
      <c r="L70" s="1383">
        <f>F70-K70</f>
        <v>66000000</v>
      </c>
      <c r="M70" s="1384" t="s">
        <v>2836</v>
      </c>
    </row>
    <row r="71" spans="1:13" ht="30" customHeight="1" x14ac:dyDescent="0.2">
      <c r="A71" s="4464"/>
      <c r="B71" s="4759"/>
      <c r="C71" s="4762"/>
      <c r="D71" s="4619"/>
      <c r="E71" s="4673"/>
      <c r="F71" s="4619"/>
      <c r="G71" s="1356">
        <v>16500000</v>
      </c>
      <c r="H71" s="1356" t="s">
        <v>3004</v>
      </c>
      <c r="I71" s="1382" t="s">
        <v>3051</v>
      </c>
      <c r="J71" s="564" t="s">
        <v>1076</v>
      </c>
      <c r="K71" s="1356">
        <f>G71</f>
        <v>16500000</v>
      </c>
      <c r="L71" s="1356"/>
      <c r="M71" s="1385"/>
    </row>
    <row r="72" spans="1:13" ht="30" customHeight="1" x14ac:dyDescent="0.2">
      <c r="A72" s="4460"/>
      <c r="B72" s="4759"/>
      <c r="C72" s="4762"/>
      <c r="D72" s="4619"/>
      <c r="E72" s="4673"/>
      <c r="F72" s="4619"/>
      <c r="G72" s="1356">
        <v>46000000</v>
      </c>
      <c r="H72" s="1356" t="s">
        <v>3214</v>
      </c>
      <c r="I72" s="1382" t="s">
        <v>3267</v>
      </c>
      <c r="J72" s="564" t="s">
        <v>1076</v>
      </c>
      <c r="K72" s="1356">
        <f>G72</f>
        <v>46000000</v>
      </c>
      <c r="L72" s="1356"/>
      <c r="M72" s="1385"/>
    </row>
    <row r="73" spans="1:13" ht="30" customHeight="1" x14ac:dyDescent="0.2">
      <c r="A73" s="1463"/>
      <c r="B73" s="4760"/>
      <c r="C73" s="4763"/>
      <c r="D73" s="4598"/>
      <c r="E73" s="4674"/>
      <c r="F73" s="4598"/>
      <c r="G73" s="1500">
        <v>50000000</v>
      </c>
      <c r="H73" s="1500" t="s">
        <v>3298</v>
      </c>
      <c r="I73" s="1382" t="s">
        <v>3365</v>
      </c>
      <c r="J73" s="564" t="s">
        <v>1076</v>
      </c>
      <c r="K73" s="1500">
        <f>G73</f>
        <v>50000000</v>
      </c>
      <c r="L73" s="1500"/>
      <c r="M73" s="1385"/>
    </row>
    <row r="74" spans="1:13" ht="30" customHeight="1" x14ac:dyDescent="0.2">
      <c r="A74" s="962">
        <v>47</v>
      </c>
      <c r="B74" s="1002" t="s">
        <v>187</v>
      </c>
      <c r="C74" s="995" t="s">
        <v>1080</v>
      </c>
      <c r="D74" s="968">
        <v>20000000</v>
      </c>
      <c r="E74" s="965">
        <v>0.05</v>
      </c>
      <c r="F74" s="968">
        <f t="shared" si="9"/>
        <v>1000000</v>
      </c>
      <c r="G74" s="968"/>
      <c r="H74" s="968"/>
      <c r="I74" s="984"/>
      <c r="J74" s="984"/>
      <c r="K74" s="968">
        <f t="shared" si="10"/>
        <v>0</v>
      </c>
      <c r="L74" s="968">
        <f t="shared" si="11"/>
        <v>1000000</v>
      </c>
      <c r="M74" s="980"/>
    </row>
    <row r="75" spans="1:13" ht="30" customHeight="1" x14ac:dyDescent="0.2">
      <c r="A75" s="4614">
        <v>48</v>
      </c>
      <c r="B75" s="4457" t="s">
        <v>1615</v>
      </c>
      <c r="C75" s="4537" t="s">
        <v>1081</v>
      </c>
      <c r="D75" s="4413">
        <v>100000000</v>
      </c>
      <c r="E75" s="4476">
        <v>0.05</v>
      </c>
      <c r="F75" s="4413">
        <f t="shared" si="9"/>
        <v>5000000</v>
      </c>
      <c r="G75" s="968">
        <v>5000000</v>
      </c>
      <c r="H75" s="968" t="s">
        <v>2634</v>
      </c>
      <c r="I75" s="984" t="s">
        <v>2654</v>
      </c>
      <c r="J75" s="21" t="s">
        <v>3329</v>
      </c>
      <c r="K75" s="968">
        <f t="shared" si="10"/>
        <v>5000000</v>
      </c>
      <c r="L75" s="968">
        <f t="shared" si="11"/>
        <v>0</v>
      </c>
      <c r="M75" s="97" t="s">
        <v>1712</v>
      </c>
    </row>
    <row r="76" spans="1:13" ht="30" customHeight="1" x14ac:dyDescent="0.2">
      <c r="A76" s="4614"/>
      <c r="B76" s="4458"/>
      <c r="C76" s="4538"/>
      <c r="D76" s="4415"/>
      <c r="E76" s="4477"/>
      <c r="F76" s="4415"/>
      <c r="G76" s="1407">
        <v>5000000</v>
      </c>
      <c r="H76" s="1407" t="s">
        <v>3326</v>
      </c>
      <c r="I76" s="1422" t="s">
        <v>3328</v>
      </c>
      <c r="J76" s="21" t="s">
        <v>3329</v>
      </c>
      <c r="K76" s="1407">
        <f t="shared" si="10"/>
        <v>5000000</v>
      </c>
      <c r="L76" s="1407">
        <f>F75-K76</f>
        <v>0</v>
      </c>
      <c r="M76" s="97" t="s">
        <v>2991</v>
      </c>
    </row>
    <row r="77" spans="1:13" ht="30" customHeight="1" x14ac:dyDescent="0.2">
      <c r="A77" s="963">
        <v>49</v>
      </c>
      <c r="B77" s="1000" t="s">
        <v>189</v>
      </c>
      <c r="C77" s="982" t="s">
        <v>1295</v>
      </c>
      <c r="D77" s="968">
        <v>230000000</v>
      </c>
      <c r="E77" s="996">
        <v>0.05</v>
      </c>
      <c r="F77" s="968">
        <f t="shared" si="9"/>
        <v>11500000</v>
      </c>
      <c r="G77" s="968">
        <v>11500000</v>
      </c>
      <c r="H77" s="968" t="s">
        <v>2689</v>
      </c>
      <c r="I77" s="993" t="s">
        <v>2748</v>
      </c>
      <c r="J77" s="21" t="s">
        <v>1052</v>
      </c>
      <c r="K77" s="968">
        <f t="shared" si="10"/>
        <v>11500000</v>
      </c>
      <c r="L77" s="968">
        <f t="shared" si="11"/>
        <v>0</v>
      </c>
      <c r="M77" s="1000"/>
    </row>
    <row r="78" spans="1:13" ht="30" customHeight="1" x14ac:dyDescent="0.2">
      <c r="A78" s="4459">
        <v>50</v>
      </c>
      <c r="B78" s="4457" t="s">
        <v>190</v>
      </c>
      <c r="C78" s="4537" t="s">
        <v>889</v>
      </c>
      <c r="D78" s="4413">
        <v>350000000</v>
      </c>
      <c r="E78" s="4476">
        <v>0.05</v>
      </c>
      <c r="F78" s="4413">
        <f t="shared" si="9"/>
        <v>17500000</v>
      </c>
      <c r="G78" s="4733" t="s">
        <v>2518</v>
      </c>
      <c r="H78" s="4734"/>
      <c r="I78" s="4734"/>
      <c r="J78" s="4734"/>
      <c r="K78" s="4734"/>
      <c r="L78" s="4735"/>
      <c r="M78" s="97"/>
    </row>
    <row r="79" spans="1:13" ht="30" customHeight="1" x14ac:dyDescent="0.2">
      <c r="A79" s="4460"/>
      <c r="B79" s="4458"/>
      <c r="C79" s="4538"/>
      <c r="D79" s="4415"/>
      <c r="E79" s="4477"/>
      <c r="F79" s="4415"/>
      <c r="G79" s="1407">
        <v>17500000</v>
      </c>
      <c r="H79" s="1405" t="s">
        <v>3305</v>
      </c>
      <c r="I79" s="1421" t="s">
        <v>3341</v>
      </c>
      <c r="J79" s="1418" t="s">
        <v>1054</v>
      </c>
      <c r="K79" s="1405">
        <f>G79</f>
        <v>17500000</v>
      </c>
      <c r="L79" s="1420">
        <f>F78-K79</f>
        <v>0</v>
      </c>
      <c r="M79" s="1410" t="s">
        <v>3337</v>
      </c>
    </row>
    <row r="80" spans="1:13" ht="30" customHeight="1" x14ac:dyDescent="0.2">
      <c r="A80" s="4459">
        <v>51</v>
      </c>
      <c r="B80" s="4457" t="s">
        <v>191</v>
      </c>
      <c r="C80" s="4537" t="s">
        <v>889</v>
      </c>
      <c r="D80" s="4413">
        <v>260000000</v>
      </c>
      <c r="E80" s="4476">
        <f>F80/D80</f>
        <v>5.5769230769230772E-2</v>
      </c>
      <c r="F80" s="4413">
        <v>14500000</v>
      </c>
      <c r="G80" s="4736" t="s">
        <v>2431</v>
      </c>
      <c r="H80" s="4737"/>
      <c r="I80" s="4737"/>
      <c r="J80" s="4737"/>
      <c r="K80" s="4737"/>
      <c r="L80" s="4738"/>
      <c r="M80" s="959" t="s">
        <v>2469</v>
      </c>
    </row>
    <row r="81" spans="1:13" ht="30" customHeight="1" x14ac:dyDescent="0.2">
      <c r="A81" s="4460"/>
      <c r="B81" s="4458"/>
      <c r="C81" s="4538"/>
      <c r="D81" s="4415"/>
      <c r="E81" s="4477"/>
      <c r="F81" s="4415"/>
      <c r="G81" s="4739"/>
      <c r="H81" s="4740"/>
      <c r="I81" s="4740"/>
      <c r="J81" s="4740"/>
      <c r="K81" s="4740"/>
      <c r="L81" s="4741"/>
      <c r="M81" s="961" t="s">
        <v>2432</v>
      </c>
    </row>
    <row r="82" spans="1:13" ht="30" customHeight="1" x14ac:dyDescent="0.2">
      <c r="A82" s="4459">
        <v>52</v>
      </c>
      <c r="B82" s="4457" t="s">
        <v>192</v>
      </c>
      <c r="C82" s="4537" t="s">
        <v>1297</v>
      </c>
      <c r="D82" s="1196">
        <v>60000000</v>
      </c>
      <c r="E82" s="1204">
        <f>F82/D82</f>
        <v>7.0000000000000007E-2</v>
      </c>
      <c r="F82" s="1196">
        <v>4200000</v>
      </c>
      <c r="G82" s="4303" t="s">
        <v>2020</v>
      </c>
      <c r="H82" s="4324"/>
      <c r="I82" s="4324"/>
      <c r="J82" s="4324"/>
      <c r="K82" s="4355"/>
      <c r="L82" s="1196">
        <f t="shared" si="11"/>
        <v>4200000</v>
      </c>
      <c r="M82" s="1000" t="s">
        <v>1495</v>
      </c>
    </row>
    <row r="83" spans="1:13" ht="30" customHeight="1" x14ac:dyDescent="0.2">
      <c r="A83" s="4464"/>
      <c r="B83" s="4488"/>
      <c r="C83" s="4540"/>
      <c r="D83" s="1196">
        <v>20000000</v>
      </c>
      <c r="E83" s="1204"/>
      <c r="F83" s="1196"/>
      <c r="G83" s="4469" t="s">
        <v>2021</v>
      </c>
      <c r="H83" s="4470"/>
      <c r="I83" s="4470"/>
      <c r="J83" s="4470"/>
      <c r="K83" s="4470"/>
      <c r="L83" s="4471"/>
      <c r="M83" s="1000"/>
    </row>
    <row r="84" spans="1:13" ht="30" customHeight="1" x14ac:dyDescent="0.2">
      <c r="A84" s="4464"/>
      <c r="B84" s="4488"/>
      <c r="C84" s="4540"/>
      <c r="D84" s="1450">
        <v>80000000</v>
      </c>
      <c r="E84" s="1299">
        <v>7.0000000000000007E-2</v>
      </c>
      <c r="F84" s="1450">
        <f>D84*E84</f>
        <v>5600000.0000000009</v>
      </c>
      <c r="G84" s="1169">
        <v>5600000</v>
      </c>
      <c r="H84" s="1167" t="s">
        <v>2803</v>
      </c>
      <c r="I84" s="1171" t="s">
        <v>2810</v>
      </c>
      <c r="J84" s="1170" t="s">
        <v>1058</v>
      </c>
      <c r="K84" s="1140">
        <f>G84</f>
        <v>5600000</v>
      </c>
      <c r="L84" s="1141">
        <f>F84-K84</f>
        <v>0</v>
      </c>
      <c r="M84" s="764" t="s">
        <v>2711</v>
      </c>
    </row>
    <row r="85" spans="1:13" ht="30" customHeight="1" x14ac:dyDescent="0.2">
      <c r="A85" s="4460"/>
      <c r="B85" s="4458"/>
      <c r="C85" s="4538"/>
      <c r="D85" s="1450">
        <v>10000000</v>
      </c>
      <c r="E85" s="1299">
        <v>7.0000000000000007E-2</v>
      </c>
      <c r="F85" s="1450">
        <f>D85*E85</f>
        <v>700000.00000000012</v>
      </c>
      <c r="G85" s="4764" t="s">
        <v>2884</v>
      </c>
      <c r="H85" s="4765"/>
      <c r="I85" s="4765"/>
      <c r="J85" s="4765"/>
      <c r="K85" s="4766"/>
      <c r="L85" s="1200"/>
      <c r="M85" s="764" t="s">
        <v>2883</v>
      </c>
    </row>
    <row r="86" spans="1:13" ht="30" customHeight="1" x14ac:dyDescent="0.2">
      <c r="A86" s="4459">
        <v>53</v>
      </c>
      <c r="B86" s="4599" t="s">
        <v>193</v>
      </c>
      <c r="C86" s="4537" t="s">
        <v>1294</v>
      </c>
      <c r="D86" s="4413">
        <v>350000000</v>
      </c>
      <c r="E86" s="4476">
        <v>7.0000000000000007E-2</v>
      </c>
      <c r="F86" s="4413">
        <f t="shared" si="9"/>
        <v>24500000.000000004</v>
      </c>
      <c r="G86" s="1260">
        <v>20000000</v>
      </c>
      <c r="H86" s="1252" t="s">
        <v>2897</v>
      </c>
      <c r="I86" s="1261" t="s">
        <v>3021</v>
      </c>
      <c r="J86" s="1258" t="s">
        <v>694</v>
      </c>
      <c r="K86" s="4413">
        <f>G86+G87</f>
        <v>24500000</v>
      </c>
      <c r="L86" s="4413">
        <f>F86-K86</f>
        <v>0</v>
      </c>
      <c r="M86" s="764"/>
    </row>
    <row r="87" spans="1:13" ht="30" customHeight="1" x14ac:dyDescent="0.2">
      <c r="A87" s="4464"/>
      <c r="B87" s="4600"/>
      <c r="C87" s="4540"/>
      <c r="D87" s="4415"/>
      <c r="E87" s="4477"/>
      <c r="F87" s="4415"/>
      <c r="G87" s="1260">
        <v>4500000</v>
      </c>
      <c r="H87" s="1252" t="s">
        <v>3004</v>
      </c>
      <c r="I87" s="1261" t="s">
        <v>3044</v>
      </c>
      <c r="J87" s="1258" t="s">
        <v>281</v>
      </c>
      <c r="K87" s="4415"/>
      <c r="L87" s="4415"/>
      <c r="M87" s="523"/>
    </row>
    <row r="88" spans="1:13" ht="30" customHeight="1" x14ac:dyDescent="0.2">
      <c r="A88" s="4460"/>
      <c r="B88" s="4607"/>
      <c r="C88" s="4538"/>
      <c r="D88" s="1253"/>
      <c r="E88" s="1256"/>
      <c r="F88" s="1253"/>
      <c r="G88" s="1257">
        <v>2000000</v>
      </c>
      <c r="H88" s="1252" t="s">
        <v>3004</v>
      </c>
      <c r="I88" s="1261" t="s">
        <v>3046</v>
      </c>
      <c r="J88" s="1258" t="s">
        <v>281</v>
      </c>
      <c r="K88" s="1252"/>
      <c r="L88" s="1252"/>
      <c r="M88" s="764" t="s">
        <v>3045</v>
      </c>
    </row>
    <row r="89" spans="1:13" ht="30" customHeight="1" x14ac:dyDescent="0.2">
      <c r="A89" s="4459">
        <v>54</v>
      </c>
      <c r="B89" s="4457" t="s">
        <v>1060</v>
      </c>
      <c r="C89" s="4537"/>
      <c r="D89" s="968">
        <v>35000000</v>
      </c>
      <c r="E89" s="965">
        <v>7.1999999999999995E-2</v>
      </c>
      <c r="F89" s="968">
        <v>2500000</v>
      </c>
      <c r="G89" s="4742"/>
      <c r="H89" s="4742"/>
      <c r="I89" s="4728"/>
      <c r="J89" s="4756"/>
      <c r="K89" s="4742">
        <f>G89</f>
        <v>0</v>
      </c>
      <c r="L89" s="4742">
        <f>(F89+F90)-K89</f>
        <v>3500000</v>
      </c>
      <c r="M89" s="4599"/>
    </row>
    <row r="90" spans="1:13" ht="30" customHeight="1" x14ac:dyDescent="0.2">
      <c r="A90" s="4464"/>
      <c r="B90" s="4458"/>
      <c r="C90" s="4538"/>
      <c r="D90" s="968">
        <v>13000000</v>
      </c>
      <c r="E90" s="996">
        <v>7.6999999999999999E-2</v>
      </c>
      <c r="F90" s="968">
        <v>1000000</v>
      </c>
      <c r="G90" s="4743"/>
      <c r="H90" s="4743"/>
      <c r="I90" s="4729"/>
      <c r="J90" s="4757"/>
      <c r="K90" s="4743"/>
      <c r="L90" s="4743"/>
      <c r="M90" s="4607"/>
    </row>
    <row r="91" spans="1:13" ht="30" customHeight="1" x14ac:dyDescent="0.2">
      <c r="A91" s="4459">
        <v>55</v>
      </c>
      <c r="B91" s="4457" t="s">
        <v>1247</v>
      </c>
      <c r="C91" s="4537" t="s">
        <v>1295</v>
      </c>
      <c r="D91" s="983">
        <v>175000000</v>
      </c>
      <c r="E91" s="996">
        <v>0.52</v>
      </c>
      <c r="F91" s="983">
        <v>9000000</v>
      </c>
      <c r="G91" s="4322">
        <v>17400000</v>
      </c>
      <c r="H91" s="4322" t="s">
        <v>2553</v>
      </c>
      <c r="I91" s="4641" t="s">
        <v>2572</v>
      </c>
      <c r="J91" s="4642" t="s">
        <v>1063</v>
      </c>
      <c r="K91" s="4322">
        <f>G91</f>
        <v>17400000</v>
      </c>
      <c r="L91" s="4322">
        <f>(F91+F92+F93)-K91</f>
        <v>850000</v>
      </c>
      <c r="M91" s="180" t="s">
        <v>1931</v>
      </c>
    </row>
    <row r="92" spans="1:13" ht="30" customHeight="1" x14ac:dyDescent="0.2">
      <c r="A92" s="4464"/>
      <c r="B92" s="4488"/>
      <c r="C92" s="4540"/>
      <c r="D92" s="966">
        <f>85000000+20000000</f>
        <v>105000000</v>
      </c>
      <c r="E92" s="964">
        <v>7.0000000000000007E-2</v>
      </c>
      <c r="F92" s="966">
        <v>7500000</v>
      </c>
      <c r="G92" s="4322"/>
      <c r="H92" s="4322"/>
      <c r="I92" s="4641"/>
      <c r="J92" s="4642"/>
      <c r="K92" s="4322"/>
      <c r="L92" s="4322"/>
      <c r="M92" s="180" t="s">
        <v>1932</v>
      </c>
    </row>
    <row r="93" spans="1:13" ht="30" customHeight="1" x14ac:dyDescent="0.2">
      <c r="A93" s="4460"/>
      <c r="B93" s="4458"/>
      <c r="C93" s="4538"/>
      <c r="D93" s="983">
        <v>35000000</v>
      </c>
      <c r="E93" s="996">
        <v>0.05</v>
      </c>
      <c r="F93" s="983">
        <f>D93*E93</f>
        <v>1750000</v>
      </c>
      <c r="G93" s="4322"/>
      <c r="H93" s="4322"/>
      <c r="I93" s="4641"/>
      <c r="J93" s="4642"/>
      <c r="K93" s="4322"/>
      <c r="L93" s="4322"/>
      <c r="M93" s="973" t="s">
        <v>2519</v>
      </c>
    </row>
    <row r="94" spans="1:13" ht="30" customHeight="1" x14ac:dyDescent="0.2">
      <c r="A94" s="4459">
        <v>56</v>
      </c>
      <c r="B94" s="4457" t="s">
        <v>35</v>
      </c>
      <c r="C94" s="4537" t="s">
        <v>1295</v>
      </c>
      <c r="D94" s="4413">
        <v>3284000000</v>
      </c>
      <c r="E94" s="4476">
        <v>7.0000000000000007E-2</v>
      </c>
      <c r="F94" s="4413">
        <v>229880000</v>
      </c>
      <c r="G94" s="983">
        <v>2140000</v>
      </c>
      <c r="H94" s="4413" t="s">
        <v>2689</v>
      </c>
      <c r="I94" s="4645" t="s">
        <v>2690</v>
      </c>
      <c r="J94" s="4478" t="s">
        <v>678</v>
      </c>
      <c r="K94" s="227">
        <f>G94</f>
        <v>2140000</v>
      </c>
      <c r="L94" s="1121">
        <f>تیر!L87-مرداد!G94</f>
        <v>0</v>
      </c>
      <c r="M94" s="97" t="s">
        <v>2688</v>
      </c>
    </row>
    <row r="95" spans="1:13" ht="30" customHeight="1" x14ac:dyDescent="0.2">
      <c r="A95" s="4464"/>
      <c r="B95" s="4488"/>
      <c r="C95" s="4540"/>
      <c r="D95" s="4414"/>
      <c r="E95" s="4516"/>
      <c r="F95" s="4414"/>
      <c r="G95" s="968">
        <v>29880000</v>
      </c>
      <c r="H95" s="4415"/>
      <c r="I95" s="4646"/>
      <c r="J95" s="4479"/>
      <c r="K95" s="4322">
        <f>G95+G96+G97+G98+G99+G100</f>
        <v>229880000</v>
      </c>
      <c r="L95" s="4322">
        <f>F94-K95</f>
        <v>0</v>
      </c>
      <c r="M95" s="4767" t="s">
        <v>2991</v>
      </c>
    </row>
    <row r="96" spans="1:13" ht="30" customHeight="1" x14ac:dyDescent="0.2">
      <c r="A96" s="4464"/>
      <c r="B96" s="4488"/>
      <c r="C96" s="4540"/>
      <c r="D96" s="4414"/>
      <c r="E96" s="4516"/>
      <c r="F96" s="4414"/>
      <c r="G96" s="968">
        <v>50000000</v>
      </c>
      <c r="H96" s="968" t="s">
        <v>2713</v>
      </c>
      <c r="I96" s="984" t="s">
        <v>2797</v>
      </c>
      <c r="J96" s="21" t="s">
        <v>678</v>
      </c>
      <c r="K96" s="4322"/>
      <c r="L96" s="4322"/>
      <c r="M96" s="4768"/>
    </row>
    <row r="97" spans="1:13" ht="30" customHeight="1" x14ac:dyDescent="0.2">
      <c r="A97" s="4464"/>
      <c r="B97" s="4488"/>
      <c r="C97" s="4540"/>
      <c r="D97" s="4414"/>
      <c r="E97" s="4516"/>
      <c r="F97" s="4414"/>
      <c r="G97" s="968">
        <v>20000000</v>
      </c>
      <c r="H97" s="968" t="s">
        <v>2916</v>
      </c>
      <c r="I97" s="984" t="s">
        <v>2940</v>
      </c>
      <c r="J97" s="21" t="s">
        <v>678</v>
      </c>
      <c r="K97" s="4322"/>
      <c r="L97" s="4322"/>
      <c r="M97" s="4768"/>
    </row>
    <row r="98" spans="1:13" ht="30" customHeight="1" x14ac:dyDescent="0.2">
      <c r="A98" s="4464"/>
      <c r="B98" s="4488"/>
      <c r="C98" s="4540"/>
      <c r="D98" s="4414"/>
      <c r="E98" s="4516"/>
      <c r="F98" s="4414"/>
      <c r="G98" s="968">
        <v>30000000</v>
      </c>
      <c r="H98" s="968" t="s">
        <v>2916</v>
      </c>
      <c r="I98" s="984" t="s">
        <v>2941</v>
      </c>
      <c r="J98" s="21" t="s">
        <v>678</v>
      </c>
      <c r="K98" s="4322"/>
      <c r="L98" s="4322"/>
      <c r="M98" s="4768"/>
    </row>
    <row r="99" spans="1:13" ht="30" customHeight="1" x14ac:dyDescent="0.2">
      <c r="A99" s="4464"/>
      <c r="B99" s="4488"/>
      <c r="C99" s="4540"/>
      <c r="D99" s="4414"/>
      <c r="E99" s="4516"/>
      <c r="F99" s="4414"/>
      <c r="G99" s="968">
        <v>50000000</v>
      </c>
      <c r="H99" s="968" t="s">
        <v>2897</v>
      </c>
      <c r="I99" s="984" t="s">
        <v>3016</v>
      </c>
      <c r="J99" s="21" t="s">
        <v>678</v>
      </c>
      <c r="K99" s="4322"/>
      <c r="L99" s="4322"/>
      <c r="M99" s="4768"/>
    </row>
    <row r="100" spans="1:13" ht="30" customHeight="1" x14ac:dyDescent="0.2">
      <c r="A100" s="4464"/>
      <c r="B100" s="4488"/>
      <c r="C100" s="4540"/>
      <c r="D100" s="4414"/>
      <c r="E100" s="4516"/>
      <c r="F100" s="4414"/>
      <c r="G100" s="968">
        <v>50000000</v>
      </c>
      <c r="H100" s="968" t="s">
        <v>3144</v>
      </c>
      <c r="I100" s="993" t="s">
        <v>3368</v>
      </c>
      <c r="J100" s="21" t="s">
        <v>678</v>
      </c>
      <c r="K100" s="4322"/>
      <c r="L100" s="4322"/>
      <c r="M100" s="4769"/>
    </row>
    <row r="101" spans="1:13" ht="30" customHeight="1" x14ac:dyDescent="0.2">
      <c r="A101" s="4459">
        <v>57</v>
      </c>
      <c r="B101" s="4457" t="s">
        <v>1077</v>
      </c>
      <c r="C101" s="4537" t="s">
        <v>1298</v>
      </c>
      <c r="D101" s="4413">
        <v>317000000</v>
      </c>
      <c r="E101" s="4476">
        <v>7.0000000000000007E-2</v>
      </c>
      <c r="F101" s="4413">
        <f>D101*E101</f>
        <v>22190000.000000004</v>
      </c>
      <c r="G101" s="968">
        <v>10000000</v>
      </c>
      <c r="H101" s="968" t="s">
        <v>3144</v>
      </c>
      <c r="I101" s="993" t="s">
        <v>3170</v>
      </c>
      <c r="J101" s="21" t="s">
        <v>3171</v>
      </c>
      <c r="K101" s="4413">
        <f>G101+G102</f>
        <v>22190000</v>
      </c>
      <c r="L101" s="4413">
        <f>F101-K101</f>
        <v>0</v>
      </c>
      <c r="M101" s="4682" t="s">
        <v>2991</v>
      </c>
    </row>
    <row r="102" spans="1:13" ht="30" customHeight="1" x14ac:dyDescent="0.2">
      <c r="A102" s="4460"/>
      <c r="B102" s="4458"/>
      <c r="C102" s="4538"/>
      <c r="D102" s="4415"/>
      <c r="E102" s="4477"/>
      <c r="F102" s="4415"/>
      <c r="G102" s="1345">
        <v>12190000</v>
      </c>
      <c r="H102" s="1345" t="s">
        <v>3227</v>
      </c>
      <c r="I102" s="1360" t="s">
        <v>3256</v>
      </c>
      <c r="J102" s="21" t="s">
        <v>678</v>
      </c>
      <c r="K102" s="4415"/>
      <c r="L102" s="4415"/>
      <c r="M102" s="4683"/>
    </row>
    <row r="103" spans="1:13" ht="30" customHeight="1" x14ac:dyDescent="0.2">
      <c r="A103" s="962">
        <v>58</v>
      </c>
      <c r="B103" s="1000" t="s">
        <v>1064</v>
      </c>
      <c r="C103" s="982" t="s">
        <v>889</v>
      </c>
      <c r="D103" s="968">
        <v>11000000</v>
      </c>
      <c r="E103" s="996">
        <v>5.5E-2</v>
      </c>
      <c r="F103" s="968">
        <v>600000</v>
      </c>
      <c r="G103" s="968">
        <v>600000</v>
      </c>
      <c r="H103" s="968" t="s">
        <v>2803</v>
      </c>
      <c r="I103" s="984" t="s">
        <v>2817</v>
      </c>
      <c r="J103" s="83" t="s">
        <v>1066</v>
      </c>
      <c r="K103" s="968">
        <f>G103</f>
        <v>600000</v>
      </c>
      <c r="L103" s="968">
        <f t="shared" si="11"/>
        <v>0</v>
      </c>
      <c r="M103" s="1000"/>
    </row>
    <row r="104" spans="1:13" ht="30" customHeight="1" x14ac:dyDescent="0.2">
      <c r="A104" s="4459">
        <v>59</v>
      </c>
      <c r="B104" s="4599" t="s">
        <v>194</v>
      </c>
      <c r="C104" s="4537" t="s">
        <v>1295</v>
      </c>
      <c r="D104" s="968">
        <v>90000000</v>
      </c>
      <c r="E104" s="996">
        <v>0.05</v>
      </c>
      <c r="F104" s="968">
        <f t="shared" si="9"/>
        <v>4500000</v>
      </c>
      <c r="G104" s="4322">
        <v>5200000</v>
      </c>
      <c r="H104" s="4322" t="s">
        <v>2553</v>
      </c>
      <c r="I104" s="4770" t="s">
        <v>2564</v>
      </c>
      <c r="J104" s="4771" t="s">
        <v>2565</v>
      </c>
      <c r="K104" s="4413">
        <f>G104</f>
        <v>5200000</v>
      </c>
      <c r="L104" s="4413">
        <f>(F104+F105)-K104</f>
        <v>0</v>
      </c>
      <c r="M104" s="4492"/>
    </row>
    <row r="105" spans="1:13" ht="30" customHeight="1" x14ac:dyDescent="0.2">
      <c r="A105" s="4464"/>
      <c r="B105" s="4600"/>
      <c r="C105" s="4540"/>
      <c r="D105" s="968">
        <v>10000000</v>
      </c>
      <c r="E105" s="996">
        <v>7.0000000000000007E-2</v>
      </c>
      <c r="F105" s="968">
        <f t="shared" si="9"/>
        <v>700000.00000000012</v>
      </c>
      <c r="G105" s="4322"/>
      <c r="H105" s="4322"/>
      <c r="I105" s="4770"/>
      <c r="J105" s="4771"/>
      <c r="K105" s="4415"/>
      <c r="L105" s="4415"/>
      <c r="M105" s="4493"/>
    </row>
    <row r="106" spans="1:13" ht="30" customHeight="1" x14ac:dyDescent="0.2">
      <c r="A106" s="4460"/>
      <c r="B106" s="4607"/>
      <c r="C106" s="4538"/>
      <c r="D106" s="1450">
        <v>115000000</v>
      </c>
      <c r="E106" s="1299"/>
      <c r="F106" s="1450"/>
      <c r="G106" s="4635" t="s">
        <v>3355</v>
      </c>
      <c r="H106" s="4636"/>
      <c r="I106" s="4636"/>
      <c r="J106" s="4636"/>
      <c r="K106" s="4637"/>
      <c r="L106" s="1442"/>
      <c r="M106" s="1443"/>
    </row>
    <row r="107" spans="1:13" ht="30" customHeight="1" x14ac:dyDescent="0.2">
      <c r="A107" s="1001">
        <v>60</v>
      </c>
      <c r="B107" s="1000" t="s">
        <v>1498</v>
      </c>
      <c r="C107" s="982"/>
      <c r="D107" s="974"/>
      <c r="E107" s="40"/>
      <c r="F107" s="974">
        <f t="shared" si="9"/>
        <v>0</v>
      </c>
      <c r="G107" s="968"/>
      <c r="H107" s="968"/>
      <c r="I107" s="984"/>
      <c r="J107" s="21"/>
      <c r="K107" s="968">
        <f>G107</f>
        <v>0</v>
      </c>
      <c r="L107" s="974">
        <f t="shared" si="11"/>
        <v>0</v>
      </c>
      <c r="M107" s="1000" t="s">
        <v>2516</v>
      </c>
    </row>
    <row r="108" spans="1:13" ht="30" customHeight="1" x14ac:dyDescent="0.2">
      <c r="A108" s="963">
        <v>61</v>
      </c>
      <c r="B108" s="1000" t="s">
        <v>196</v>
      </c>
      <c r="C108" s="982"/>
      <c r="D108" s="968">
        <v>100000000</v>
      </c>
      <c r="E108" s="996">
        <v>7.0000000000000007E-2</v>
      </c>
      <c r="F108" s="968">
        <f t="shared" si="9"/>
        <v>7000000.0000000009</v>
      </c>
      <c r="G108" s="968">
        <v>7000000</v>
      </c>
      <c r="H108" s="968" t="s">
        <v>2211</v>
      </c>
      <c r="I108" s="993" t="s">
        <v>2630</v>
      </c>
      <c r="J108" s="21" t="s">
        <v>2631</v>
      </c>
      <c r="K108" s="968">
        <f>G108</f>
        <v>7000000</v>
      </c>
      <c r="L108" s="968">
        <f t="shared" si="11"/>
        <v>0</v>
      </c>
      <c r="M108" s="1000"/>
    </row>
    <row r="109" spans="1:13" ht="30" customHeight="1" x14ac:dyDescent="0.2">
      <c r="A109" s="4459">
        <v>62</v>
      </c>
      <c r="B109" s="4457" t="s">
        <v>197</v>
      </c>
      <c r="C109" s="4537"/>
      <c r="D109" s="1225">
        <v>125000000</v>
      </c>
      <c r="E109" s="1228">
        <v>5.1999999999999998E-2</v>
      </c>
      <c r="F109" s="1225">
        <f t="shared" si="9"/>
        <v>6500000</v>
      </c>
      <c r="G109" s="1225">
        <v>6500000</v>
      </c>
      <c r="H109" s="1225" t="s">
        <v>2916</v>
      </c>
      <c r="I109" s="1229" t="s">
        <v>2936</v>
      </c>
      <c r="J109" s="293" t="s">
        <v>2451</v>
      </c>
      <c r="K109" s="1225">
        <f>G109</f>
        <v>6500000</v>
      </c>
      <c r="L109" s="1225">
        <f t="shared" si="11"/>
        <v>0</v>
      </c>
      <c r="M109" s="97" t="s">
        <v>2937</v>
      </c>
    </row>
    <row r="110" spans="1:13" ht="30" customHeight="1" x14ac:dyDescent="0.2">
      <c r="A110" s="4460"/>
      <c r="B110" s="4458"/>
      <c r="C110" s="4538"/>
      <c r="D110" s="4303"/>
      <c r="E110" s="4324"/>
      <c r="F110" s="4355"/>
      <c r="G110" s="1320">
        <v>15300000</v>
      </c>
      <c r="H110" s="1320" t="s">
        <v>3127</v>
      </c>
      <c r="I110" s="1322" t="s">
        <v>3138</v>
      </c>
      <c r="J110" s="293" t="s">
        <v>3139</v>
      </c>
      <c r="K110" s="1311">
        <f>G110</f>
        <v>15300000</v>
      </c>
      <c r="L110" s="1311"/>
      <c r="M110" s="1313" t="s">
        <v>3140</v>
      </c>
    </row>
    <row r="111" spans="1:13" ht="30" customHeight="1" x14ac:dyDescent="0.2">
      <c r="A111" s="4459">
        <v>63</v>
      </c>
      <c r="B111" s="4457" t="s">
        <v>198</v>
      </c>
      <c r="C111" s="4537" t="s">
        <v>889</v>
      </c>
      <c r="D111" s="4413">
        <v>1600000000</v>
      </c>
      <c r="E111" s="4476">
        <v>6.5000000000000002E-2</v>
      </c>
      <c r="F111" s="4413">
        <f>D111*E111</f>
        <v>104000000</v>
      </c>
      <c r="G111" s="233">
        <v>20000000</v>
      </c>
      <c r="H111" s="1056" t="s">
        <v>2577</v>
      </c>
      <c r="I111" s="1057" t="s">
        <v>2581</v>
      </c>
      <c r="J111" s="1056" t="s">
        <v>2580</v>
      </c>
      <c r="K111" s="4413">
        <f>G111+G112</f>
        <v>24000000</v>
      </c>
      <c r="L111" s="4413">
        <f>24000000-K111</f>
        <v>0</v>
      </c>
      <c r="M111" s="4492" t="s">
        <v>2513</v>
      </c>
    </row>
    <row r="112" spans="1:13" ht="30" customHeight="1" x14ac:dyDescent="0.2">
      <c r="A112" s="4460"/>
      <c r="B112" s="4458"/>
      <c r="C112" s="4538"/>
      <c r="D112" s="4415"/>
      <c r="E112" s="4477"/>
      <c r="F112" s="4415"/>
      <c r="G112" s="1051">
        <v>4000000</v>
      </c>
      <c r="H112" s="1051" t="s">
        <v>2577</v>
      </c>
      <c r="I112" s="1051">
        <v>277218</v>
      </c>
      <c r="J112" s="1053" t="s">
        <v>2582</v>
      </c>
      <c r="K112" s="4415"/>
      <c r="L112" s="4415"/>
      <c r="M112" s="4493"/>
    </row>
    <row r="113" spans="1:13" ht="30" customHeight="1" x14ac:dyDescent="0.2">
      <c r="A113" s="1001">
        <v>64</v>
      </c>
      <c r="B113" s="961" t="s">
        <v>1336</v>
      </c>
      <c r="C113" s="982" t="s">
        <v>889</v>
      </c>
      <c r="D113" s="968">
        <v>200000000</v>
      </c>
      <c r="E113" s="965">
        <v>5.0999999999999997E-2</v>
      </c>
      <c r="F113" s="968">
        <f t="shared" si="9"/>
        <v>10200000</v>
      </c>
      <c r="G113" s="968">
        <v>10200000</v>
      </c>
      <c r="H113" s="968" t="s">
        <v>2689</v>
      </c>
      <c r="I113" s="993" t="s">
        <v>2699</v>
      </c>
      <c r="J113" s="21" t="s">
        <v>1335</v>
      </c>
      <c r="K113" s="968">
        <f>G113</f>
        <v>10200000</v>
      </c>
      <c r="L113" s="968">
        <f t="shared" si="11"/>
        <v>0</v>
      </c>
      <c r="M113" s="97" t="s">
        <v>1337</v>
      </c>
    </row>
    <row r="114" spans="1:13" ht="30" customHeight="1" x14ac:dyDescent="0.2">
      <c r="A114" s="383">
        <v>66</v>
      </c>
      <c r="B114" s="1002" t="s">
        <v>201</v>
      </c>
      <c r="C114" s="995"/>
      <c r="D114" s="977"/>
      <c r="E114" s="40"/>
      <c r="F114" s="977">
        <f t="shared" si="9"/>
        <v>0</v>
      </c>
      <c r="G114" s="983"/>
      <c r="H114" s="983"/>
      <c r="I114" s="380"/>
      <c r="J114" s="999"/>
      <c r="K114" s="983">
        <f>F114</f>
        <v>0</v>
      </c>
      <c r="L114" s="977">
        <f>F114-K114</f>
        <v>0</v>
      </c>
      <c r="M114" s="97" t="s">
        <v>2520</v>
      </c>
    </row>
    <row r="115" spans="1:13" ht="30" customHeight="1" x14ac:dyDescent="0.2">
      <c r="A115" s="1001">
        <v>68</v>
      </c>
      <c r="B115" s="1000" t="s">
        <v>202</v>
      </c>
      <c r="C115" s="982" t="s">
        <v>1295</v>
      </c>
      <c r="D115" s="968">
        <v>150000000</v>
      </c>
      <c r="E115" s="996">
        <v>0.05</v>
      </c>
      <c r="F115" s="968">
        <f t="shared" si="9"/>
        <v>7500000</v>
      </c>
      <c r="G115" s="968">
        <v>7500000</v>
      </c>
      <c r="H115" s="968" t="s">
        <v>2532</v>
      </c>
      <c r="I115" s="984" t="s">
        <v>2537</v>
      </c>
      <c r="J115" s="65" t="s">
        <v>2538</v>
      </c>
      <c r="K115" s="968">
        <f>G115</f>
        <v>7500000</v>
      </c>
      <c r="L115" s="968">
        <f>F115-K115</f>
        <v>0</v>
      </c>
      <c r="M115" s="1000"/>
    </row>
    <row r="116" spans="1:13" ht="30" customHeight="1" x14ac:dyDescent="0.2">
      <c r="A116" s="962">
        <v>69</v>
      </c>
      <c r="B116" s="1002" t="s">
        <v>203</v>
      </c>
      <c r="C116" s="995" t="s">
        <v>889</v>
      </c>
      <c r="D116" s="983">
        <v>280000000</v>
      </c>
      <c r="E116" s="996">
        <f>F116/D116</f>
        <v>7.0000000000000007E-2</v>
      </c>
      <c r="F116" s="983">
        <v>19600000</v>
      </c>
      <c r="G116" s="983">
        <v>19600000</v>
      </c>
      <c r="H116" s="983" t="s">
        <v>2689</v>
      </c>
      <c r="I116" s="998" t="s">
        <v>2742</v>
      </c>
      <c r="J116" s="999" t="s">
        <v>2743</v>
      </c>
      <c r="K116" s="983">
        <f>G116</f>
        <v>19600000</v>
      </c>
      <c r="L116" s="983">
        <f>F116-K116</f>
        <v>0</v>
      </c>
      <c r="M116" s="994"/>
    </row>
    <row r="117" spans="1:13" ht="30" customHeight="1" x14ac:dyDescent="0.2">
      <c r="A117" s="1001">
        <v>70</v>
      </c>
      <c r="B117" s="1000" t="s">
        <v>204</v>
      </c>
      <c r="C117" s="982" t="s">
        <v>889</v>
      </c>
      <c r="D117" s="968">
        <v>100000000</v>
      </c>
      <c r="E117" s="965">
        <v>0.04</v>
      </c>
      <c r="F117" s="968">
        <f t="shared" si="9"/>
        <v>4000000</v>
      </c>
      <c r="G117" s="968">
        <v>4000000</v>
      </c>
      <c r="H117" s="968" t="s">
        <v>2532</v>
      </c>
      <c r="I117" s="984" t="s">
        <v>2545</v>
      </c>
      <c r="J117" s="987" t="s">
        <v>1385</v>
      </c>
      <c r="K117" s="968">
        <f>G117</f>
        <v>4000000</v>
      </c>
      <c r="L117" s="968">
        <f t="shared" si="11"/>
        <v>0</v>
      </c>
      <c r="M117" s="1000"/>
    </row>
    <row r="118" spans="1:13" ht="30" customHeight="1" x14ac:dyDescent="0.2">
      <c r="A118" s="962">
        <v>71</v>
      </c>
      <c r="B118" s="1000" t="s">
        <v>205</v>
      </c>
      <c r="C118" s="995" t="s">
        <v>942</v>
      </c>
      <c r="D118" s="983">
        <v>20000000</v>
      </c>
      <c r="E118" s="996">
        <v>0.05</v>
      </c>
      <c r="F118" s="983">
        <f t="shared" si="9"/>
        <v>1000000</v>
      </c>
      <c r="G118" s="983">
        <v>1000000</v>
      </c>
      <c r="H118" s="983" t="s">
        <v>1405</v>
      </c>
      <c r="I118" s="381" t="s">
        <v>1406</v>
      </c>
      <c r="J118" s="999" t="s">
        <v>1407</v>
      </c>
      <c r="K118" s="983">
        <f>G118</f>
        <v>1000000</v>
      </c>
      <c r="L118" s="983">
        <f t="shared" si="11"/>
        <v>0</v>
      </c>
      <c r="M118" s="4498"/>
    </row>
    <row r="119" spans="1:13" ht="30" customHeight="1" x14ac:dyDescent="0.2">
      <c r="A119" s="1150"/>
      <c r="B119" s="1149"/>
      <c r="C119" s="1157"/>
      <c r="D119" s="1151">
        <v>30000000</v>
      </c>
      <c r="E119" s="1154"/>
      <c r="F119" s="1151"/>
      <c r="G119" s="4623" t="s">
        <v>2764</v>
      </c>
      <c r="H119" s="4624"/>
      <c r="I119" s="4624"/>
      <c r="J119" s="4624"/>
      <c r="K119" s="4625"/>
      <c r="L119" s="1151"/>
      <c r="M119" s="4499"/>
    </row>
    <row r="120" spans="1:13" ht="30" customHeight="1" x14ac:dyDescent="0.2">
      <c r="A120" s="4459">
        <v>72</v>
      </c>
      <c r="B120" s="4457" t="s">
        <v>1023</v>
      </c>
      <c r="C120" s="4537"/>
      <c r="D120" s="4413">
        <v>1685000000</v>
      </c>
      <c r="E120" s="4476">
        <v>0.06</v>
      </c>
      <c r="F120" s="4413">
        <f t="shared" si="9"/>
        <v>101100000</v>
      </c>
      <c r="G120" s="968">
        <v>50000000</v>
      </c>
      <c r="H120" s="968" t="s">
        <v>3004</v>
      </c>
      <c r="I120" s="989" t="s">
        <v>3066</v>
      </c>
      <c r="J120" s="21" t="s">
        <v>3067</v>
      </c>
      <c r="K120" s="4413">
        <f>G120+G121</f>
        <v>100000000</v>
      </c>
      <c r="L120" s="4413">
        <f t="shared" si="11"/>
        <v>1100000</v>
      </c>
      <c r="M120" s="4599"/>
    </row>
    <row r="121" spans="1:13" ht="30" customHeight="1" x14ac:dyDescent="0.2">
      <c r="A121" s="4460"/>
      <c r="B121" s="4458"/>
      <c r="C121" s="4538"/>
      <c r="D121" s="4415"/>
      <c r="E121" s="4477"/>
      <c r="F121" s="4415"/>
      <c r="G121" s="1276">
        <v>50000000</v>
      </c>
      <c r="H121" s="1276" t="s">
        <v>3083</v>
      </c>
      <c r="I121" s="1287" t="s">
        <v>3098</v>
      </c>
      <c r="J121" s="21" t="s">
        <v>3067</v>
      </c>
      <c r="K121" s="4415"/>
      <c r="L121" s="4415"/>
      <c r="M121" s="4607"/>
    </row>
    <row r="122" spans="1:13" ht="30" customHeight="1" x14ac:dyDescent="0.2">
      <c r="A122" s="963">
        <v>73</v>
      </c>
      <c r="B122" s="1000" t="s">
        <v>206</v>
      </c>
      <c r="C122" s="982" t="s">
        <v>1293</v>
      </c>
      <c r="D122" s="968">
        <v>20000000</v>
      </c>
      <c r="E122" s="996">
        <v>0.05</v>
      </c>
      <c r="F122" s="968">
        <f t="shared" si="9"/>
        <v>1000000</v>
      </c>
      <c r="G122" s="968">
        <v>1000000</v>
      </c>
      <c r="H122" s="968" t="s">
        <v>2577</v>
      </c>
      <c r="I122" s="984" t="s">
        <v>2586</v>
      </c>
      <c r="J122" s="21" t="s">
        <v>944</v>
      </c>
      <c r="K122" s="968">
        <f>G122</f>
        <v>1000000</v>
      </c>
      <c r="L122" s="968">
        <f t="shared" si="11"/>
        <v>0</v>
      </c>
      <c r="M122" s="1000"/>
    </row>
    <row r="123" spans="1:13" ht="30" customHeight="1" x14ac:dyDescent="0.2">
      <c r="A123" s="1001">
        <v>74</v>
      </c>
      <c r="B123" s="1000" t="s">
        <v>207</v>
      </c>
      <c r="C123" s="982" t="s">
        <v>889</v>
      </c>
      <c r="D123" s="968">
        <v>125000000</v>
      </c>
      <c r="E123" s="996">
        <v>0.04</v>
      </c>
      <c r="F123" s="968">
        <f t="shared" si="9"/>
        <v>5000000</v>
      </c>
      <c r="G123" s="968">
        <v>5000000</v>
      </c>
      <c r="H123" s="968" t="s">
        <v>2532</v>
      </c>
      <c r="I123" s="984" t="s">
        <v>2535</v>
      </c>
      <c r="J123" s="21" t="s">
        <v>2536</v>
      </c>
      <c r="K123" s="968">
        <f>G123</f>
        <v>5000000</v>
      </c>
      <c r="L123" s="968">
        <f t="shared" si="11"/>
        <v>0</v>
      </c>
      <c r="M123" s="1000"/>
    </row>
    <row r="124" spans="1:13" ht="30" customHeight="1" x14ac:dyDescent="0.2">
      <c r="A124" s="963">
        <v>75</v>
      </c>
      <c r="B124" s="1000" t="s">
        <v>208</v>
      </c>
      <c r="C124" s="982" t="s">
        <v>889</v>
      </c>
      <c r="D124" s="968">
        <v>50000000</v>
      </c>
      <c r="E124" s="996">
        <v>0.05</v>
      </c>
      <c r="F124" s="968">
        <f t="shared" si="9"/>
        <v>2500000</v>
      </c>
      <c r="G124" s="968">
        <v>2500000</v>
      </c>
      <c r="H124" s="968" t="s">
        <v>2803</v>
      </c>
      <c r="I124" s="984" t="s">
        <v>2815</v>
      </c>
      <c r="J124" s="21" t="s">
        <v>948</v>
      </c>
      <c r="K124" s="968">
        <f>G124</f>
        <v>2500000</v>
      </c>
      <c r="L124" s="968">
        <f t="shared" si="11"/>
        <v>0</v>
      </c>
      <c r="M124" s="1000"/>
    </row>
    <row r="125" spans="1:13" ht="30" customHeight="1" x14ac:dyDescent="0.2">
      <c r="A125" s="1001">
        <v>76</v>
      </c>
      <c r="B125" s="1000" t="s">
        <v>209</v>
      </c>
      <c r="C125" s="982" t="s">
        <v>1293</v>
      </c>
      <c r="D125" s="968">
        <v>100000000</v>
      </c>
      <c r="E125" s="996">
        <v>0.05</v>
      </c>
      <c r="F125" s="968">
        <f t="shared" si="9"/>
        <v>5000000</v>
      </c>
      <c r="G125" s="968">
        <v>5000000</v>
      </c>
      <c r="H125" s="968" t="s">
        <v>2577</v>
      </c>
      <c r="I125" s="984" t="s">
        <v>2585</v>
      </c>
      <c r="J125" s="21" t="s">
        <v>1538</v>
      </c>
      <c r="K125" s="968">
        <f>G125</f>
        <v>5000000</v>
      </c>
      <c r="L125" s="968">
        <f t="shared" si="11"/>
        <v>0</v>
      </c>
      <c r="M125" s="1000"/>
    </row>
    <row r="126" spans="1:13" ht="30" customHeight="1" x14ac:dyDescent="0.2">
      <c r="A126" s="4459">
        <v>77</v>
      </c>
      <c r="B126" s="4457" t="s">
        <v>210</v>
      </c>
      <c r="C126" s="4537" t="s">
        <v>1717</v>
      </c>
      <c r="D126" s="968">
        <v>30000000</v>
      </c>
      <c r="E126" s="996">
        <v>7.0000000000000007E-2</v>
      </c>
      <c r="F126" s="968">
        <f t="shared" si="9"/>
        <v>2100000</v>
      </c>
      <c r="G126" s="4413">
        <v>3675000</v>
      </c>
      <c r="H126" s="4413" t="s">
        <v>2634</v>
      </c>
      <c r="I126" s="4555" t="s">
        <v>2652</v>
      </c>
      <c r="J126" s="4574" t="s">
        <v>1570</v>
      </c>
      <c r="K126" s="4413">
        <f>G126</f>
        <v>3675000</v>
      </c>
      <c r="L126" s="4413">
        <f>(F126+F127)-K126</f>
        <v>0</v>
      </c>
      <c r="M126" s="4492" t="s">
        <v>953</v>
      </c>
    </row>
    <row r="127" spans="1:13" ht="30" customHeight="1" x14ac:dyDescent="0.2">
      <c r="A127" s="4460"/>
      <c r="B127" s="4458"/>
      <c r="C127" s="4538"/>
      <c r="D127" s="968">
        <v>35000000</v>
      </c>
      <c r="E127" s="996">
        <v>4.4999999999999998E-2</v>
      </c>
      <c r="F127" s="968">
        <f t="shared" si="9"/>
        <v>1575000</v>
      </c>
      <c r="G127" s="4415"/>
      <c r="H127" s="4415"/>
      <c r="I127" s="4557"/>
      <c r="J127" s="4575"/>
      <c r="K127" s="4415"/>
      <c r="L127" s="4415"/>
      <c r="M127" s="4493"/>
    </row>
    <row r="128" spans="1:13" ht="30" customHeight="1" x14ac:dyDescent="0.2">
      <c r="A128" s="1001">
        <v>78</v>
      </c>
      <c r="B128" s="1000" t="s">
        <v>211</v>
      </c>
      <c r="C128" s="982"/>
      <c r="D128" s="974"/>
      <c r="E128" s="40"/>
      <c r="F128" s="974">
        <f t="shared" si="9"/>
        <v>0</v>
      </c>
      <c r="G128" s="968">
        <v>1900000</v>
      </c>
      <c r="H128" s="968" t="s">
        <v>2211</v>
      </c>
      <c r="I128" s="984" t="s">
        <v>2617</v>
      </c>
      <c r="J128" s="83" t="s">
        <v>955</v>
      </c>
      <c r="K128" s="968">
        <f t="shared" ref="K128:K134" si="12">G128</f>
        <v>1900000</v>
      </c>
      <c r="L128" s="974">
        <f t="shared" si="11"/>
        <v>-1900000</v>
      </c>
      <c r="M128" s="1000"/>
    </row>
    <row r="129" spans="1:13" ht="30" customHeight="1" x14ac:dyDescent="0.2">
      <c r="A129" s="1001">
        <v>79</v>
      </c>
      <c r="B129" s="1000" t="s">
        <v>212</v>
      </c>
      <c r="C129" s="982" t="s">
        <v>889</v>
      </c>
      <c r="D129" s="968">
        <v>15000000</v>
      </c>
      <c r="E129" s="996">
        <v>4.4999999999999998E-2</v>
      </c>
      <c r="F129" s="968">
        <f t="shared" si="9"/>
        <v>675000</v>
      </c>
      <c r="G129" s="968">
        <v>675000</v>
      </c>
      <c r="H129" s="968" t="s">
        <v>2689</v>
      </c>
      <c r="I129" s="984" t="s">
        <v>2758</v>
      </c>
      <c r="J129" s="21" t="s">
        <v>957</v>
      </c>
      <c r="K129" s="968">
        <f t="shared" si="12"/>
        <v>675000</v>
      </c>
      <c r="L129" s="968">
        <f t="shared" si="11"/>
        <v>0</v>
      </c>
      <c r="M129" s="1000"/>
    </row>
    <row r="130" spans="1:13" ht="30" customHeight="1" x14ac:dyDescent="0.2">
      <c r="A130" s="1001">
        <v>80</v>
      </c>
      <c r="B130" s="1000" t="s">
        <v>182</v>
      </c>
      <c r="C130" s="982" t="s">
        <v>1293</v>
      </c>
      <c r="D130" s="968">
        <v>145000000</v>
      </c>
      <c r="E130" s="996">
        <v>4.4999999999999998E-2</v>
      </c>
      <c r="F130" s="968">
        <v>6775000</v>
      </c>
      <c r="G130" s="968">
        <v>6775000</v>
      </c>
      <c r="H130" s="968" t="s">
        <v>2553</v>
      </c>
      <c r="I130" s="984" t="s">
        <v>2568</v>
      </c>
      <c r="J130" s="983" t="s">
        <v>2569</v>
      </c>
      <c r="K130" s="968">
        <f t="shared" si="12"/>
        <v>6775000</v>
      </c>
      <c r="L130" s="968">
        <f t="shared" si="11"/>
        <v>0</v>
      </c>
      <c r="M130" s="1000"/>
    </row>
    <row r="131" spans="1:13" ht="30" customHeight="1" x14ac:dyDescent="0.2">
      <c r="A131" s="1001">
        <v>81</v>
      </c>
      <c r="B131" s="1000" t="s">
        <v>213</v>
      </c>
      <c r="C131" s="982"/>
      <c r="D131" s="1221">
        <v>5000000</v>
      </c>
      <c r="E131" s="1228">
        <v>0.04</v>
      </c>
      <c r="F131" s="1221">
        <f t="shared" si="9"/>
        <v>200000</v>
      </c>
      <c r="G131" s="1221">
        <v>200000</v>
      </c>
      <c r="H131" s="1221" t="s">
        <v>2916</v>
      </c>
      <c r="I131" s="1226" t="s">
        <v>2925</v>
      </c>
      <c r="J131" s="21" t="s">
        <v>1363</v>
      </c>
      <c r="K131" s="1221">
        <f t="shared" si="12"/>
        <v>200000</v>
      </c>
      <c r="L131" s="1221">
        <f t="shared" si="11"/>
        <v>0</v>
      </c>
      <c r="M131" s="1000"/>
    </row>
    <row r="132" spans="1:13" ht="30" customHeight="1" x14ac:dyDescent="0.2">
      <c r="A132" s="1001">
        <v>82</v>
      </c>
      <c r="B132" s="1000" t="s">
        <v>214</v>
      </c>
      <c r="C132" s="982"/>
      <c r="D132" s="968">
        <v>16000000</v>
      </c>
      <c r="E132" s="996">
        <v>0.05</v>
      </c>
      <c r="F132" s="968">
        <f t="shared" si="9"/>
        <v>800000</v>
      </c>
      <c r="G132" s="968">
        <v>800000</v>
      </c>
      <c r="H132" s="968" t="s">
        <v>2713</v>
      </c>
      <c r="I132" s="984" t="s">
        <v>2798</v>
      </c>
      <c r="J132" s="83" t="s">
        <v>964</v>
      </c>
      <c r="K132" s="968">
        <f t="shared" si="12"/>
        <v>800000</v>
      </c>
      <c r="L132" s="968">
        <f t="shared" si="11"/>
        <v>0</v>
      </c>
      <c r="M132" s="1000"/>
    </row>
    <row r="133" spans="1:13" ht="30" customHeight="1" x14ac:dyDescent="0.2">
      <c r="A133" s="1001">
        <v>83</v>
      </c>
      <c r="B133" s="1000" t="s">
        <v>215</v>
      </c>
      <c r="C133" s="982" t="s">
        <v>889</v>
      </c>
      <c r="D133" s="968">
        <v>160000000</v>
      </c>
      <c r="E133" s="996">
        <v>0.05</v>
      </c>
      <c r="F133" s="968">
        <f>D133*E133</f>
        <v>8000000</v>
      </c>
      <c r="G133" s="968">
        <v>8000000</v>
      </c>
      <c r="H133" s="968" t="s">
        <v>2553</v>
      </c>
      <c r="I133" s="984" t="s">
        <v>2558</v>
      </c>
      <c r="J133" s="983" t="s">
        <v>1689</v>
      </c>
      <c r="K133" s="968">
        <f t="shared" si="12"/>
        <v>8000000</v>
      </c>
      <c r="L133" s="968">
        <f t="shared" si="11"/>
        <v>0</v>
      </c>
      <c r="M133" s="1000"/>
    </row>
    <row r="134" spans="1:13" ht="30" customHeight="1" x14ac:dyDescent="0.2">
      <c r="A134" s="1001">
        <v>84</v>
      </c>
      <c r="B134" s="1000" t="s">
        <v>216</v>
      </c>
      <c r="C134" s="982"/>
      <c r="D134" s="968">
        <v>400000000</v>
      </c>
      <c r="E134" s="996">
        <v>6.0999999999999999E-2</v>
      </c>
      <c r="F134" s="968">
        <f t="shared" si="9"/>
        <v>24400000</v>
      </c>
      <c r="G134" s="968">
        <v>24400000</v>
      </c>
      <c r="H134" s="968" t="s">
        <v>2577</v>
      </c>
      <c r="I134" s="984" t="s">
        <v>2583</v>
      </c>
      <c r="J134" s="83" t="s">
        <v>1553</v>
      </c>
      <c r="K134" s="968">
        <f t="shared" si="12"/>
        <v>24400000</v>
      </c>
      <c r="L134" s="968">
        <f t="shared" si="11"/>
        <v>0</v>
      </c>
      <c r="M134" s="1000"/>
    </row>
    <row r="135" spans="1:13" ht="30" customHeight="1" x14ac:dyDescent="0.2">
      <c r="A135" s="4459">
        <v>85</v>
      </c>
      <c r="B135" s="4457" t="s">
        <v>975</v>
      </c>
      <c r="C135" s="4537" t="s">
        <v>889</v>
      </c>
      <c r="D135" s="1052">
        <v>200000000</v>
      </c>
      <c r="E135" s="436">
        <v>0.06</v>
      </c>
      <c r="F135" s="1052">
        <f t="shared" si="9"/>
        <v>12000000</v>
      </c>
      <c r="G135" s="983">
        <v>10000000</v>
      </c>
      <c r="H135" s="983" t="s">
        <v>2577</v>
      </c>
      <c r="I135" s="998" t="s">
        <v>2589</v>
      </c>
      <c r="J135" s="83" t="s">
        <v>2590</v>
      </c>
      <c r="K135" s="4413">
        <f>G136+G135</f>
        <v>10000000</v>
      </c>
      <c r="L135" s="4413">
        <f>F139-K135</f>
        <v>32600000</v>
      </c>
      <c r="M135" s="4643"/>
    </row>
    <row r="136" spans="1:13" ht="30" customHeight="1" x14ac:dyDescent="0.2">
      <c r="A136" s="4464"/>
      <c r="B136" s="4488"/>
      <c r="C136" s="4540"/>
      <c r="D136" s="1052">
        <v>458000000</v>
      </c>
      <c r="E136" s="436">
        <v>0.05</v>
      </c>
      <c r="F136" s="1052">
        <f t="shared" si="9"/>
        <v>22900000</v>
      </c>
      <c r="G136" s="233"/>
      <c r="H136" s="233"/>
      <c r="I136" s="1062"/>
      <c r="J136" s="1063"/>
      <c r="K136" s="4414"/>
      <c r="L136" s="4414"/>
      <c r="M136" s="4647"/>
    </row>
    <row r="137" spans="1:13" ht="30" customHeight="1" x14ac:dyDescent="0.2">
      <c r="A137" s="4464"/>
      <c r="B137" s="4488"/>
      <c r="C137" s="4540"/>
      <c r="D137" s="1052">
        <v>10000000</v>
      </c>
      <c r="E137" s="436">
        <v>7.0000000000000007E-2</v>
      </c>
      <c r="F137" s="1052">
        <f t="shared" si="9"/>
        <v>700000.00000000012</v>
      </c>
      <c r="G137" s="233"/>
      <c r="H137" s="233"/>
      <c r="I137" s="1062"/>
      <c r="J137" s="1063"/>
      <c r="K137" s="4414"/>
      <c r="L137" s="4414"/>
      <c r="M137" s="4647"/>
    </row>
    <row r="138" spans="1:13" ht="30" customHeight="1" x14ac:dyDescent="0.2">
      <c r="A138" s="4464"/>
      <c r="B138" s="4488"/>
      <c r="C138" s="4540"/>
      <c r="D138" s="1052">
        <v>42000000</v>
      </c>
      <c r="E138" s="436">
        <v>7.0000000000000007E-2</v>
      </c>
      <c r="F138" s="1052">
        <f t="shared" si="9"/>
        <v>2940000.0000000005</v>
      </c>
      <c r="G138" s="233"/>
      <c r="H138" s="233"/>
      <c r="I138" s="233"/>
      <c r="J138" s="233"/>
      <c r="K138" s="4414"/>
      <c r="L138" s="4414"/>
      <c r="M138" s="1059" t="s">
        <v>1751</v>
      </c>
    </row>
    <row r="139" spans="1:13" ht="30" customHeight="1" x14ac:dyDescent="0.2">
      <c r="A139" s="4460"/>
      <c r="B139" s="4488"/>
      <c r="C139" s="4540"/>
      <c r="D139" s="1110">
        <f>SUM(D135:D138)</f>
        <v>710000000</v>
      </c>
      <c r="E139" s="1113"/>
      <c r="F139" s="1110">
        <v>42600000</v>
      </c>
      <c r="G139" s="968"/>
      <c r="H139" s="968"/>
      <c r="I139" s="989"/>
      <c r="J139" s="987"/>
      <c r="K139" s="4414"/>
      <c r="L139" s="4414"/>
      <c r="M139" s="1059"/>
    </row>
    <row r="140" spans="1:13" ht="30" customHeight="1" x14ac:dyDescent="0.2">
      <c r="A140" s="1108"/>
      <c r="B140" s="4488"/>
      <c r="C140" s="4540"/>
      <c r="D140" s="1119">
        <f>D139+107400000</f>
        <v>817400000</v>
      </c>
      <c r="E140" s="1120"/>
      <c r="F140" s="1119"/>
      <c r="G140" s="4469" t="s">
        <v>2679</v>
      </c>
      <c r="H140" s="4470"/>
      <c r="I140" s="4470"/>
      <c r="J140" s="4471"/>
      <c r="K140" s="1109"/>
      <c r="L140" s="1109"/>
      <c r="M140" s="1112"/>
    </row>
    <row r="141" spans="1:13" ht="30" customHeight="1" x14ac:dyDescent="0.2">
      <c r="A141" s="1108"/>
      <c r="B141" s="4488"/>
      <c r="C141" s="4540"/>
      <c r="D141" s="1119">
        <f>D140+L135</f>
        <v>850000000</v>
      </c>
      <c r="E141" s="1120"/>
      <c r="F141" s="1119"/>
      <c r="G141" s="4469" t="s">
        <v>2680</v>
      </c>
      <c r="H141" s="4470"/>
      <c r="I141" s="4470"/>
      <c r="J141" s="4471"/>
      <c r="K141" s="1109"/>
      <c r="L141" s="1109"/>
      <c r="M141" s="1112"/>
    </row>
    <row r="142" spans="1:13" ht="30" customHeight="1" x14ac:dyDescent="0.2">
      <c r="A142" s="1108"/>
      <c r="B142" s="4458"/>
      <c r="C142" s="4538"/>
      <c r="D142" s="1119">
        <v>850000000</v>
      </c>
      <c r="E142" s="1120">
        <f>F142/D142</f>
        <v>6.1647058823529409E-2</v>
      </c>
      <c r="F142" s="1119">
        <v>52400000</v>
      </c>
      <c r="G142" s="4593" t="s">
        <v>2734</v>
      </c>
      <c r="H142" s="4594"/>
      <c r="I142" s="4594"/>
      <c r="J142" s="4595"/>
      <c r="K142" s="1109"/>
      <c r="L142" s="1109"/>
      <c r="M142" s="1112"/>
    </row>
    <row r="143" spans="1:13" ht="30" customHeight="1" x14ac:dyDescent="0.2">
      <c r="A143" s="1001">
        <v>86</v>
      </c>
      <c r="B143" s="4457" t="s">
        <v>217</v>
      </c>
      <c r="C143" s="4537" t="s">
        <v>889</v>
      </c>
      <c r="D143" s="1552">
        <v>105000000</v>
      </c>
      <c r="E143" s="1555">
        <v>0.05</v>
      </c>
      <c r="F143" s="1552">
        <f t="shared" si="9"/>
        <v>5250000</v>
      </c>
      <c r="G143" s="968">
        <v>2250000</v>
      </c>
      <c r="H143" s="968" t="s">
        <v>2577</v>
      </c>
      <c r="I143" s="984" t="s">
        <v>2600</v>
      </c>
      <c r="J143" s="983" t="s">
        <v>2601</v>
      </c>
      <c r="K143" s="1074">
        <f>G143</f>
        <v>2250000</v>
      </c>
      <c r="L143" s="1071">
        <f>F143-K143</f>
        <v>3000000</v>
      </c>
      <c r="M143" s="1048"/>
    </row>
    <row r="144" spans="1:13" ht="30" customHeight="1" x14ac:dyDescent="0.2">
      <c r="A144" s="1551"/>
      <c r="B144" s="4458"/>
      <c r="C144" s="4538"/>
      <c r="D144" s="1552">
        <v>108000000</v>
      </c>
      <c r="E144" s="1555">
        <v>0.05</v>
      </c>
      <c r="F144" s="1552">
        <f>D144*E144</f>
        <v>5400000</v>
      </c>
      <c r="G144" s="4469" t="s">
        <v>3397</v>
      </c>
      <c r="H144" s="4470"/>
      <c r="I144" s="4470"/>
      <c r="J144" s="4470"/>
      <c r="K144" s="4471"/>
      <c r="L144" s="1553"/>
      <c r="M144" s="1572"/>
    </row>
    <row r="145" spans="1:17" ht="30" customHeight="1" x14ac:dyDescent="0.2">
      <c r="A145" s="963"/>
      <c r="B145" s="961" t="s">
        <v>174</v>
      </c>
      <c r="C145" s="982"/>
      <c r="D145" s="1253">
        <v>723000000</v>
      </c>
      <c r="E145" s="1265"/>
      <c r="F145" s="1253"/>
      <c r="G145" s="1253">
        <v>43000000</v>
      </c>
      <c r="H145" s="1253" t="s">
        <v>2713</v>
      </c>
      <c r="I145" s="1262" t="s">
        <v>3060</v>
      </c>
      <c r="J145" s="18" t="s">
        <v>3061</v>
      </c>
      <c r="K145" s="1253">
        <f>G145</f>
        <v>43000000</v>
      </c>
      <c r="L145" s="968">
        <f>43000000-K145</f>
        <v>0</v>
      </c>
      <c r="M145" s="4666" t="s">
        <v>2360</v>
      </c>
      <c r="N145" s="4667"/>
      <c r="O145" s="4667"/>
      <c r="P145" s="4667"/>
      <c r="Q145" s="4668"/>
    </row>
    <row r="146" spans="1:17" ht="30" customHeight="1" x14ac:dyDescent="0.2">
      <c r="A146" s="1001">
        <v>88</v>
      </c>
      <c r="B146" s="1000" t="s">
        <v>218</v>
      </c>
      <c r="C146" s="982" t="s">
        <v>1295</v>
      </c>
      <c r="D146" s="968">
        <v>45000000</v>
      </c>
      <c r="E146" s="996">
        <v>0.04</v>
      </c>
      <c r="F146" s="968">
        <v>2050000</v>
      </c>
      <c r="G146" s="968">
        <v>2050000</v>
      </c>
      <c r="H146" s="1092" t="s">
        <v>2553</v>
      </c>
      <c r="I146" s="984" t="s">
        <v>2570</v>
      </c>
      <c r="J146" s="18" t="s">
        <v>2571</v>
      </c>
      <c r="K146" s="968">
        <f>G146</f>
        <v>2050000</v>
      </c>
      <c r="L146" s="968">
        <f t="shared" si="11"/>
        <v>0</v>
      </c>
      <c r="M146" s="1000"/>
    </row>
    <row r="147" spans="1:17" ht="30" customHeight="1" x14ac:dyDescent="0.2">
      <c r="A147" s="4459">
        <v>89</v>
      </c>
      <c r="B147" s="4457" t="s">
        <v>219</v>
      </c>
      <c r="C147" s="4537" t="s">
        <v>1293</v>
      </c>
      <c r="D147" s="1456">
        <v>93000000</v>
      </c>
      <c r="E147" s="996">
        <v>7.0000000000000007E-2</v>
      </c>
      <c r="F147" s="983">
        <v>6500000</v>
      </c>
      <c r="G147" s="1097">
        <v>20000000</v>
      </c>
      <c r="H147" s="1097" t="s">
        <v>2656</v>
      </c>
      <c r="I147" s="1104" t="s">
        <v>2665</v>
      </c>
      <c r="J147" s="39" t="s">
        <v>2666</v>
      </c>
      <c r="K147" s="4413">
        <f>G147+G148</f>
        <v>22500000</v>
      </c>
      <c r="L147" s="4413">
        <f>(F147+F148)-K147</f>
        <v>0</v>
      </c>
      <c r="M147" s="4599"/>
    </row>
    <row r="148" spans="1:17" ht="30" customHeight="1" x14ac:dyDescent="0.2">
      <c r="A148" s="4464"/>
      <c r="B148" s="4488"/>
      <c r="C148" s="4540"/>
      <c r="D148" s="1438">
        <v>350000000</v>
      </c>
      <c r="E148" s="996">
        <v>4.4999999999999998E-2</v>
      </c>
      <c r="F148" s="983">
        <v>16000000</v>
      </c>
      <c r="G148" s="1097">
        <v>2500000</v>
      </c>
      <c r="H148" s="1097" t="s">
        <v>2656</v>
      </c>
      <c r="I148" s="1104" t="s">
        <v>2667</v>
      </c>
      <c r="J148" s="39" t="s">
        <v>2668</v>
      </c>
      <c r="K148" s="4415"/>
      <c r="L148" s="4415"/>
      <c r="M148" s="4607"/>
    </row>
    <row r="149" spans="1:17" ht="30" customHeight="1" x14ac:dyDescent="0.2">
      <c r="A149" s="4464"/>
      <c r="B149" s="4488"/>
      <c r="C149" s="4540"/>
      <c r="D149" s="1438">
        <v>100000000</v>
      </c>
      <c r="E149" s="1325"/>
      <c r="F149" s="1312"/>
      <c r="G149" s="4623" t="s">
        <v>3165</v>
      </c>
      <c r="H149" s="4624"/>
      <c r="I149" s="4624"/>
      <c r="J149" s="4625"/>
      <c r="K149" s="1315"/>
      <c r="L149" s="1315"/>
      <c r="M149" s="1326"/>
    </row>
    <row r="150" spans="1:17" ht="30" customHeight="1" x14ac:dyDescent="0.2">
      <c r="A150" s="4464"/>
      <c r="B150" s="4488"/>
      <c r="C150" s="4540"/>
      <c r="D150" s="1312"/>
      <c r="E150" s="1325"/>
      <c r="F150" s="1312"/>
      <c r="G150" s="4629" t="s">
        <v>3318</v>
      </c>
      <c r="H150" s="4630"/>
      <c r="I150" s="4630"/>
      <c r="J150" s="4631"/>
      <c r="K150" s="1315"/>
      <c r="L150" s="1315"/>
      <c r="M150" s="1326"/>
    </row>
    <row r="151" spans="1:17" ht="30" customHeight="1" x14ac:dyDescent="0.2">
      <c r="A151" s="4464"/>
      <c r="B151" s="4488"/>
      <c r="C151" s="4540"/>
      <c r="D151" s="1401">
        <v>93000000</v>
      </c>
      <c r="E151" s="1433">
        <v>7.0000000000000007E-2</v>
      </c>
      <c r="F151" s="1420">
        <v>6500000</v>
      </c>
      <c r="G151" s="4744" t="s">
        <v>3319</v>
      </c>
      <c r="H151" s="4745"/>
      <c r="I151" s="4745"/>
      <c r="J151" s="4746"/>
      <c r="K151" s="1406"/>
      <c r="L151" s="1406"/>
      <c r="M151" s="1430"/>
    </row>
    <row r="152" spans="1:17" ht="30" customHeight="1" x14ac:dyDescent="0.2">
      <c r="A152" s="4460"/>
      <c r="B152" s="4458"/>
      <c r="C152" s="4538"/>
      <c r="D152" s="1401">
        <v>450000000</v>
      </c>
      <c r="E152" s="1433">
        <v>0.05</v>
      </c>
      <c r="F152" s="1407">
        <f>D152*E152</f>
        <v>22500000</v>
      </c>
      <c r="G152" s="4747"/>
      <c r="H152" s="4748"/>
      <c r="I152" s="4748"/>
      <c r="J152" s="4749"/>
      <c r="K152" s="1406"/>
      <c r="L152" s="1406"/>
      <c r="M152" s="1430"/>
    </row>
    <row r="153" spans="1:17" ht="30" customHeight="1" x14ac:dyDescent="0.2">
      <c r="A153" s="4459">
        <v>90</v>
      </c>
      <c r="B153" s="4457" t="s">
        <v>220</v>
      </c>
      <c r="C153" s="4537" t="s">
        <v>1172</v>
      </c>
      <c r="D153" s="968">
        <v>130000000</v>
      </c>
      <c r="E153" s="996">
        <v>7.0000000000000007E-2</v>
      </c>
      <c r="F153" s="968">
        <f>D153*E153</f>
        <v>9100000</v>
      </c>
      <c r="G153" s="4413">
        <v>14460000</v>
      </c>
      <c r="H153" s="4413" t="s">
        <v>2713</v>
      </c>
      <c r="I153" s="4545" t="s">
        <v>2775</v>
      </c>
      <c r="J153" s="4478" t="s">
        <v>762</v>
      </c>
      <c r="K153" s="4413">
        <f>G153</f>
        <v>14460000</v>
      </c>
      <c r="L153" s="4413">
        <f>(F153+F154)-K153</f>
        <v>0</v>
      </c>
      <c r="M153" s="4599"/>
    </row>
    <row r="154" spans="1:17" ht="30" customHeight="1" x14ac:dyDescent="0.2">
      <c r="A154" s="4460"/>
      <c r="B154" s="4458"/>
      <c r="C154" s="4538"/>
      <c r="D154" s="968">
        <v>100000000</v>
      </c>
      <c r="E154" s="996">
        <v>5.3999999999999999E-2</v>
      </c>
      <c r="F154" s="968">
        <v>5360000</v>
      </c>
      <c r="G154" s="4415"/>
      <c r="H154" s="4415"/>
      <c r="I154" s="4546"/>
      <c r="J154" s="4479"/>
      <c r="K154" s="4415"/>
      <c r="L154" s="4415"/>
      <c r="M154" s="4607"/>
    </row>
    <row r="155" spans="1:17" ht="30" customHeight="1" x14ac:dyDescent="0.2">
      <c r="A155" s="1001">
        <v>91</v>
      </c>
      <c r="B155" s="1000" t="s">
        <v>221</v>
      </c>
      <c r="C155" s="982"/>
      <c r="D155" s="968">
        <v>50000000</v>
      </c>
      <c r="E155" s="996">
        <v>0.05</v>
      </c>
      <c r="F155" s="968">
        <f t="shared" si="9"/>
        <v>2500000</v>
      </c>
      <c r="G155" s="968">
        <v>2500000</v>
      </c>
      <c r="H155" s="968" t="s">
        <v>2211</v>
      </c>
      <c r="I155" s="984" t="s">
        <v>2621</v>
      </c>
      <c r="J155" s="18" t="s">
        <v>1572</v>
      </c>
      <c r="K155" s="968">
        <f>G155</f>
        <v>2500000</v>
      </c>
      <c r="L155" s="968">
        <f t="shared" si="11"/>
        <v>0</v>
      </c>
      <c r="M155" s="1000"/>
    </row>
    <row r="156" spans="1:17" ht="30" customHeight="1" x14ac:dyDescent="0.2">
      <c r="A156" s="4459">
        <v>92</v>
      </c>
      <c r="B156" s="4615" t="s">
        <v>749</v>
      </c>
      <c r="C156" s="995" t="s">
        <v>889</v>
      </c>
      <c r="D156" s="983">
        <v>450000000</v>
      </c>
      <c r="E156" s="996">
        <v>5.5E-2</v>
      </c>
      <c r="F156" s="983">
        <v>24400000</v>
      </c>
      <c r="G156" s="983">
        <v>24150000</v>
      </c>
      <c r="H156" s="983" t="s">
        <v>2705</v>
      </c>
      <c r="I156" s="380" t="s">
        <v>2716</v>
      </c>
      <c r="J156" s="999" t="s">
        <v>801</v>
      </c>
      <c r="K156" s="4413">
        <f>G156+G157</f>
        <v>24400000</v>
      </c>
      <c r="L156" s="4413">
        <f t="shared" si="11"/>
        <v>0</v>
      </c>
      <c r="M156" s="1002" t="s">
        <v>2022</v>
      </c>
    </row>
    <row r="157" spans="1:17" ht="30" customHeight="1" x14ac:dyDescent="0.2">
      <c r="A157" s="4464"/>
      <c r="B157" s="4615"/>
      <c r="C157" s="1269"/>
      <c r="D157" s="1253"/>
      <c r="E157" s="1256"/>
      <c r="F157" s="1253"/>
      <c r="G157" s="1253">
        <v>250000</v>
      </c>
      <c r="H157" s="4413" t="s">
        <v>2897</v>
      </c>
      <c r="I157" s="4555">
        <v>37557</v>
      </c>
      <c r="J157" s="4478" t="s">
        <v>3009</v>
      </c>
      <c r="K157" s="4415"/>
      <c r="L157" s="4415"/>
      <c r="M157" s="1267"/>
    </row>
    <row r="158" spans="1:17" ht="30" customHeight="1" x14ac:dyDescent="0.2">
      <c r="A158" s="4460"/>
      <c r="B158" s="4615"/>
      <c r="C158" s="995" t="s">
        <v>1287</v>
      </c>
      <c r="D158" s="968">
        <v>273000000</v>
      </c>
      <c r="E158" s="965">
        <f>F158/D158</f>
        <v>5.4615384615384614E-2</v>
      </c>
      <c r="F158" s="968">
        <v>14910000</v>
      </c>
      <c r="G158" s="968">
        <f>14910000</f>
        <v>14910000</v>
      </c>
      <c r="H158" s="4415"/>
      <c r="I158" s="4557"/>
      <c r="J158" s="4479"/>
      <c r="K158" s="968">
        <f>G158</f>
        <v>14910000</v>
      </c>
      <c r="L158" s="968">
        <f>F158-K158</f>
        <v>0</v>
      </c>
      <c r="M158" s="1003"/>
    </row>
    <row r="159" spans="1:17" ht="30" customHeight="1" x14ac:dyDescent="0.2">
      <c r="A159" s="4459">
        <v>93</v>
      </c>
      <c r="B159" s="4457" t="s">
        <v>222</v>
      </c>
      <c r="C159" s="4537" t="s">
        <v>889</v>
      </c>
      <c r="D159" s="968">
        <v>300000000</v>
      </c>
      <c r="E159" s="965">
        <v>5.5E-2</v>
      </c>
      <c r="F159" s="968">
        <f t="shared" si="9"/>
        <v>16500000</v>
      </c>
      <c r="G159" s="968">
        <v>16500000</v>
      </c>
      <c r="H159" s="4413" t="s">
        <v>2553</v>
      </c>
      <c r="I159" s="4555" t="s">
        <v>2681</v>
      </c>
      <c r="J159" s="4478" t="s">
        <v>2682</v>
      </c>
      <c r="K159" s="1117">
        <f>G159</f>
        <v>16500000</v>
      </c>
      <c r="L159" s="968">
        <f t="shared" si="11"/>
        <v>0</v>
      </c>
      <c r="M159" s="4599"/>
    </row>
    <row r="160" spans="1:17" ht="30" customHeight="1" x14ac:dyDescent="0.2">
      <c r="A160" s="4464"/>
      <c r="B160" s="4488"/>
      <c r="C160" s="4540"/>
      <c r="D160" s="4325" t="s">
        <v>2684</v>
      </c>
      <c r="E160" s="4326"/>
      <c r="F160" s="4563"/>
      <c r="G160" s="1116">
        <v>75000000</v>
      </c>
      <c r="H160" s="4415"/>
      <c r="I160" s="4557"/>
      <c r="J160" s="4479"/>
      <c r="K160" s="4322">
        <f>G160+G161</f>
        <v>150000000</v>
      </c>
      <c r="L160" s="4413"/>
      <c r="M160" s="4600"/>
    </row>
    <row r="161" spans="1:13" ht="30" customHeight="1" x14ac:dyDescent="0.2">
      <c r="A161" s="4464"/>
      <c r="B161" s="4488"/>
      <c r="C161" s="4540"/>
      <c r="D161" s="4564"/>
      <c r="E161" s="4596"/>
      <c r="F161" s="4565"/>
      <c r="G161" s="1116">
        <v>75000000</v>
      </c>
      <c r="H161" s="1116" t="s">
        <v>2508</v>
      </c>
      <c r="I161" s="1118" t="s">
        <v>2683</v>
      </c>
      <c r="J161" s="21" t="s">
        <v>2682</v>
      </c>
      <c r="K161" s="4322"/>
      <c r="L161" s="4415"/>
      <c r="M161" s="4600"/>
    </row>
    <row r="162" spans="1:13" ht="30" customHeight="1" x14ac:dyDescent="0.2">
      <c r="A162" s="4460"/>
      <c r="B162" s="4458"/>
      <c r="C162" s="4538"/>
      <c r="D162" s="1117">
        <v>150000000</v>
      </c>
      <c r="E162" s="2969">
        <v>5.5E-2</v>
      </c>
      <c r="F162" s="1117">
        <f>D162*E162</f>
        <v>8250000</v>
      </c>
      <c r="G162" s="1116"/>
      <c r="H162" s="4623" t="s">
        <v>2685</v>
      </c>
      <c r="I162" s="4624"/>
      <c r="J162" s="4624"/>
      <c r="K162" s="4625"/>
      <c r="L162" s="1116"/>
      <c r="M162" s="4607"/>
    </row>
    <row r="163" spans="1:13" ht="30" customHeight="1" x14ac:dyDescent="0.2">
      <c r="A163" s="1001">
        <v>94</v>
      </c>
      <c r="B163" s="1000" t="s">
        <v>1144</v>
      </c>
      <c r="C163" s="982"/>
      <c r="D163" s="968">
        <v>25000000</v>
      </c>
      <c r="E163" s="996">
        <v>0.04</v>
      </c>
      <c r="F163" s="968">
        <f>D163*E163</f>
        <v>1000000</v>
      </c>
      <c r="G163" s="968">
        <v>1000000</v>
      </c>
      <c r="H163" s="968" t="s">
        <v>2689</v>
      </c>
      <c r="I163" s="984" t="s">
        <v>2760</v>
      </c>
      <c r="J163" s="21" t="s">
        <v>2761</v>
      </c>
      <c r="K163" s="968">
        <f>G163</f>
        <v>1000000</v>
      </c>
      <c r="L163" s="968">
        <f>F163-K163</f>
        <v>0</v>
      </c>
      <c r="M163" s="1000" t="s">
        <v>1442</v>
      </c>
    </row>
    <row r="164" spans="1:13" ht="30" customHeight="1" x14ac:dyDescent="0.2">
      <c r="A164" s="1001">
        <v>95</v>
      </c>
      <c r="B164" s="1000" t="s">
        <v>223</v>
      </c>
      <c r="C164" s="982"/>
      <c r="D164" s="968">
        <v>350000000</v>
      </c>
      <c r="E164" s="996">
        <v>0.05</v>
      </c>
      <c r="F164" s="968">
        <f t="shared" si="9"/>
        <v>17500000</v>
      </c>
      <c r="G164" s="968">
        <v>17500000</v>
      </c>
      <c r="H164" s="968" t="s">
        <v>2211</v>
      </c>
      <c r="I164" s="984" t="s">
        <v>2625</v>
      </c>
      <c r="J164" s="21" t="s">
        <v>1581</v>
      </c>
      <c r="K164" s="968">
        <f>G164</f>
        <v>17500000</v>
      </c>
      <c r="L164" s="968">
        <f t="shared" si="11"/>
        <v>0</v>
      </c>
      <c r="M164" s="1000" t="s">
        <v>1579</v>
      </c>
    </row>
    <row r="165" spans="1:13" ht="30" customHeight="1" x14ac:dyDescent="0.2">
      <c r="A165" s="1001">
        <v>96</v>
      </c>
      <c r="B165" s="1000" t="s">
        <v>224</v>
      </c>
      <c r="C165" s="982"/>
      <c r="D165" s="968">
        <v>70000000</v>
      </c>
      <c r="E165" s="996">
        <v>0.05</v>
      </c>
      <c r="F165" s="968">
        <f t="shared" si="9"/>
        <v>3500000</v>
      </c>
      <c r="G165" s="968">
        <v>3500000</v>
      </c>
      <c r="H165" s="968" t="s">
        <v>2211</v>
      </c>
      <c r="I165" s="984" t="s">
        <v>2620</v>
      </c>
      <c r="J165" s="983" t="s">
        <v>1440</v>
      </c>
      <c r="K165" s="968">
        <f>F165</f>
        <v>3500000</v>
      </c>
      <c r="L165" s="968">
        <f t="shared" si="11"/>
        <v>0</v>
      </c>
      <c r="M165" s="1000"/>
    </row>
    <row r="166" spans="1:13" ht="30" customHeight="1" x14ac:dyDescent="0.2">
      <c r="A166" s="1001">
        <v>97</v>
      </c>
      <c r="B166" s="1000" t="s">
        <v>225</v>
      </c>
      <c r="C166" s="982"/>
      <c r="D166" s="968">
        <v>100000000</v>
      </c>
      <c r="E166" s="996">
        <v>0.04</v>
      </c>
      <c r="F166" s="968">
        <f t="shared" si="9"/>
        <v>4000000</v>
      </c>
      <c r="G166" s="968"/>
      <c r="H166" s="968"/>
      <c r="I166" s="984"/>
      <c r="J166" s="21"/>
      <c r="K166" s="968"/>
      <c r="L166" s="968">
        <f t="shared" si="11"/>
        <v>4000000</v>
      </c>
      <c r="M166" s="1000"/>
    </row>
    <row r="167" spans="1:13" ht="30" customHeight="1" x14ac:dyDescent="0.2">
      <c r="A167" s="1001">
        <v>98</v>
      </c>
      <c r="B167" s="1000" t="s">
        <v>226</v>
      </c>
      <c r="C167" s="982"/>
      <c r="D167" s="968">
        <v>20000000</v>
      </c>
      <c r="E167" s="996">
        <v>0.05</v>
      </c>
      <c r="F167" s="968">
        <f t="shared" si="9"/>
        <v>1000000</v>
      </c>
      <c r="G167" s="968">
        <v>1000000</v>
      </c>
      <c r="H167" s="968" t="s">
        <v>3004</v>
      </c>
      <c r="I167" s="984" t="s">
        <v>3052</v>
      </c>
      <c r="J167" s="983" t="s">
        <v>789</v>
      </c>
      <c r="K167" s="968">
        <f>G167</f>
        <v>1000000</v>
      </c>
      <c r="L167" s="968">
        <f t="shared" si="11"/>
        <v>0</v>
      </c>
      <c r="M167" s="1000"/>
    </row>
    <row r="168" spans="1:13" ht="30" customHeight="1" x14ac:dyDescent="0.2">
      <c r="A168" s="1001">
        <v>99</v>
      </c>
      <c r="B168" s="1000" t="s">
        <v>227</v>
      </c>
      <c r="C168" s="982" t="s">
        <v>1297</v>
      </c>
      <c r="D168" s="968">
        <v>100000000</v>
      </c>
      <c r="E168" s="996">
        <v>0.04</v>
      </c>
      <c r="F168" s="968">
        <f t="shared" si="9"/>
        <v>4000000</v>
      </c>
      <c r="G168" s="968">
        <v>4000000</v>
      </c>
      <c r="H168" s="1035" t="s">
        <v>2553</v>
      </c>
      <c r="I168" s="984" t="s">
        <v>2561</v>
      </c>
      <c r="J168" s="83" t="s">
        <v>2562</v>
      </c>
      <c r="K168" s="968">
        <f>G168</f>
        <v>4000000</v>
      </c>
      <c r="L168" s="968">
        <f t="shared" si="11"/>
        <v>0</v>
      </c>
      <c r="M168" s="1000"/>
    </row>
    <row r="169" spans="1:13" ht="30" customHeight="1" x14ac:dyDescent="0.2">
      <c r="A169" s="1001">
        <v>100</v>
      </c>
      <c r="B169" s="1000" t="s">
        <v>228</v>
      </c>
      <c r="C169" s="982" t="s">
        <v>392</v>
      </c>
      <c r="D169" s="1196">
        <v>101000000</v>
      </c>
      <c r="E169" s="1204">
        <v>5.0999999999999997E-2</v>
      </c>
      <c r="F169" s="1196">
        <v>5100000</v>
      </c>
      <c r="G169" s="1196">
        <v>5100000</v>
      </c>
      <c r="H169" s="1196" t="s">
        <v>1916</v>
      </c>
      <c r="I169" s="1201" t="s">
        <v>2859</v>
      </c>
      <c r="J169" s="21" t="s">
        <v>2860</v>
      </c>
      <c r="K169" s="1196">
        <f>G169</f>
        <v>5100000</v>
      </c>
      <c r="L169" s="1196">
        <f t="shared" si="11"/>
        <v>0</v>
      </c>
      <c r="M169" s="1000"/>
    </row>
    <row r="170" spans="1:13" ht="30" customHeight="1" x14ac:dyDescent="0.2">
      <c r="A170" s="4614">
        <v>101</v>
      </c>
      <c r="B170" s="4687" t="s">
        <v>177</v>
      </c>
      <c r="C170" s="4620" t="s">
        <v>1080</v>
      </c>
      <c r="D170" s="4322">
        <v>80000000</v>
      </c>
      <c r="E170" s="4608">
        <v>0.06</v>
      </c>
      <c r="F170" s="4413">
        <f t="shared" si="9"/>
        <v>4800000</v>
      </c>
      <c r="G170" s="968">
        <v>4000000</v>
      </c>
      <c r="H170" s="968" t="s">
        <v>2705</v>
      </c>
      <c r="I170" s="984" t="s">
        <v>2722</v>
      </c>
      <c r="J170" s="983" t="s">
        <v>2723</v>
      </c>
      <c r="K170" s="4413">
        <f>G170+G171</f>
        <v>4800000</v>
      </c>
      <c r="L170" s="4413">
        <f t="shared" si="11"/>
        <v>0</v>
      </c>
      <c r="M170" s="4643" t="s">
        <v>1712</v>
      </c>
    </row>
    <row r="171" spans="1:13" ht="30" customHeight="1" x14ac:dyDescent="0.2">
      <c r="A171" s="4614"/>
      <c r="B171" s="4687"/>
      <c r="C171" s="4620"/>
      <c r="D171" s="4322"/>
      <c r="E171" s="4608"/>
      <c r="F171" s="4415"/>
      <c r="G171" s="1151">
        <v>800000</v>
      </c>
      <c r="H171" s="1151" t="s">
        <v>2713</v>
      </c>
      <c r="I171" s="1161" t="s">
        <v>2774</v>
      </c>
      <c r="J171" s="1160" t="s">
        <v>793</v>
      </c>
      <c r="K171" s="4415"/>
      <c r="L171" s="4415"/>
      <c r="M171" s="4644"/>
    </row>
    <row r="172" spans="1:13" ht="30" customHeight="1" x14ac:dyDescent="0.2">
      <c r="A172" s="4614"/>
      <c r="B172" s="4687"/>
      <c r="C172" s="4620"/>
      <c r="D172" s="1383">
        <v>13000000</v>
      </c>
      <c r="E172" s="1299">
        <v>0.05</v>
      </c>
      <c r="F172" s="1396">
        <f>D172*E172</f>
        <v>650000</v>
      </c>
      <c r="G172" s="1400"/>
      <c r="H172" s="4623" t="s">
        <v>3303</v>
      </c>
      <c r="I172" s="4624"/>
      <c r="J172" s="4624"/>
      <c r="K172" s="4625"/>
      <c r="L172" s="1394"/>
      <c r="M172" s="1398"/>
    </row>
    <row r="173" spans="1:13" ht="30" customHeight="1" x14ac:dyDescent="0.2">
      <c r="A173" s="4614"/>
      <c r="B173" s="4687"/>
      <c r="C173" s="4620"/>
      <c r="D173" s="1383">
        <v>80000000</v>
      </c>
      <c r="E173" s="1299">
        <v>0.06</v>
      </c>
      <c r="F173" s="1396">
        <f>D173*E173</f>
        <v>4800000</v>
      </c>
      <c r="G173" s="1394"/>
      <c r="H173" s="4623" t="s">
        <v>3344</v>
      </c>
      <c r="I173" s="4624"/>
      <c r="J173" s="4624"/>
      <c r="K173" s="4625"/>
      <c r="L173" s="1394"/>
      <c r="M173" s="1398"/>
    </row>
    <row r="174" spans="1:13" ht="30" customHeight="1" x14ac:dyDescent="0.2">
      <c r="A174" s="4614"/>
      <c r="B174" s="4687"/>
      <c r="C174" s="4620"/>
      <c r="D174" s="1383"/>
      <c r="E174" s="1299"/>
      <c r="F174" s="1425"/>
      <c r="G174" s="1407">
        <v>5235000</v>
      </c>
      <c r="H174" s="1407">
        <v>5235000</v>
      </c>
      <c r="I174" s="1422" t="s">
        <v>3305</v>
      </c>
      <c r="J174" s="1420" t="s">
        <v>3345</v>
      </c>
      <c r="K174" s="1417">
        <f>G174</f>
        <v>5235000</v>
      </c>
      <c r="L174" s="1407"/>
      <c r="M174" s="1432" t="s">
        <v>3346</v>
      </c>
    </row>
    <row r="175" spans="1:13" ht="30" customHeight="1" x14ac:dyDescent="0.2">
      <c r="A175" s="1178"/>
      <c r="B175" s="1395" t="s">
        <v>2825</v>
      </c>
      <c r="C175" s="1427" t="s">
        <v>889</v>
      </c>
      <c r="D175" s="1413">
        <v>200000000</v>
      </c>
      <c r="E175" s="1414">
        <v>0.06</v>
      </c>
      <c r="F175" s="1413">
        <f t="shared" si="9"/>
        <v>12000000</v>
      </c>
      <c r="G175" s="1413"/>
      <c r="H175" s="1413"/>
      <c r="I175" s="786"/>
      <c r="J175" s="1415"/>
      <c r="K175" s="1413"/>
      <c r="L175" s="1413"/>
      <c r="M175" s="119"/>
    </row>
    <row r="176" spans="1:13" ht="30" customHeight="1" x14ac:dyDescent="0.2">
      <c r="A176" s="4459">
        <v>102</v>
      </c>
      <c r="B176" s="4457" t="s">
        <v>229</v>
      </c>
      <c r="C176" s="4537"/>
      <c r="D176" s="4413">
        <v>30000000</v>
      </c>
      <c r="E176" s="4476">
        <v>0.05</v>
      </c>
      <c r="F176" s="4413">
        <f t="shared" si="9"/>
        <v>1500000</v>
      </c>
      <c r="G176" s="968">
        <v>1500000</v>
      </c>
      <c r="H176" s="968" t="s">
        <v>3298</v>
      </c>
      <c r="I176" s="984" t="s">
        <v>3299</v>
      </c>
      <c r="J176" s="26" t="s">
        <v>478</v>
      </c>
      <c r="K176" s="968">
        <f>G176</f>
        <v>1500000</v>
      </c>
      <c r="L176" s="968">
        <f>F176-K176</f>
        <v>0</v>
      </c>
      <c r="M176" s="4643" t="s">
        <v>3307</v>
      </c>
    </row>
    <row r="177" spans="1:13" ht="30" customHeight="1" x14ac:dyDescent="0.2">
      <c r="A177" s="4464"/>
      <c r="B177" s="4488"/>
      <c r="C177" s="4540"/>
      <c r="D177" s="4415"/>
      <c r="E177" s="4477"/>
      <c r="F177" s="4415"/>
      <c r="G177" s="1420">
        <v>30000000</v>
      </c>
      <c r="H177" s="1420" t="s">
        <v>3305</v>
      </c>
      <c r="I177" s="1437" t="s">
        <v>3306</v>
      </c>
      <c r="J177" s="26" t="s">
        <v>1063</v>
      </c>
      <c r="K177" s="1420">
        <f>G177</f>
        <v>30000000</v>
      </c>
      <c r="L177" s="1407"/>
      <c r="M177" s="4647"/>
    </row>
    <row r="178" spans="1:13" ht="30" customHeight="1" x14ac:dyDescent="0.2">
      <c r="A178" s="4460"/>
      <c r="B178" s="4458"/>
      <c r="C178" s="4538"/>
      <c r="D178" s="968">
        <v>30000000</v>
      </c>
      <c r="E178" s="996">
        <v>4.4999999999999998E-2</v>
      </c>
      <c r="F178" s="968">
        <f t="shared" si="9"/>
        <v>1350000</v>
      </c>
      <c r="G178" s="4303" t="s">
        <v>3304</v>
      </c>
      <c r="H178" s="4324"/>
      <c r="I178" s="4324"/>
      <c r="J178" s="4324"/>
      <c r="K178" s="4355"/>
      <c r="L178" s="1407"/>
      <c r="M178" s="4644"/>
    </row>
    <row r="179" spans="1:13" ht="30" customHeight="1" x14ac:dyDescent="0.2">
      <c r="A179" s="4459">
        <v>103</v>
      </c>
      <c r="B179" s="4457" t="s">
        <v>230</v>
      </c>
      <c r="C179" s="4537" t="s">
        <v>1172</v>
      </c>
      <c r="D179" s="968">
        <v>17000000</v>
      </c>
      <c r="E179" s="996">
        <v>5.5E-2</v>
      </c>
      <c r="F179" s="968">
        <v>950000</v>
      </c>
      <c r="G179" s="968">
        <v>950000</v>
      </c>
      <c r="H179" s="968" t="s">
        <v>2211</v>
      </c>
      <c r="I179" s="984" t="s">
        <v>2613</v>
      </c>
      <c r="J179" s="18" t="s">
        <v>1551</v>
      </c>
      <c r="K179" s="968">
        <f>G179</f>
        <v>950000</v>
      </c>
      <c r="L179" s="968">
        <f t="shared" si="11"/>
        <v>0</v>
      </c>
      <c r="M179" s="1000"/>
    </row>
    <row r="180" spans="1:13" ht="30" customHeight="1" x14ac:dyDescent="0.2">
      <c r="A180" s="4460"/>
      <c r="B180" s="4458"/>
      <c r="C180" s="4538"/>
      <c r="D180" s="1081">
        <v>37000000</v>
      </c>
      <c r="E180" s="1082">
        <v>5.5E-2</v>
      </c>
      <c r="F180" s="1081">
        <f>D180*E180</f>
        <v>2035000</v>
      </c>
      <c r="G180" s="4593" t="s">
        <v>2628</v>
      </c>
      <c r="H180" s="4594"/>
      <c r="I180" s="4594"/>
      <c r="J180" s="4594"/>
      <c r="K180" s="4595"/>
      <c r="L180" s="1081"/>
      <c r="M180" s="1083" t="s">
        <v>3068</v>
      </c>
    </row>
    <row r="181" spans="1:13" ht="30" customHeight="1" x14ac:dyDescent="0.2">
      <c r="A181" s="1001">
        <v>104</v>
      </c>
      <c r="B181" s="1000" t="s">
        <v>231</v>
      </c>
      <c r="C181" s="982" t="s">
        <v>1172</v>
      </c>
      <c r="D181" s="968">
        <v>20000000</v>
      </c>
      <c r="E181" s="996">
        <v>0.05</v>
      </c>
      <c r="F181" s="968">
        <f t="shared" si="9"/>
        <v>1000000</v>
      </c>
      <c r="G181" s="968">
        <v>1000000</v>
      </c>
      <c r="H181" s="968" t="s">
        <v>2713</v>
      </c>
      <c r="I181" s="984" t="s">
        <v>2790</v>
      </c>
      <c r="J181" s="21" t="s">
        <v>1545</v>
      </c>
      <c r="K181" s="968">
        <f>G181</f>
        <v>1000000</v>
      </c>
      <c r="L181" s="968">
        <f t="shared" si="11"/>
        <v>0</v>
      </c>
      <c r="M181" s="1000"/>
    </row>
    <row r="182" spans="1:13" ht="30" customHeight="1" x14ac:dyDescent="0.2">
      <c r="A182" s="1001">
        <v>105</v>
      </c>
      <c r="B182" s="1000" t="s">
        <v>232</v>
      </c>
      <c r="C182" s="982"/>
      <c r="D182" s="974"/>
      <c r="E182" s="40"/>
      <c r="F182" s="974">
        <f t="shared" ref="F182:F221" si="13">D182*E182</f>
        <v>0</v>
      </c>
      <c r="G182" s="968">
        <v>1900000</v>
      </c>
      <c r="H182" s="968" t="s">
        <v>2577</v>
      </c>
      <c r="I182" s="984" t="s">
        <v>2608</v>
      </c>
      <c r="J182" s="21" t="s">
        <v>772</v>
      </c>
      <c r="K182" s="968">
        <f>G182</f>
        <v>1900000</v>
      </c>
      <c r="L182" s="974">
        <f t="shared" si="11"/>
        <v>-1900000</v>
      </c>
      <c r="M182" s="1000"/>
    </row>
    <row r="183" spans="1:13" ht="30" customHeight="1" x14ac:dyDescent="0.2">
      <c r="A183" s="1001">
        <v>106</v>
      </c>
      <c r="B183" s="1000" t="s">
        <v>233</v>
      </c>
      <c r="C183" s="982"/>
      <c r="D183" s="968">
        <v>100000000</v>
      </c>
      <c r="E183" s="996">
        <v>0.04</v>
      </c>
      <c r="F183" s="968">
        <f t="shared" si="13"/>
        <v>4000000</v>
      </c>
      <c r="G183" s="968">
        <v>4000000</v>
      </c>
      <c r="H183" s="968" t="s">
        <v>2634</v>
      </c>
      <c r="I183" s="984" t="s">
        <v>2638</v>
      </c>
      <c r="J183" s="983" t="s">
        <v>774</v>
      </c>
      <c r="K183" s="968">
        <f>F183</f>
        <v>4000000</v>
      </c>
      <c r="L183" s="968">
        <f t="shared" ref="L183:L221" si="14">F183-K183</f>
        <v>0</v>
      </c>
      <c r="M183" s="1000"/>
    </row>
    <row r="184" spans="1:13" ht="30" customHeight="1" x14ac:dyDescent="0.2">
      <c r="A184" s="1001">
        <v>107</v>
      </c>
      <c r="B184" s="1000" t="s">
        <v>234</v>
      </c>
      <c r="C184" s="982"/>
      <c r="D184" s="968">
        <v>65000000</v>
      </c>
      <c r="E184" s="996">
        <v>3.4000000000000002E-2</v>
      </c>
      <c r="F184" s="968">
        <v>2200000</v>
      </c>
      <c r="G184" s="968">
        <v>2200000</v>
      </c>
      <c r="H184" s="968" t="s">
        <v>2211</v>
      </c>
      <c r="I184" s="984" t="s">
        <v>2632</v>
      </c>
      <c r="J184" s="983" t="s">
        <v>1684</v>
      </c>
      <c r="K184" s="968">
        <f t="shared" ref="K184:K192" si="15">G184</f>
        <v>2200000</v>
      </c>
      <c r="L184" s="968">
        <f t="shared" si="14"/>
        <v>0</v>
      </c>
      <c r="M184" s="1000"/>
    </row>
    <row r="185" spans="1:13" ht="30" customHeight="1" x14ac:dyDescent="0.2">
      <c r="A185" s="4459">
        <v>108</v>
      </c>
      <c r="B185" s="4457" t="s">
        <v>235</v>
      </c>
      <c r="C185" s="4537"/>
      <c r="D185" s="1158"/>
      <c r="E185" s="40"/>
      <c r="F185" s="1158">
        <f t="shared" si="13"/>
        <v>0</v>
      </c>
      <c r="G185" s="968">
        <v>20000000</v>
      </c>
      <c r="H185" s="968" t="s">
        <v>2211</v>
      </c>
      <c r="I185" s="984" t="s">
        <v>2629</v>
      </c>
      <c r="J185" s="21" t="s">
        <v>1669</v>
      </c>
      <c r="K185" s="4322">
        <f>G185+G186+G187</f>
        <v>61800000</v>
      </c>
      <c r="L185" s="4506">
        <f t="shared" si="14"/>
        <v>-61800000</v>
      </c>
      <c r="M185" s="4730" t="s">
        <v>2079</v>
      </c>
    </row>
    <row r="186" spans="1:13" ht="30" customHeight="1" x14ac:dyDescent="0.2">
      <c r="A186" s="4464"/>
      <c r="B186" s="4488"/>
      <c r="C186" s="4540"/>
      <c r="D186" s="1158"/>
      <c r="E186" s="40"/>
      <c r="F186" s="1158"/>
      <c r="G186" s="1092">
        <v>30000000</v>
      </c>
      <c r="H186" s="1092" t="s">
        <v>2656</v>
      </c>
      <c r="I186" s="1098" t="s">
        <v>2657</v>
      </c>
      <c r="J186" s="21" t="s">
        <v>776</v>
      </c>
      <c r="K186" s="4322"/>
      <c r="L186" s="4507"/>
      <c r="M186" s="4731"/>
    </row>
    <row r="187" spans="1:13" ht="30" customHeight="1" x14ac:dyDescent="0.2">
      <c r="A187" s="4464"/>
      <c r="B187" s="4488"/>
      <c r="C187" s="4540"/>
      <c r="D187" s="1155"/>
      <c r="E187" s="1156"/>
      <c r="F187" s="1155"/>
      <c r="G187" s="1151">
        <v>11800000</v>
      </c>
      <c r="H187" s="1159" t="s">
        <v>2713</v>
      </c>
      <c r="I187" s="819" t="s">
        <v>2777</v>
      </c>
      <c r="J187" s="543" t="s">
        <v>1669</v>
      </c>
      <c r="K187" s="4322"/>
      <c r="L187" s="4508"/>
      <c r="M187" s="4732"/>
    </row>
    <row r="188" spans="1:13" ht="30" customHeight="1" x14ac:dyDescent="0.2">
      <c r="A188" s="4460"/>
      <c r="B188" s="4458"/>
      <c r="C188" s="4538"/>
      <c r="D188" s="1151">
        <v>35000000</v>
      </c>
      <c r="E188" s="1154"/>
      <c r="F188" s="1151"/>
      <c r="G188" s="1151"/>
      <c r="H188" s="4623" t="s">
        <v>2769</v>
      </c>
      <c r="I188" s="4624"/>
      <c r="J188" s="4624"/>
      <c r="K188" s="4625"/>
      <c r="L188" s="1155"/>
      <c r="M188" s="1174" t="s">
        <v>2770</v>
      </c>
    </row>
    <row r="189" spans="1:13" ht="30" customHeight="1" x14ac:dyDescent="0.2">
      <c r="A189" s="1001">
        <v>109</v>
      </c>
      <c r="B189" s="1000" t="s">
        <v>236</v>
      </c>
      <c r="C189" s="982"/>
      <c r="D189" s="968">
        <v>1000000000</v>
      </c>
      <c r="E189" s="996">
        <v>0.05</v>
      </c>
      <c r="F189" s="968">
        <f t="shared" si="13"/>
        <v>50000000</v>
      </c>
      <c r="G189" s="968">
        <v>50000000</v>
      </c>
      <c r="H189" s="968" t="s">
        <v>2211</v>
      </c>
      <c r="I189" s="984" t="s">
        <v>2615</v>
      </c>
      <c r="J189" s="21" t="s">
        <v>2616</v>
      </c>
      <c r="K189" s="968">
        <f t="shared" si="15"/>
        <v>50000000</v>
      </c>
      <c r="L189" s="968">
        <f t="shared" si="14"/>
        <v>0</v>
      </c>
      <c r="M189" s="1000"/>
    </row>
    <row r="190" spans="1:13" ht="30" customHeight="1" x14ac:dyDescent="0.2">
      <c r="A190" s="1001">
        <v>110</v>
      </c>
      <c r="B190" s="1002" t="s">
        <v>1842</v>
      </c>
      <c r="C190" s="981" t="s">
        <v>1292</v>
      </c>
      <c r="D190" s="968">
        <v>14000000</v>
      </c>
      <c r="E190" s="996">
        <v>4.2999999999999997E-2</v>
      </c>
      <c r="F190" s="968">
        <v>600000</v>
      </c>
      <c r="G190" s="968">
        <v>600000</v>
      </c>
      <c r="H190" s="968" t="s">
        <v>1916</v>
      </c>
      <c r="I190" s="984" t="s">
        <v>2856</v>
      </c>
      <c r="J190" s="21" t="s">
        <v>1852</v>
      </c>
      <c r="K190" s="983">
        <f t="shared" si="15"/>
        <v>600000</v>
      </c>
      <c r="L190" s="983">
        <f>F190-K190</f>
        <v>0</v>
      </c>
      <c r="M190" s="19"/>
    </row>
    <row r="191" spans="1:13" ht="30" customHeight="1" x14ac:dyDescent="0.2">
      <c r="A191" s="1001">
        <v>111</v>
      </c>
      <c r="B191" s="1002" t="s">
        <v>237</v>
      </c>
      <c r="C191" s="981" t="s">
        <v>1292</v>
      </c>
      <c r="D191" s="968">
        <v>20000000</v>
      </c>
      <c r="E191" s="996">
        <v>4.4999999999999998E-2</v>
      </c>
      <c r="F191" s="968">
        <f>D191*E191</f>
        <v>900000</v>
      </c>
      <c r="G191" s="968">
        <v>900000</v>
      </c>
      <c r="H191" s="968" t="s">
        <v>2553</v>
      </c>
      <c r="I191" s="984" t="s">
        <v>2556</v>
      </c>
      <c r="J191" s="21" t="s">
        <v>550</v>
      </c>
      <c r="K191" s="983">
        <f t="shared" si="15"/>
        <v>900000</v>
      </c>
      <c r="L191" s="983">
        <f>F191-K191</f>
        <v>0</v>
      </c>
      <c r="M191" s="19"/>
    </row>
    <row r="192" spans="1:13" ht="30" customHeight="1" x14ac:dyDescent="0.2">
      <c r="A192" s="1001">
        <v>112</v>
      </c>
      <c r="B192" s="1000" t="s">
        <v>238</v>
      </c>
      <c r="C192" s="995"/>
      <c r="D192" s="968">
        <v>40000000</v>
      </c>
      <c r="E192" s="996">
        <v>0.05</v>
      </c>
      <c r="F192" s="968">
        <f t="shared" si="13"/>
        <v>2000000</v>
      </c>
      <c r="G192" s="968">
        <v>2000000</v>
      </c>
      <c r="H192" s="968" t="s">
        <v>2656</v>
      </c>
      <c r="I192" s="984" t="s">
        <v>2658</v>
      </c>
      <c r="J192" s="83" t="s">
        <v>781</v>
      </c>
      <c r="K192" s="968">
        <f t="shared" si="15"/>
        <v>2000000</v>
      </c>
      <c r="L192" s="968">
        <f t="shared" si="14"/>
        <v>0</v>
      </c>
      <c r="M192" s="1000"/>
    </row>
    <row r="193" spans="1:13" ht="30" customHeight="1" x14ac:dyDescent="0.2">
      <c r="A193" s="4459">
        <v>113</v>
      </c>
      <c r="B193" s="4599" t="s">
        <v>239</v>
      </c>
      <c r="C193" s="4537" t="s">
        <v>402</v>
      </c>
      <c r="D193" s="968">
        <v>252000000</v>
      </c>
      <c r="E193" s="996">
        <v>4.4999999999999998E-2</v>
      </c>
      <c r="F193" s="968">
        <f t="shared" si="13"/>
        <v>11340000</v>
      </c>
      <c r="G193" s="4301" t="s">
        <v>2772</v>
      </c>
      <c r="H193" s="4328"/>
      <c r="I193" s="4328"/>
      <c r="J193" s="4328"/>
      <c r="K193" s="4345"/>
      <c r="L193" s="968">
        <f t="shared" si="14"/>
        <v>11340000</v>
      </c>
      <c r="M193" s="4599"/>
    </row>
    <row r="194" spans="1:13" ht="30" customHeight="1" x14ac:dyDescent="0.2">
      <c r="A194" s="4464"/>
      <c r="B194" s="4600"/>
      <c r="C194" s="4540"/>
      <c r="D194" s="4413"/>
      <c r="E194" s="4476"/>
      <c r="F194" s="4413">
        <v>25840000</v>
      </c>
      <c r="G194" s="1151">
        <v>20000000</v>
      </c>
      <c r="H194" s="1151" t="s">
        <v>1916</v>
      </c>
      <c r="I194" s="1161" t="s">
        <v>2845</v>
      </c>
      <c r="J194" s="21" t="s">
        <v>2846</v>
      </c>
      <c r="K194" s="4413">
        <f>G194+G195</f>
        <v>25840000</v>
      </c>
      <c r="L194" s="4413">
        <f>F194-K194</f>
        <v>0</v>
      </c>
      <c r="M194" s="4600"/>
    </row>
    <row r="195" spans="1:13" ht="30" customHeight="1" x14ac:dyDescent="0.2">
      <c r="A195" s="4464"/>
      <c r="B195" s="4600"/>
      <c r="C195" s="4540"/>
      <c r="D195" s="4415"/>
      <c r="E195" s="4477"/>
      <c r="F195" s="4415"/>
      <c r="G195" s="1151">
        <v>5840000</v>
      </c>
      <c r="H195" s="1151" t="s">
        <v>3144</v>
      </c>
      <c r="I195" s="1161" t="s">
        <v>3180</v>
      </c>
      <c r="J195" s="21" t="s">
        <v>2846</v>
      </c>
      <c r="K195" s="4415"/>
      <c r="L195" s="4415"/>
      <c r="M195" s="4600"/>
    </row>
    <row r="196" spans="1:13" ht="30" customHeight="1" x14ac:dyDescent="0.2">
      <c r="A196" s="4460"/>
      <c r="B196" s="4607"/>
      <c r="C196" s="4538"/>
      <c r="D196" s="1151">
        <v>250000000</v>
      </c>
      <c r="E196" s="1164">
        <v>0.05</v>
      </c>
      <c r="F196" s="1151">
        <f>D196*E196</f>
        <v>12500000</v>
      </c>
      <c r="G196" s="4593" t="s">
        <v>2773</v>
      </c>
      <c r="H196" s="4594"/>
      <c r="I196" s="4594"/>
      <c r="J196" s="4594"/>
      <c r="K196" s="4595"/>
      <c r="L196" s="1151"/>
      <c r="M196" s="4607"/>
    </row>
    <row r="197" spans="1:13" ht="30" customHeight="1" x14ac:dyDescent="0.2">
      <c r="A197" s="1001">
        <v>114</v>
      </c>
      <c r="B197" s="1000" t="s">
        <v>240</v>
      </c>
      <c r="C197" s="982"/>
      <c r="D197" s="968">
        <v>100000000</v>
      </c>
      <c r="E197" s="996">
        <v>4.4999999999999998E-2</v>
      </c>
      <c r="F197" s="968">
        <f t="shared" si="13"/>
        <v>4500000</v>
      </c>
      <c r="G197" s="968"/>
      <c r="H197" s="968"/>
      <c r="I197" s="984"/>
      <c r="J197" s="84" t="s">
        <v>1625</v>
      </c>
      <c r="K197" s="968">
        <f>G197</f>
        <v>0</v>
      </c>
      <c r="L197" s="968">
        <f t="shared" si="14"/>
        <v>4500000</v>
      </c>
      <c r="M197" s="1000"/>
    </row>
    <row r="198" spans="1:13" ht="30" customHeight="1" x14ac:dyDescent="0.2">
      <c r="A198" s="383">
        <v>115</v>
      </c>
      <c r="B198" s="1002" t="s">
        <v>241</v>
      </c>
      <c r="C198" s="378" t="s">
        <v>1138</v>
      </c>
      <c r="D198" s="983">
        <v>20000000</v>
      </c>
      <c r="E198" s="996">
        <v>0.05</v>
      </c>
      <c r="F198" s="983">
        <f t="shared" si="13"/>
        <v>1000000</v>
      </c>
      <c r="G198" s="968">
        <v>1000000</v>
      </c>
      <c r="H198" s="968" t="s">
        <v>3286</v>
      </c>
      <c r="I198" s="984" t="s">
        <v>3287</v>
      </c>
      <c r="J198" s="21" t="s">
        <v>1372</v>
      </c>
      <c r="K198" s="968">
        <f>G198</f>
        <v>1000000</v>
      </c>
      <c r="L198" s="968">
        <f t="shared" si="14"/>
        <v>0</v>
      </c>
      <c r="M198" s="972"/>
    </row>
    <row r="199" spans="1:13" ht="30" customHeight="1" x14ac:dyDescent="0.2">
      <c r="A199" s="4459">
        <v>117</v>
      </c>
      <c r="B199" s="4457" t="s">
        <v>243</v>
      </c>
      <c r="C199" s="4537" t="s">
        <v>889</v>
      </c>
      <c r="D199" s="968">
        <v>300000000</v>
      </c>
      <c r="E199" s="965">
        <v>4.4999999999999998E-2</v>
      </c>
      <c r="F199" s="968">
        <f t="shared" si="13"/>
        <v>13500000</v>
      </c>
      <c r="G199" s="968">
        <v>13500000</v>
      </c>
      <c r="H199" s="4413" t="s">
        <v>2634</v>
      </c>
      <c r="I199" s="4555" t="s">
        <v>2645</v>
      </c>
      <c r="J199" s="4478" t="s">
        <v>2646</v>
      </c>
      <c r="K199" s="4413">
        <f>G199+G200</f>
        <v>20000000</v>
      </c>
      <c r="L199" s="4413">
        <f>(G199+G200)-K199</f>
        <v>0</v>
      </c>
      <c r="M199" s="4492" t="s">
        <v>2991</v>
      </c>
    </row>
    <row r="200" spans="1:13" ht="30" customHeight="1" x14ac:dyDescent="0.2">
      <c r="A200" s="4464"/>
      <c r="B200" s="4488"/>
      <c r="C200" s="4540"/>
      <c r="D200" s="1092">
        <v>145000000</v>
      </c>
      <c r="E200" s="1093">
        <v>4.4999999999999998E-2</v>
      </c>
      <c r="F200" s="1092">
        <v>6500000</v>
      </c>
      <c r="G200" s="1092">
        <v>6500000</v>
      </c>
      <c r="H200" s="4415"/>
      <c r="I200" s="4557"/>
      <c r="J200" s="4479"/>
      <c r="K200" s="4415"/>
      <c r="L200" s="4415"/>
      <c r="M200" s="4493"/>
    </row>
    <row r="201" spans="1:13" ht="30" customHeight="1" x14ac:dyDescent="0.2">
      <c r="A201" s="4460"/>
      <c r="B201" s="4458"/>
      <c r="C201" s="4538"/>
      <c r="D201" s="1092">
        <v>445000000</v>
      </c>
      <c r="E201" s="1093">
        <v>4.4999999999999998E-2</v>
      </c>
      <c r="F201" s="1092">
        <v>20000000</v>
      </c>
      <c r="G201" s="1407">
        <v>20000000</v>
      </c>
      <c r="H201" s="1407" t="s">
        <v>3305</v>
      </c>
      <c r="I201" s="1422" t="s">
        <v>3336</v>
      </c>
      <c r="J201" s="84" t="s">
        <v>2646</v>
      </c>
      <c r="K201" s="1407">
        <f>G201</f>
        <v>20000000</v>
      </c>
      <c r="L201" s="1092">
        <f>F201-K201</f>
        <v>0</v>
      </c>
      <c r="M201" s="97" t="s">
        <v>3337</v>
      </c>
    </row>
    <row r="202" spans="1:13" ht="30" customHeight="1" x14ac:dyDescent="0.2">
      <c r="A202" s="1001">
        <v>118</v>
      </c>
      <c r="B202" s="1000" t="s">
        <v>244</v>
      </c>
      <c r="C202" s="982"/>
      <c r="D202" s="968">
        <v>20000000</v>
      </c>
      <c r="E202" s="996">
        <v>0.05</v>
      </c>
      <c r="F202" s="968">
        <f t="shared" si="13"/>
        <v>1000000</v>
      </c>
      <c r="G202" s="968">
        <v>1000000</v>
      </c>
      <c r="H202" s="968" t="s">
        <v>2211</v>
      </c>
      <c r="I202" s="984" t="s">
        <v>2618</v>
      </c>
      <c r="J202" s="84" t="s">
        <v>611</v>
      </c>
      <c r="K202" s="968">
        <f t="shared" ref="K202:K208" si="16">G202</f>
        <v>1000000</v>
      </c>
      <c r="L202" s="968">
        <f t="shared" si="14"/>
        <v>0</v>
      </c>
      <c r="M202" s="1000"/>
    </row>
    <row r="203" spans="1:13" ht="30" customHeight="1" x14ac:dyDescent="0.2">
      <c r="A203" s="4459">
        <v>119</v>
      </c>
      <c r="B203" s="4457" t="s">
        <v>245</v>
      </c>
      <c r="C203" s="4537"/>
      <c r="D203" s="968">
        <v>100000000</v>
      </c>
      <c r="E203" s="996">
        <v>0.04</v>
      </c>
      <c r="F203" s="968">
        <f t="shared" si="13"/>
        <v>4000000</v>
      </c>
      <c r="G203" s="968">
        <v>4000000</v>
      </c>
      <c r="H203" s="968" t="s">
        <v>2705</v>
      </c>
      <c r="I203" s="984" t="s">
        <v>2717</v>
      </c>
      <c r="J203" s="21" t="s">
        <v>1634</v>
      </c>
      <c r="K203" s="968">
        <f t="shared" si="16"/>
        <v>4000000</v>
      </c>
      <c r="L203" s="968">
        <f t="shared" si="14"/>
        <v>0</v>
      </c>
      <c r="M203" s="97" t="s">
        <v>2766</v>
      </c>
    </row>
    <row r="204" spans="1:13" ht="30" customHeight="1" x14ac:dyDescent="0.2">
      <c r="A204" s="4460"/>
      <c r="B204" s="4458"/>
      <c r="C204" s="4538"/>
      <c r="D204" s="4303" t="s">
        <v>1326</v>
      </c>
      <c r="E204" s="4324"/>
      <c r="F204" s="4355"/>
      <c r="G204" s="4469" t="s">
        <v>2823</v>
      </c>
      <c r="H204" s="4470"/>
      <c r="I204" s="4470"/>
      <c r="J204" s="4470"/>
      <c r="K204" s="4471"/>
      <c r="L204" s="1151"/>
      <c r="M204" s="1153"/>
    </row>
    <row r="205" spans="1:13" ht="30" customHeight="1" x14ac:dyDescent="0.2">
      <c r="A205" s="4459">
        <v>120</v>
      </c>
      <c r="B205" s="4457" t="s">
        <v>246</v>
      </c>
      <c r="C205" s="4537" t="s">
        <v>371</v>
      </c>
      <c r="D205" s="4413">
        <v>617000000</v>
      </c>
      <c r="E205" s="4476">
        <v>7.0000000000000007E-2</v>
      </c>
      <c r="F205" s="4413">
        <v>43200000</v>
      </c>
      <c r="G205" s="983">
        <v>30000000</v>
      </c>
      <c r="H205" s="983" t="s">
        <v>1916</v>
      </c>
      <c r="I205" s="381" t="s">
        <v>2865</v>
      </c>
      <c r="J205" s="999" t="s">
        <v>2866</v>
      </c>
      <c r="K205" s="4413">
        <f>G205+G206</f>
        <v>43200000</v>
      </c>
      <c r="L205" s="4413">
        <f>F205-K205</f>
        <v>0</v>
      </c>
      <c r="M205" s="4599"/>
    </row>
    <row r="206" spans="1:13" ht="30" customHeight="1" x14ac:dyDescent="0.2">
      <c r="A206" s="4460"/>
      <c r="B206" s="4458"/>
      <c r="C206" s="4538"/>
      <c r="D206" s="4415"/>
      <c r="E206" s="4477"/>
      <c r="F206" s="4415"/>
      <c r="G206" s="1345">
        <v>13200000</v>
      </c>
      <c r="H206" s="1345" t="s">
        <v>3227</v>
      </c>
      <c r="I206" s="1353" t="s">
        <v>3255</v>
      </c>
      <c r="J206" s="1359" t="s">
        <v>2866</v>
      </c>
      <c r="K206" s="4415"/>
      <c r="L206" s="4415"/>
      <c r="M206" s="4607"/>
    </row>
    <row r="207" spans="1:13" ht="30" customHeight="1" x14ac:dyDescent="0.2">
      <c r="A207" s="1001">
        <v>122</v>
      </c>
      <c r="B207" s="1000" t="s">
        <v>248</v>
      </c>
      <c r="C207" s="982"/>
      <c r="D207" s="968">
        <v>50000000</v>
      </c>
      <c r="E207" s="996">
        <v>4.4999999999999998E-2</v>
      </c>
      <c r="F207" s="968">
        <f t="shared" si="13"/>
        <v>2250000</v>
      </c>
      <c r="G207" s="968">
        <v>2250000</v>
      </c>
      <c r="H207" s="968" t="s">
        <v>2634</v>
      </c>
      <c r="I207" s="984" t="s">
        <v>2642</v>
      </c>
      <c r="J207" s="18" t="s">
        <v>1568</v>
      </c>
      <c r="K207" s="968">
        <f t="shared" si="16"/>
        <v>2250000</v>
      </c>
      <c r="L207" s="968">
        <f t="shared" si="14"/>
        <v>0</v>
      </c>
      <c r="M207" s="1000"/>
    </row>
    <row r="208" spans="1:13" ht="30" customHeight="1" x14ac:dyDescent="0.2">
      <c r="A208" s="4459">
        <v>123</v>
      </c>
      <c r="B208" s="4457" t="s">
        <v>1650</v>
      </c>
      <c r="C208" s="982" t="s">
        <v>1295</v>
      </c>
      <c r="D208" s="968">
        <v>60000000</v>
      </c>
      <c r="E208" s="996">
        <v>0.05</v>
      </c>
      <c r="F208" s="968">
        <f t="shared" si="13"/>
        <v>3000000</v>
      </c>
      <c r="G208" s="4413">
        <v>4400000</v>
      </c>
      <c r="H208" s="4413" t="s">
        <v>2713</v>
      </c>
      <c r="I208" s="4555" t="s">
        <v>2786</v>
      </c>
      <c r="J208" s="4478" t="s">
        <v>574</v>
      </c>
      <c r="K208" s="4413">
        <f t="shared" si="16"/>
        <v>4400000</v>
      </c>
      <c r="L208" s="4413">
        <f>(F208+F209)-K208</f>
        <v>0</v>
      </c>
      <c r="M208" s="4599"/>
    </row>
    <row r="209" spans="1:13" ht="30" customHeight="1" x14ac:dyDescent="0.2">
      <c r="A209" s="4460"/>
      <c r="B209" s="4458"/>
      <c r="C209" s="982" t="s">
        <v>1296</v>
      </c>
      <c r="D209" s="968">
        <v>20000000</v>
      </c>
      <c r="E209" s="996">
        <v>7.0000000000000007E-2</v>
      </c>
      <c r="F209" s="968">
        <f t="shared" si="13"/>
        <v>1400000.0000000002</v>
      </c>
      <c r="G209" s="4415"/>
      <c r="H209" s="4415"/>
      <c r="I209" s="4557"/>
      <c r="J209" s="4479"/>
      <c r="K209" s="4415"/>
      <c r="L209" s="4415"/>
      <c r="M209" s="4607"/>
    </row>
    <row r="210" spans="1:13" ht="30" customHeight="1" x14ac:dyDescent="0.2">
      <c r="A210" s="1001">
        <v>124</v>
      </c>
      <c r="B210" s="1000" t="s">
        <v>250</v>
      </c>
      <c r="C210" s="982" t="s">
        <v>392</v>
      </c>
      <c r="D210" s="968">
        <v>200000000</v>
      </c>
      <c r="E210" s="996">
        <v>0.05</v>
      </c>
      <c r="F210" s="968">
        <f t="shared" si="13"/>
        <v>10000000</v>
      </c>
      <c r="G210" s="968">
        <v>10000000</v>
      </c>
      <c r="H210" s="968" t="s">
        <v>2803</v>
      </c>
      <c r="I210" s="989" t="s">
        <v>2822</v>
      </c>
      <c r="J210" s="18" t="s">
        <v>1401</v>
      </c>
      <c r="K210" s="968">
        <f>G210</f>
        <v>10000000</v>
      </c>
      <c r="L210" s="968">
        <f t="shared" si="14"/>
        <v>0</v>
      </c>
      <c r="M210" s="1000"/>
    </row>
    <row r="211" spans="1:13" ht="30" customHeight="1" x14ac:dyDescent="0.2">
      <c r="A211" s="383">
        <v>125</v>
      </c>
      <c r="B211" s="1002" t="s">
        <v>251</v>
      </c>
      <c r="C211" s="995"/>
      <c r="D211" s="983">
        <v>160000000</v>
      </c>
      <c r="E211" s="996">
        <v>7.0000000000000007E-2</v>
      </c>
      <c r="F211" s="983">
        <v>11000000</v>
      </c>
      <c r="G211" s="968">
        <v>11000000</v>
      </c>
      <c r="H211" s="968" t="s">
        <v>2634</v>
      </c>
      <c r="I211" s="984" t="s">
        <v>2641</v>
      </c>
      <c r="J211" s="21" t="s">
        <v>1607</v>
      </c>
      <c r="K211" s="968">
        <f>G211</f>
        <v>11000000</v>
      </c>
      <c r="L211" s="968">
        <f t="shared" si="14"/>
        <v>0</v>
      </c>
      <c r="M211" s="1000"/>
    </row>
    <row r="212" spans="1:13" ht="30" customHeight="1" x14ac:dyDescent="0.2">
      <c r="A212" s="1001">
        <v>126</v>
      </c>
      <c r="B212" s="1000" t="s">
        <v>252</v>
      </c>
      <c r="C212" s="982" t="s">
        <v>402</v>
      </c>
      <c r="D212" s="968">
        <v>180000000</v>
      </c>
      <c r="E212" s="965">
        <v>4.4999999999999998E-2</v>
      </c>
      <c r="F212" s="968">
        <f t="shared" si="13"/>
        <v>8100000</v>
      </c>
      <c r="G212" s="968">
        <v>8100000</v>
      </c>
      <c r="H212" s="968" t="s">
        <v>1916</v>
      </c>
      <c r="I212" s="984" t="s">
        <v>2841</v>
      </c>
      <c r="J212" s="21" t="s">
        <v>2842</v>
      </c>
      <c r="K212" s="968">
        <f>G212</f>
        <v>8100000</v>
      </c>
      <c r="L212" s="1179">
        <f t="shared" si="14"/>
        <v>0</v>
      </c>
      <c r="M212" s="1000"/>
    </row>
    <row r="213" spans="1:13" ht="30" customHeight="1" x14ac:dyDescent="0.2">
      <c r="A213" s="4459">
        <v>127</v>
      </c>
      <c r="B213" s="4457" t="s">
        <v>253</v>
      </c>
      <c r="C213" s="4537"/>
      <c r="D213" s="4413">
        <v>800000000</v>
      </c>
      <c r="E213" s="4476">
        <v>0.05</v>
      </c>
      <c r="F213" s="4413">
        <f t="shared" si="13"/>
        <v>40000000</v>
      </c>
      <c r="G213" s="968">
        <v>20000000</v>
      </c>
      <c r="H213" s="968" t="s">
        <v>2532</v>
      </c>
      <c r="I213" s="989" t="s">
        <v>2539</v>
      </c>
      <c r="J213" s="21" t="s">
        <v>2540</v>
      </c>
      <c r="K213" s="4413">
        <f>G213+G214</f>
        <v>40000000</v>
      </c>
      <c r="L213" s="4413">
        <f t="shared" si="14"/>
        <v>0</v>
      </c>
      <c r="M213" s="4599"/>
    </row>
    <row r="214" spans="1:13" ht="30" customHeight="1" x14ac:dyDescent="0.2">
      <c r="A214" s="4460"/>
      <c r="B214" s="4458"/>
      <c r="C214" s="4538"/>
      <c r="D214" s="4415"/>
      <c r="E214" s="4477"/>
      <c r="F214" s="4415"/>
      <c r="G214" s="968">
        <v>20000000</v>
      </c>
      <c r="H214" s="968" t="s">
        <v>2553</v>
      </c>
      <c r="I214" s="989" t="s">
        <v>2554</v>
      </c>
      <c r="J214" s="21" t="s">
        <v>2540</v>
      </c>
      <c r="K214" s="4415"/>
      <c r="L214" s="4415"/>
      <c r="M214" s="4607"/>
    </row>
    <row r="215" spans="1:13" ht="30" customHeight="1" x14ac:dyDescent="0.2">
      <c r="A215" s="1001">
        <v>128</v>
      </c>
      <c r="B215" s="1000" t="s">
        <v>254</v>
      </c>
      <c r="C215" s="982"/>
      <c r="D215" s="974"/>
      <c r="E215" s="40"/>
      <c r="F215" s="974">
        <f t="shared" si="13"/>
        <v>0</v>
      </c>
      <c r="G215" s="968">
        <v>3000000</v>
      </c>
      <c r="H215" s="968" t="s">
        <v>3227</v>
      </c>
      <c r="I215" s="984" t="s">
        <v>3233</v>
      </c>
      <c r="J215" s="21" t="s">
        <v>3234</v>
      </c>
      <c r="K215" s="968">
        <f>G215</f>
        <v>3000000</v>
      </c>
      <c r="L215" s="974">
        <f t="shared" si="14"/>
        <v>-3000000</v>
      </c>
      <c r="M215" s="1000"/>
    </row>
    <row r="216" spans="1:13" ht="30" customHeight="1" x14ac:dyDescent="0.2">
      <c r="A216" s="4459">
        <v>129</v>
      </c>
      <c r="B216" s="4457" t="s">
        <v>255</v>
      </c>
      <c r="C216" s="4537" t="s">
        <v>1107</v>
      </c>
      <c r="D216" s="967"/>
      <c r="E216" s="964"/>
      <c r="F216" s="967"/>
      <c r="G216" s="968">
        <v>9000000</v>
      </c>
      <c r="H216" s="968" t="s">
        <v>2532</v>
      </c>
      <c r="I216" s="984" t="s">
        <v>2541</v>
      </c>
      <c r="J216" s="21" t="s">
        <v>590</v>
      </c>
      <c r="K216" s="968">
        <f>G216</f>
        <v>9000000</v>
      </c>
      <c r="L216" s="968">
        <f>12000000-3000000-K216</f>
        <v>0</v>
      </c>
      <c r="M216" s="97" t="s">
        <v>2521</v>
      </c>
    </row>
    <row r="217" spans="1:13" ht="30" customHeight="1" x14ac:dyDescent="0.2">
      <c r="A217" s="4464"/>
      <c r="B217" s="4458"/>
      <c r="C217" s="4538"/>
      <c r="D217" s="966">
        <v>200000000</v>
      </c>
      <c r="E217" s="964">
        <v>0.06</v>
      </c>
      <c r="F217" s="966">
        <f>D217*E217</f>
        <v>12000000</v>
      </c>
      <c r="G217" s="968">
        <v>12000000</v>
      </c>
      <c r="H217" s="968" t="s">
        <v>3227</v>
      </c>
      <c r="I217" s="984" t="s">
        <v>3251</v>
      </c>
      <c r="J217" s="21" t="s">
        <v>3252</v>
      </c>
      <c r="K217" s="966">
        <f>G217</f>
        <v>12000000</v>
      </c>
      <c r="L217" s="966">
        <f>F217-K217</f>
        <v>0</v>
      </c>
      <c r="M217" s="97" t="s">
        <v>2991</v>
      </c>
    </row>
    <row r="218" spans="1:13" ht="30" customHeight="1" x14ac:dyDescent="0.2">
      <c r="A218" s="4459">
        <v>130</v>
      </c>
      <c r="B218" s="4457" t="s">
        <v>1171</v>
      </c>
      <c r="C218" s="4537" t="s">
        <v>1299</v>
      </c>
      <c r="D218" s="4413">
        <v>200000000</v>
      </c>
      <c r="E218" s="4476">
        <v>0.05</v>
      </c>
      <c r="F218" s="4413">
        <f t="shared" si="13"/>
        <v>10000000</v>
      </c>
      <c r="G218" s="983">
        <v>50000000</v>
      </c>
      <c r="H218" s="983" t="s">
        <v>2577</v>
      </c>
      <c r="I218" s="381" t="s">
        <v>2592</v>
      </c>
      <c r="J218" s="999" t="s">
        <v>2593</v>
      </c>
      <c r="K218" s="983">
        <f>G218</f>
        <v>50000000</v>
      </c>
      <c r="L218" s="983"/>
      <c r="M218" s="97" t="s">
        <v>2594</v>
      </c>
    </row>
    <row r="219" spans="1:13" ht="30" customHeight="1" x14ac:dyDescent="0.2">
      <c r="A219" s="4464"/>
      <c r="B219" s="4488"/>
      <c r="C219" s="4540"/>
      <c r="D219" s="4415"/>
      <c r="E219" s="4477"/>
      <c r="F219" s="4415"/>
      <c r="G219" s="1056">
        <v>10000000</v>
      </c>
      <c r="H219" s="1056" t="s">
        <v>2897</v>
      </c>
      <c r="I219" s="1061" t="s">
        <v>2989</v>
      </c>
      <c r="J219" s="1060" t="s">
        <v>2990</v>
      </c>
      <c r="K219" s="1056">
        <f>G219</f>
        <v>10000000</v>
      </c>
      <c r="L219" s="1047">
        <f>F218-K219</f>
        <v>0</v>
      </c>
      <c r="M219" s="97" t="s">
        <v>2991</v>
      </c>
    </row>
    <row r="220" spans="1:13" ht="30" customHeight="1" x14ac:dyDescent="0.2">
      <c r="A220" s="4460"/>
      <c r="B220" s="4458"/>
      <c r="C220" s="4538"/>
      <c r="D220" s="1051">
        <v>150000000</v>
      </c>
      <c r="E220" s="1050">
        <v>0.05</v>
      </c>
      <c r="F220" s="1051">
        <f>D220*E220</f>
        <v>7500000</v>
      </c>
      <c r="G220" s="4469" t="s">
        <v>2591</v>
      </c>
      <c r="H220" s="4470"/>
      <c r="I220" s="4470"/>
      <c r="J220" s="4470"/>
      <c r="K220" s="4470"/>
      <c r="L220" s="4471"/>
      <c r="M220" s="1054"/>
    </row>
    <row r="221" spans="1:13" ht="30" customHeight="1" x14ac:dyDescent="0.2">
      <c r="A221" s="1001">
        <v>131</v>
      </c>
      <c r="B221" s="961" t="s">
        <v>256</v>
      </c>
      <c r="C221" s="982"/>
      <c r="D221" s="968">
        <v>200000000</v>
      </c>
      <c r="E221" s="965">
        <v>0.05</v>
      </c>
      <c r="F221" s="968">
        <f t="shared" si="13"/>
        <v>10000000</v>
      </c>
      <c r="G221" s="968">
        <v>10000000</v>
      </c>
      <c r="H221" s="968" t="s">
        <v>2634</v>
      </c>
      <c r="I221" s="984" t="s">
        <v>2649</v>
      </c>
      <c r="J221" s="24" t="s">
        <v>1686</v>
      </c>
      <c r="K221" s="968">
        <f>G221</f>
        <v>10000000</v>
      </c>
      <c r="L221" s="968">
        <f t="shared" si="14"/>
        <v>0</v>
      </c>
      <c r="M221" s="97" t="s">
        <v>1687</v>
      </c>
    </row>
    <row r="222" spans="1:13" ht="30" customHeight="1" x14ac:dyDescent="0.2">
      <c r="A222" s="4459">
        <v>132</v>
      </c>
      <c r="B222" s="4688" t="s">
        <v>1218</v>
      </c>
      <c r="C222" s="4537" t="s">
        <v>1652</v>
      </c>
      <c r="D222" s="4413"/>
      <c r="E222" s="4476"/>
      <c r="F222" s="4413"/>
      <c r="G222" s="4322"/>
      <c r="H222" s="4322"/>
      <c r="I222" s="4322"/>
      <c r="J222" s="4322"/>
      <c r="K222" s="4322"/>
      <c r="L222" s="4413"/>
      <c r="M222" s="97" t="s">
        <v>1884</v>
      </c>
    </row>
    <row r="223" spans="1:13" ht="30" customHeight="1" x14ac:dyDescent="0.2">
      <c r="A223" s="4464"/>
      <c r="B223" s="4689"/>
      <c r="C223" s="4540"/>
      <c r="D223" s="4415"/>
      <c r="E223" s="4477"/>
      <c r="F223" s="4415"/>
      <c r="G223" s="4322"/>
      <c r="H223" s="4322"/>
      <c r="I223" s="4322"/>
      <c r="J223" s="4322"/>
      <c r="K223" s="4322"/>
      <c r="L223" s="4415"/>
      <c r="M223" s="97" t="s">
        <v>2522</v>
      </c>
    </row>
    <row r="224" spans="1:13" ht="30" customHeight="1" x14ac:dyDescent="0.2">
      <c r="A224" s="4460"/>
      <c r="B224" s="4690"/>
      <c r="C224" s="4538"/>
      <c r="D224" s="1469">
        <v>490000000</v>
      </c>
      <c r="E224" s="1466">
        <v>0.05</v>
      </c>
      <c r="F224" s="1469">
        <f>D224*E224</f>
        <v>24500000</v>
      </c>
      <c r="G224" s="1469">
        <v>14500000</v>
      </c>
      <c r="H224" s="1469" t="s">
        <v>3144</v>
      </c>
      <c r="I224" s="1509" t="s">
        <v>3168</v>
      </c>
      <c r="J224" s="1482" t="s">
        <v>1220</v>
      </c>
      <c r="K224" s="1469">
        <f>G224</f>
        <v>14500000</v>
      </c>
      <c r="L224" s="1469">
        <f>F224-K224</f>
        <v>10000000</v>
      </c>
      <c r="M224" s="97" t="s">
        <v>3169</v>
      </c>
    </row>
    <row r="225" spans="1:13" ht="30" customHeight="1" x14ac:dyDescent="0.2">
      <c r="A225" s="1519">
        <v>133</v>
      </c>
      <c r="B225" s="1461" t="s">
        <v>175</v>
      </c>
      <c r="C225" s="1488" t="s">
        <v>1718</v>
      </c>
      <c r="D225" s="1469">
        <v>100000000</v>
      </c>
      <c r="E225" s="1466">
        <v>4.4999999999999998E-2</v>
      </c>
      <c r="F225" s="1469">
        <f t="shared" ref="F225:F300" si="17">D225*E225</f>
        <v>4500000</v>
      </c>
      <c r="G225" s="1469">
        <v>4500000</v>
      </c>
      <c r="H225" s="1469" t="s">
        <v>2689</v>
      </c>
      <c r="I225" s="1490" t="s">
        <v>2753</v>
      </c>
      <c r="J225" s="21" t="s">
        <v>521</v>
      </c>
      <c r="K225" s="1469">
        <f>G225</f>
        <v>4500000</v>
      </c>
      <c r="L225" s="1469">
        <f t="shared" ref="L225:L300" si="18">F225-K225</f>
        <v>0</v>
      </c>
      <c r="M225" s="1473" t="s">
        <v>3112</v>
      </c>
    </row>
    <row r="226" spans="1:13" ht="30" customHeight="1" x14ac:dyDescent="0.2">
      <c r="A226" s="4459">
        <v>134</v>
      </c>
      <c r="B226" s="4457" t="s">
        <v>166</v>
      </c>
      <c r="C226" s="4537"/>
      <c r="D226" s="4413">
        <v>110000000</v>
      </c>
      <c r="E226" s="4476">
        <v>0.04</v>
      </c>
      <c r="F226" s="4413">
        <f t="shared" si="17"/>
        <v>4400000</v>
      </c>
      <c r="G226" s="1469">
        <v>3000000</v>
      </c>
      <c r="H226" s="1469" t="s">
        <v>2705</v>
      </c>
      <c r="I226" s="1490" t="s">
        <v>2724</v>
      </c>
      <c r="J226" s="21" t="s">
        <v>510</v>
      </c>
      <c r="K226" s="4413">
        <f>G226+G227</f>
        <v>4400000</v>
      </c>
      <c r="L226" s="4413">
        <f t="shared" si="18"/>
        <v>0</v>
      </c>
      <c r="M226" s="4599"/>
    </row>
    <row r="227" spans="1:13" ht="30" customHeight="1" x14ac:dyDescent="0.2">
      <c r="A227" s="4460"/>
      <c r="B227" s="4458"/>
      <c r="C227" s="4538"/>
      <c r="D227" s="4415"/>
      <c r="E227" s="4477"/>
      <c r="F227" s="4415"/>
      <c r="G227" s="1469">
        <v>1400000</v>
      </c>
      <c r="H227" s="1469" t="s">
        <v>2705</v>
      </c>
      <c r="I227" s="1490" t="s">
        <v>2725</v>
      </c>
      <c r="J227" s="21" t="s">
        <v>2726</v>
      </c>
      <c r="K227" s="4415"/>
      <c r="L227" s="4415"/>
      <c r="M227" s="4607"/>
    </row>
    <row r="228" spans="1:13" ht="30" customHeight="1" x14ac:dyDescent="0.2">
      <c r="A228" s="4459">
        <v>135</v>
      </c>
      <c r="B228" s="4457" t="s">
        <v>6</v>
      </c>
      <c r="C228" s="1518" t="s">
        <v>392</v>
      </c>
      <c r="D228" s="1469">
        <v>100000000</v>
      </c>
      <c r="E228" s="1516">
        <v>0.05</v>
      </c>
      <c r="F228" s="1469">
        <f t="shared" si="17"/>
        <v>5000000</v>
      </c>
      <c r="G228" s="1469">
        <v>5000000</v>
      </c>
      <c r="H228" s="1469" t="s">
        <v>2634</v>
      </c>
      <c r="I228" s="1490" t="s">
        <v>2643</v>
      </c>
      <c r="J228" s="26" t="s">
        <v>1549</v>
      </c>
      <c r="K228" s="4413">
        <f>G228+G229</f>
        <v>11000000</v>
      </c>
      <c r="L228" s="4413">
        <f>(F228+F229)-K228</f>
        <v>0</v>
      </c>
      <c r="M228" s="4599"/>
    </row>
    <row r="229" spans="1:13" ht="30" customHeight="1" x14ac:dyDescent="0.2">
      <c r="A229" s="4460"/>
      <c r="B229" s="4458"/>
      <c r="C229" s="1518" t="s">
        <v>1299</v>
      </c>
      <c r="D229" s="1469">
        <v>124000000</v>
      </c>
      <c r="E229" s="1516">
        <v>4.9000000000000002E-2</v>
      </c>
      <c r="F229" s="1469">
        <v>6000000</v>
      </c>
      <c r="G229" s="1469">
        <v>6000000</v>
      </c>
      <c r="H229" s="1469" t="s">
        <v>3101</v>
      </c>
      <c r="I229" s="1490" t="s">
        <v>3106</v>
      </c>
      <c r="J229" s="52" t="s">
        <v>2196</v>
      </c>
      <c r="K229" s="4415"/>
      <c r="L229" s="4415"/>
      <c r="M229" s="4607"/>
    </row>
    <row r="230" spans="1:13" ht="30" customHeight="1" x14ac:dyDescent="0.2">
      <c r="A230" s="1519">
        <v>136</v>
      </c>
      <c r="B230" s="1517" t="s">
        <v>257</v>
      </c>
      <c r="C230" s="1488"/>
      <c r="D230" s="1478"/>
      <c r="E230" s="40"/>
      <c r="F230" s="1478">
        <f t="shared" si="17"/>
        <v>0</v>
      </c>
      <c r="G230" s="1469"/>
      <c r="H230" s="1469"/>
      <c r="I230" s="1490"/>
      <c r="J230" s="24"/>
      <c r="K230" s="1469"/>
      <c r="L230" s="1478">
        <f t="shared" si="18"/>
        <v>0</v>
      </c>
      <c r="M230" s="1473" t="s">
        <v>3162</v>
      </c>
    </row>
    <row r="231" spans="1:13" ht="30" customHeight="1" x14ac:dyDescent="0.2">
      <c r="A231" s="383">
        <v>137</v>
      </c>
      <c r="B231" s="1514" t="s">
        <v>179</v>
      </c>
      <c r="C231" s="1518" t="s">
        <v>1176</v>
      </c>
      <c r="D231" s="1469">
        <v>210000000</v>
      </c>
      <c r="E231" s="1516">
        <f>F231/D231</f>
        <v>4.8571428571428571E-2</v>
      </c>
      <c r="F231" s="1469">
        <v>10200000</v>
      </c>
      <c r="G231" s="1469">
        <v>10200000</v>
      </c>
      <c r="H231" s="1469" t="s">
        <v>2689</v>
      </c>
      <c r="I231" s="1490" t="s">
        <v>2697</v>
      </c>
      <c r="J231" s="24" t="s">
        <v>1711</v>
      </c>
      <c r="K231" s="1469">
        <f t="shared" ref="K231:K241" si="19">G231</f>
        <v>10200000</v>
      </c>
      <c r="L231" s="1469">
        <f t="shared" si="18"/>
        <v>0</v>
      </c>
      <c r="M231" s="1473" t="s">
        <v>1956</v>
      </c>
    </row>
    <row r="232" spans="1:13" ht="30" customHeight="1" x14ac:dyDescent="0.2">
      <c r="A232" s="4459">
        <v>138</v>
      </c>
      <c r="B232" s="4457" t="s">
        <v>259</v>
      </c>
      <c r="C232" s="4537" t="s">
        <v>1172</v>
      </c>
      <c r="D232" s="1469">
        <v>500000000</v>
      </c>
      <c r="E232" s="1516">
        <v>0.06</v>
      </c>
      <c r="F232" s="1469">
        <f t="shared" si="17"/>
        <v>30000000</v>
      </c>
      <c r="G232" s="1469">
        <v>30000000</v>
      </c>
      <c r="H232" s="1469" t="s">
        <v>2689</v>
      </c>
      <c r="I232" s="1509" t="s">
        <v>2749</v>
      </c>
      <c r="J232" s="21" t="s">
        <v>529</v>
      </c>
      <c r="K232" s="1469">
        <f t="shared" si="19"/>
        <v>30000000</v>
      </c>
      <c r="L232" s="1469">
        <f t="shared" si="18"/>
        <v>0</v>
      </c>
      <c r="M232" s="1517"/>
    </row>
    <row r="233" spans="1:13" ht="30" customHeight="1" x14ac:dyDescent="0.2">
      <c r="A233" s="4464"/>
      <c r="B233" s="4488"/>
      <c r="C233" s="4540"/>
      <c r="D233" s="1469">
        <v>200000000</v>
      </c>
      <c r="E233" s="1516"/>
      <c r="F233" s="1469"/>
      <c r="G233" s="4593" t="s">
        <v>2894</v>
      </c>
      <c r="H233" s="4594"/>
      <c r="I233" s="4594"/>
      <c r="J233" s="4595"/>
      <c r="K233" s="1469"/>
      <c r="L233" s="1469"/>
      <c r="M233" s="1517"/>
    </row>
    <row r="234" spans="1:13" ht="30" customHeight="1" x14ac:dyDescent="0.2">
      <c r="A234" s="4464"/>
      <c r="B234" s="4488"/>
      <c r="C234" s="4540"/>
      <c r="D234" s="1469">
        <v>280000000</v>
      </c>
      <c r="E234" s="1516"/>
      <c r="F234" s="1469"/>
      <c r="G234" s="4593" t="s">
        <v>2895</v>
      </c>
      <c r="H234" s="4594"/>
      <c r="I234" s="4594"/>
      <c r="J234" s="4595"/>
      <c r="K234" s="1469"/>
      <c r="L234" s="1469"/>
      <c r="M234" s="1517"/>
    </row>
    <row r="235" spans="1:13" ht="30" customHeight="1" x14ac:dyDescent="0.2">
      <c r="A235" s="4460"/>
      <c r="B235" s="4488"/>
      <c r="C235" s="4540"/>
      <c r="D235" s="1469">
        <v>980000000</v>
      </c>
      <c r="E235" s="1516"/>
      <c r="F235" s="1469"/>
      <c r="G235" s="4593" t="s">
        <v>2896</v>
      </c>
      <c r="H235" s="4594"/>
      <c r="I235" s="4594"/>
      <c r="J235" s="4595"/>
      <c r="K235" s="1469"/>
      <c r="L235" s="1469"/>
      <c r="M235" s="1517"/>
    </row>
    <row r="236" spans="1:13" ht="30" customHeight="1" x14ac:dyDescent="0.2">
      <c r="A236" s="1464"/>
      <c r="B236" s="4488"/>
      <c r="C236" s="4540"/>
      <c r="D236" s="1469"/>
      <c r="E236" s="1516"/>
      <c r="F236" s="1469"/>
      <c r="G236" s="4593" t="s">
        <v>3005</v>
      </c>
      <c r="H236" s="4594"/>
      <c r="I236" s="4594"/>
      <c r="J236" s="4595"/>
      <c r="K236" s="1469"/>
      <c r="L236" s="1469"/>
      <c r="M236" s="1517"/>
    </row>
    <row r="237" spans="1:13" ht="30" customHeight="1" x14ac:dyDescent="0.2">
      <c r="A237" s="1464"/>
      <c r="B237" s="4458"/>
      <c r="C237" s="4538"/>
      <c r="D237" s="1469"/>
      <c r="E237" s="1516"/>
      <c r="F237" s="1469"/>
      <c r="G237" s="1530"/>
      <c r="H237" s="1531"/>
      <c r="I237" s="1531"/>
      <c r="J237" s="1499"/>
      <c r="K237" s="1469"/>
      <c r="L237" s="1469"/>
      <c r="M237" s="1517"/>
    </row>
    <row r="238" spans="1:13" ht="30" customHeight="1" x14ac:dyDescent="0.2">
      <c r="A238" s="1519">
        <v>139</v>
      </c>
      <c r="B238" s="19" t="s">
        <v>160</v>
      </c>
      <c r="C238" s="1488" t="s">
        <v>1718</v>
      </c>
      <c r="D238" s="1489">
        <v>110000000</v>
      </c>
      <c r="E238" s="1516">
        <v>0.05</v>
      </c>
      <c r="F238" s="1489">
        <f t="shared" si="17"/>
        <v>5500000</v>
      </c>
      <c r="G238" s="1469">
        <v>5500000</v>
      </c>
      <c r="H238" s="1469" t="s">
        <v>2689</v>
      </c>
      <c r="I238" s="1490" t="s">
        <v>2756</v>
      </c>
      <c r="J238" s="26" t="s">
        <v>2757</v>
      </c>
      <c r="K238" s="1489">
        <f t="shared" si="19"/>
        <v>5500000</v>
      </c>
      <c r="L238" s="1489">
        <f t="shared" si="18"/>
        <v>0</v>
      </c>
      <c r="M238" s="19"/>
    </row>
    <row r="239" spans="1:13" ht="30" customHeight="1" x14ac:dyDescent="0.2">
      <c r="A239" s="1519"/>
      <c r="B239" s="19" t="s">
        <v>2270</v>
      </c>
      <c r="C239" s="1488" t="s">
        <v>262</v>
      </c>
      <c r="D239" s="1489">
        <v>50000000</v>
      </c>
      <c r="E239" s="1516">
        <v>0.05</v>
      </c>
      <c r="F239" s="1489">
        <f>D239*E239</f>
        <v>2500000</v>
      </c>
      <c r="G239" s="1469">
        <v>2500000</v>
      </c>
      <c r="H239" s="1469" t="s">
        <v>2713</v>
      </c>
      <c r="I239" s="1490" t="s">
        <v>2791</v>
      </c>
      <c r="J239" s="26" t="s">
        <v>1734</v>
      </c>
      <c r="K239" s="1489">
        <f t="shared" si="19"/>
        <v>2500000</v>
      </c>
      <c r="L239" s="1489">
        <f t="shared" si="18"/>
        <v>0</v>
      </c>
      <c r="M239" s="19"/>
    </row>
    <row r="240" spans="1:13" ht="30" customHeight="1" x14ac:dyDescent="0.2">
      <c r="A240" s="1519">
        <v>140</v>
      </c>
      <c r="B240" s="1517" t="s">
        <v>533</v>
      </c>
      <c r="C240" s="1488" t="s">
        <v>372</v>
      </c>
      <c r="D240" s="1469">
        <v>150000000</v>
      </c>
      <c r="E240" s="1516">
        <v>0.04</v>
      </c>
      <c r="F240" s="1469">
        <f t="shared" si="17"/>
        <v>6000000</v>
      </c>
      <c r="G240" s="1469">
        <v>6000000</v>
      </c>
      <c r="H240" s="1469" t="s">
        <v>1916</v>
      </c>
      <c r="I240" s="1490" t="s">
        <v>2852</v>
      </c>
      <c r="J240" s="18" t="s">
        <v>2853</v>
      </c>
      <c r="K240" s="1469">
        <f t="shared" si="19"/>
        <v>6000000</v>
      </c>
      <c r="L240" s="1469">
        <f t="shared" si="18"/>
        <v>0</v>
      </c>
      <c r="M240" s="1517"/>
    </row>
    <row r="241" spans="1:13" ht="30" customHeight="1" x14ac:dyDescent="0.2">
      <c r="A241" s="1519">
        <v>141</v>
      </c>
      <c r="B241" s="1517" t="s">
        <v>7</v>
      </c>
      <c r="C241" s="1488"/>
      <c r="D241" s="1469">
        <v>30000000</v>
      </c>
      <c r="E241" s="1516">
        <v>0.05</v>
      </c>
      <c r="F241" s="1469">
        <f t="shared" si="17"/>
        <v>1500000</v>
      </c>
      <c r="G241" s="1469"/>
      <c r="H241" s="1469"/>
      <c r="I241" s="1490"/>
      <c r="J241" s="21" t="s">
        <v>535</v>
      </c>
      <c r="K241" s="1469">
        <f t="shared" si="19"/>
        <v>0</v>
      </c>
      <c r="L241" s="1469">
        <f t="shared" si="18"/>
        <v>1500000</v>
      </c>
      <c r="M241" s="1517"/>
    </row>
    <row r="242" spans="1:13" ht="30" customHeight="1" x14ac:dyDescent="0.2">
      <c r="A242" s="4459">
        <v>142</v>
      </c>
      <c r="B242" s="4599" t="s">
        <v>8</v>
      </c>
      <c r="C242" s="4537"/>
      <c r="D242" s="4413">
        <v>2000000000</v>
      </c>
      <c r="E242" s="4476"/>
      <c r="F242" s="4413">
        <f>D243*E242</f>
        <v>0</v>
      </c>
      <c r="G242" s="4469" t="s">
        <v>2606</v>
      </c>
      <c r="H242" s="4470"/>
      <c r="I242" s="4470"/>
      <c r="J242" s="4471"/>
      <c r="K242" s="4413">
        <f>G243+G244+G245</f>
        <v>160000000</v>
      </c>
      <c r="L242" s="4413">
        <f>160000000-K242</f>
        <v>0</v>
      </c>
      <c r="M242" s="97" t="s">
        <v>1762</v>
      </c>
    </row>
    <row r="243" spans="1:13" ht="30" customHeight="1" x14ac:dyDescent="0.2">
      <c r="A243" s="4464"/>
      <c r="B243" s="4600"/>
      <c r="C243" s="4540"/>
      <c r="D243" s="4414"/>
      <c r="E243" s="4516"/>
      <c r="F243" s="4414"/>
      <c r="G243" s="1469">
        <v>40000000</v>
      </c>
      <c r="H243" s="1469" t="s">
        <v>2897</v>
      </c>
      <c r="I243" s="1491" t="s">
        <v>3018</v>
      </c>
      <c r="J243" s="1513" t="s">
        <v>537</v>
      </c>
      <c r="K243" s="4414"/>
      <c r="L243" s="4414"/>
      <c r="M243" s="97" t="s">
        <v>1770</v>
      </c>
    </row>
    <row r="244" spans="1:13" ht="30" customHeight="1" x14ac:dyDescent="0.2">
      <c r="A244" s="4464"/>
      <c r="B244" s="4600"/>
      <c r="C244" s="4540"/>
      <c r="D244" s="4414"/>
      <c r="E244" s="4516"/>
      <c r="F244" s="4414"/>
      <c r="G244" s="1469">
        <v>90400000</v>
      </c>
      <c r="H244" s="4469" t="s">
        <v>3019</v>
      </c>
      <c r="I244" s="4470"/>
      <c r="J244" s="4471"/>
      <c r="K244" s="4414"/>
      <c r="L244" s="4414"/>
      <c r="M244" s="4492" t="s">
        <v>2607</v>
      </c>
    </row>
    <row r="245" spans="1:13" ht="30" customHeight="1" x14ac:dyDescent="0.2">
      <c r="A245" s="4464"/>
      <c r="B245" s="4600"/>
      <c r="C245" s="4540"/>
      <c r="D245" s="4414"/>
      <c r="E245" s="4516"/>
      <c r="F245" s="4414"/>
      <c r="G245" s="1469">
        <v>29600000</v>
      </c>
      <c r="H245" s="1469" t="s">
        <v>3002</v>
      </c>
      <c r="I245" s="1491" t="s">
        <v>3032</v>
      </c>
      <c r="J245" s="1513" t="s">
        <v>537</v>
      </c>
      <c r="K245" s="4414"/>
      <c r="L245" s="4414"/>
      <c r="M245" s="4684"/>
    </row>
    <row r="246" spans="1:13" ht="30" customHeight="1" x14ac:dyDescent="0.2">
      <c r="A246" s="4464"/>
      <c r="B246" s="4600"/>
      <c r="C246" s="4540"/>
      <c r="D246" s="4414"/>
      <c r="E246" s="4516"/>
      <c r="F246" s="4414"/>
      <c r="G246" s="1469"/>
      <c r="H246" s="1469"/>
      <c r="I246" s="1491"/>
      <c r="J246" s="1513"/>
      <c r="K246" s="4414"/>
      <c r="L246" s="4414"/>
      <c r="M246" s="4684"/>
    </row>
    <row r="247" spans="1:13" ht="30" customHeight="1" x14ac:dyDescent="0.2">
      <c r="A247" s="4464"/>
      <c r="B247" s="4600"/>
      <c r="C247" s="4540"/>
      <c r="D247" s="4414"/>
      <c r="E247" s="4516"/>
      <c r="F247" s="4414"/>
      <c r="G247" s="1469"/>
      <c r="H247" s="1469"/>
      <c r="I247" s="1491"/>
      <c r="J247" s="1513"/>
      <c r="K247" s="4414"/>
      <c r="L247" s="4414"/>
      <c r="M247" s="4684"/>
    </row>
    <row r="248" spans="1:13" ht="30" customHeight="1" x14ac:dyDescent="0.2">
      <c r="A248" s="4464"/>
      <c r="B248" s="4600"/>
      <c r="C248" s="4540"/>
      <c r="D248" s="4414"/>
      <c r="E248" s="4516"/>
      <c r="F248" s="4414"/>
      <c r="G248" s="1469"/>
      <c r="H248" s="1469"/>
      <c r="I248" s="1491"/>
      <c r="J248" s="384"/>
      <c r="K248" s="4414"/>
      <c r="L248" s="4414"/>
      <c r="M248" s="4684"/>
    </row>
    <row r="249" spans="1:13" ht="30" customHeight="1" x14ac:dyDescent="0.2">
      <c r="A249" s="4464"/>
      <c r="B249" s="4600"/>
      <c r="C249" s="4540"/>
      <c r="D249" s="4414"/>
      <c r="E249" s="4516"/>
      <c r="F249" s="4414"/>
      <c r="G249" s="1469"/>
      <c r="H249" s="1469"/>
      <c r="I249" s="1491"/>
      <c r="J249" s="1513"/>
      <c r="K249" s="4414"/>
      <c r="L249" s="4414"/>
      <c r="M249" s="4684"/>
    </row>
    <row r="250" spans="1:13" ht="30" customHeight="1" x14ac:dyDescent="0.2">
      <c r="A250" s="4464"/>
      <c r="B250" s="4600"/>
      <c r="C250" s="4540"/>
      <c r="D250" s="4414"/>
      <c r="E250" s="4516"/>
      <c r="F250" s="4414"/>
      <c r="G250" s="1469"/>
      <c r="H250" s="1469"/>
      <c r="I250" s="1491"/>
      <c r="J250" s="1513"/>
      <c r="K250" s="4414"/>
      <c r="L250" s="4414"/>
      <c r="M250" s="4684"/>
    </row>
    <row r="251" spans="1:13" ht="30" customHeight="1" x14ac:dyDescent="0.2">
      <c r="A251" s="4460"/>
      <c r="B251" s="4607"/>
      <c r="C251" s="4538"/>
      <c r="D251" s="4415"/>
      <c r="E251" s="4477"/>
      <c r="F251" s="4415"/>
      <c r="G251" s="1469"/>
      <c r="H251" s="1469"/>
      <c r="I251" s="1491"/>
      <c r="J251" s="1513"/>
      <c r="K251" s="4415"/>
      <c r="L251" s="4415"/>
      <c r="M251" s="4493"/>
    </row>
    <row r="252" spans="1:13" ht="30" customHeight="1" x14ac:dyDescent="0.2">
      <c r="A252" s="1519">
        <v>143</v>
      </c>
      <c r="B252" s="1517" t="s">
        <v>9</v>
      </c>
      <c r="C252" s="1488"/>
      <c r="D252" s="1469">
        <v>50000000</v>
      </c>
      <c r="E252" s="1516">
        <v>0.04</v>
      </c>
      <c r="F252" s="1469">
        <f t="shared" si="17"/>
        <v>2000000</v>
      </c>
      <c r="G252" s="1469">
        <v>4000000</v>
      </c>
      <c r="H252" s="1469" t="s">
        <v>2916</v>
      </c>
      <c r="I252" s="1490" t="s">
        <v>2929</v>
      </c>
      <c r="J252" s="26" t="s">
        <v>2930</v>
      </c>
      <c r="K252" s="1469">
        <f>G252</f>
        <v>4000000</v>
      </c>
      <c r="L252" s="1469">
        <f t="shared" si="18"/>
        <v>-2000000</v>
      </c>
      <c r="M252" s="97" t="s">
        <v>2931</v>
      </c>
    </row>
    <row r="253" spans="1:13" ht="30" customHeight="1" x14ac:dyDescent="0.2">
      <c r="A253" s="1519">
        <v>144</v>
      </c>
      <c r="B253" s="1517" t="s">
        <v>514</v>
      </c>
      <c r="C253" s="1488"/>
      <c r="D253" s="1469">
        <v>5000000</v>
      </c>
      <c r="E253" s="1516">
        <v>0.05</v>
      </c>
      <c r="F253" s="1469">
        <f t="shared" si="17"/>
        <v>250000</v>
      </c>
      <c r="G253" s="1469">
        <v>250000</v>
      </c>
      <c r="H253" s="1469" t="s">
        <v>2875</v>
      </c>
      <c r="I253" s="1490" t="s">
        <v>2957</v>
      </c>
      <c r="J253" s="21" t="s">
        <v>516</v>
      </c>
      <c r="K253" s="1469">
        <f>G253</f>
        <v>250000</v>
      </c>
      <c r="L253" s="1469">
        <f t="shared" si="18"/>
        <v>0</v>
      </c>
      <c r="M253" s="1517"/>
    </row>
    <row r="254" spans="1:13" ht="30" customHeight="1" x14ac:dyDescent="0.2">
      <c r="A254" s="1519">
        <v>145</v>
      </c>
      <c r="B254" s="1517" t="s">
        <v>10</v>
      </c>
      <c r="C254" s="1488" t="s">
        <v>1172</v>
      </c>
      <c r="D254" s="1469">
        <v>105000000</v>
      </c>
      <c r="E254" s="1516">
        <v>0.04</v>
      </c>
      <c r="F254" s="1469">
        <f t="shared" si="17"/>
        <v>4200000</v>
      </c>
      <c r="G254" s="1469">
        <v>4200000</v>
      </c>
      <c r="H254" s="1469" t="s">
        <v>2689</v>
      </c>
      <c r="I254" s="1490" t="s">
        <v>2755</v>
      </c>
      <c r="J254" s="18" t="s">
        <v>1731</v>
      </c>
      <c r="K254" s="1469">
        <f>G254</f>
        <v>4200000</v>
      </c>
      <c r="L254" s="1469">
        <f t="shared" si="18"/>
        <v>0</v>
      </c>
      <c r="M254" s="1517"/>
    </row>
    <row r="255" spans="1:13" ht="30" customHeight="1" x14ac:dyDescent="0.2">
      <c r="A255" s="1519">
        <v>146</v>
      </c>
      <c r="B255" s="1517" t="s">
        <v>11</v>
      </c>
      <c r="C255" s="1488"/>
      <c r="D255" s="1469">
        <v>50000000</v>
      </c>
      <c r="E255" s="1516">
        <v>4.4999999999999998E-2</v>
      </c>
      <c r="F255" s="1469">
        <f t="shared" si="17"/>
        <v>2250000</v>
      </c>
      <c r="G255" s="1469"/>
      <c r="H255" s="1469"/>
      <c r="I255" s="1490"/>
      <c r="J255" s="21"/>
      <c r="K255" s="1469"/>
      <c r="L255" s="1469">
        <f t="shared" si="18"/>
        <v>2250000</v>
      </c>
      <c r="M255" s="1517"/>
    </row>
    <row r="256" spans="1:13" ht="30" customHeight="1" x14ac:dyDescent="0.2">
      <c r="A256" s="1519">
        <v>147</v>
      </c>
      <c r="B256" s="1517" t="s">
        <v>12</v>
      </c>
      <c r="C256" s="1488" t="s">
        <v>1295</v>
      </c>
      <c r="D256" s="1469">
        <v>30000000</v>
      </c>
      <c r="E256" s="1516">
        <v>0.04</v>
      </c>
      <c r="F256" s="1469">
        <f t="shared" si="17"/>
        <v>1200000</v>
      </c>
      <c r="G256" s="1469">
        <v>1200000</v>
      </c>
      <c r="H256" s="1469" t="s">
        <v>2656</v>
      </c>
      <c r="I256" s="1490" t="s">
        <v>2661</v>
      </c>
      <c r="J256" s="26" t="s">
        <v>512</v>
      </c>
      <c r="K256" s="1469">
        <f>G256</f>
        <v>1200000</v>
      </c>
      <c r="L256" s="1469">
        <f t="shared" si="18"/>
        <v>0</v>
      </c>
      <c r="M256" s="160" t="s">
        <v>513</v>
      </c>
    </row>
    <row r="257" spans="1:17" ht="30" customHeight="1" x14ac:dyDescent="0.2">
      <c r="A257" s="1462">
        <v>148</v>
      </c>
      <c r="B257" s="1514" t="s">
        <v>13</v>
      </c>
      <c r="C257" s="1518" t="s">
        <v>1497</v>
      </c>
      <c r="D257" s="1489">
        <v>55000000</v>
      </c>
      <c r="E257" s="1516">
        <v>0.05</v>
      </c>
      <c r="F257" s="1489">
        <f t="shared" si="17"/>
        <v>2750000</v>
      </c>
      <c r="G257" s="1489">
        <v>2750000</v>
      </c>
      <c r="H257" s="1489" t="s">
        <v>1916</v>
      </c>
      <c r="I257" s="1528" t="s">
        <v>2862</v>
      </c>
      <c r="J257" s="1513" t="s">
        <v>1401</v>
      </c>
      <c r="K257" s="1489">
        <f>G257</f>
        <v>2750000</v>
      </c>
      <c r="L257" s="1489">
        <f t="shared" si="18"/>
        <v>0</v>
      </c>
      <c r="M257" s="1484"/>
    </row>
    <row r="258" spans="1:17" ht="30" customHeight="1" x14ac:dyDescent="0.2">
      <c r="A258" s="1519">
        <v>149</v>
      </c>
      <c r="B258" s="1517" t="s">
        <v>14</v>
      </c>
      <c r="C258" s="1488" t="s">
        <v>1291</v>
      </c>
      <c r="D258" s="1469">
        <v>80000000</v>
      </c>
      <c r="E258" s="1466">
        <v>0.05</v>
      </c>
      <c r="F258" s="1469">
        <f t="shared" si="17"/>
        <v>4000000</v>
      </c>
      <c r="G258" s="1469">
        <v>4000000</v>
      </c>
      <c r="H258" s="1469" t="s">
        <v>2877</v>
      </c>
      <c r="I258" s="1490" t="s">
        <v>2963</v>
      </c>
      <c r="J258" s="382" t="s">
        <v>474</v>
      </c>
      <c r="K258" s="1469">
        <f t="shared" ref="K258:K263" si="20">G258</f>
        <v>4000000</v>
      </c>
      <c r="L258" s="1469">
        <f t="shared" si="18"/>
        <v>0</v>
      </c>
      <c r="M258" s="159" t="s">
        <v>357</v>
      </c>
    </row>
    <row r="259" spans="1:17" ht="30" customHeight="1" x14ac:dyDescent="0.2">
      <c r="A259" s="1519">
        <v>150</v>
      </c>
      <c r="B259" s="1517" t="s">
        <v>15</v>
      </c>
      <c r="C259" s="1488"/>
      <c r="D259" s="1478"/>
      <c r="E259" s="40"/>
      <c r="F259" s="1478">
        <f t="shared" si="17"/>
        <v>0</v>
      </c>
      <c r="G259" s="1469">
        <v>6400000</v>
      </c>
      <c r="H259" s="1469" t="s">
        <v>2965</v>
      </c>
      <c r="I259" s="1490" t="s">
        <v>2985</v>
      </c>
      <c r="J259" s="21" t="s">
        <v>2986</v>
      </c>
      <c r="K259" s="1469">
        <f t="shared" si="20"/>
        <v>6400000</v>
      </c>
      <c r="L259" s="1478">
        <f t="shared" si="18"/>
        <v>-6400000</v>
      </c>
      <c r="M259" s="1473" t="s">
        <v>2987</v>
      </c>
    </row>
    <row r="260" spans="1:17" ht="30" customHeight="1" x14ac:dyDescent="0.2">
      <c r="A260" s="1519">
        <v>151</v>
      </c>
      <c r="B260" s="1517" t="s">
        <v>16</v>
      </c>
      <c r="C260" s="1488" t="s">
        <v>1107</v>
      </c>
      <c r="D260" s="1469">
        <v>180000000</v>
      </c>
      <c r="E260" s="1516">
        <v>0.05</v>
      </c>
      <c r="F260" s="1469">
        <f t="shared" si="17"/>
        <v>9000000</v>
      </c>
      <c r="G260" s="1469">
        <v>9000000</v>
      </c>
      <c r="H260" s="1469" t="s">
        <v>3083</v>
      </c>
      <c r="I260" s="1509" t="s">
        <v>3086</v>
      </c>
      <c r="J260" s="21" t="s">
        <v>2149</v>
      </c>
      <c r="K260" s="1469">
        <f t="shared" si="20"/>
        <v>9000000</v>
      </c>
      <c r="L260" s="1469">
        <f t="shared" si="18"/>
        <v>0</v>
      </c>
      <c r="M260" s="1517"/>
    </row>
    <row r="261" spans="1:17" ht="30" customHeight="1" x14ac:dyDescent="0.2">
      <c r="A261" s="1519">
        <v>152</v>
      </c>
      <c r="B261" s="1517" t="s">
        <v>1115</v>
      </c>
      <c r="C261" s="1488" t="s">
        <v>3007</v>
      </c>
      <c r="D261" s="1469">
        <v>35000000</v>
      </c>
      <c r="E261" s="1516">
        <v>4.7E-2</v>
      </c>
      <c r="F261" s="1469">
        <v>1650000</v>
      </c>
      <c r="G261" s="1469">
        <v>1650000</v>
      </c>
      <c r="H261" s="1469" t="s">
        <v>3189</v>
      </c>
      <c r="I261" s="1490" t="s">
        <v>3191</v>
      </c>
      <c r="J261" s="21" t="s">
        <v>1117</v>
      </c>
      <c r="K261" s="1469">
        <f t="shared" si="20"/>
        <v>1650000</v>
      </c>
      <c r="L261" s="1469">
        <f t="shared" si="18"/>
        <v>0</v>
      </c>
      <c r="M261" s="1517"/>
    </row>
    <row r="262" spans="1:17" ht="30" customHeight="1" x14ac:dyDescent="0.2">
      <c r="A262" s="1519">
        <v>153</v>
      </c>
      <c r="B262" s="1517" t="s">
        <v>17</v>
      </c>
      <c r="C262" s="1488"/>
      <c r="D262" s="1469">
        <v>30000000</v>
      </c>
      <c r="E262" s="1516">
        <v>0.04</v>
      </c>
      <c r="F262" s="1469">
        <f t="shared" si="17"/>
        <v>1200000</v>
      </c>
      <c r="G262" s="1469">
        <v>1200000</v>
      </c>
      <c r="H262" s="1469" t="s">
        <v>3083</v>
      </c>
      <c r="I262" s="1490" t="s">
        <v>3099</v>
      </c>
      <c r="J262" s="21" t="s">
        <v>1143</v>
      </c>
      <c r="K262" s="1469">
        <f t="shared" si="20"/>
        <v>1200000</v>
      </c>
      <c r="L262" s="1469">
        <f t="shared" si="18"/>
        <v>0</v>
      </c>
      <c r="M262" s="1517"/>
    </row>
    <row r="263" spans="1:17" ht="30" customHeight="1" x14ac:dyDescent="0.2">
      <c r="A263" s="1519">
        <v>154</v>
      </c>
      <c r="B263" s="1517" t="s">
        <v>18</v>
      </c>
      <c r="C263" s="1488" t="s">
        <v>1796</v>
      </c>
      <c r="D263" s="1469">
        <v>15000000</v>
      </c>
      <c r="E263" s="1516">
        <v>7.0000000000000007E-2</v>
      </c>
      <c r="F263" s="1469">
        <f t="shared" si="17"/>
        <v>1050000</v>
      </c>
      <c r="G263" s="1469">
        <v>1050000</v>
      </c>
      <c r="H263" s="1469" t="s">
        <v>3227</v>
      </c>
      <c r="I263" s="1490" t="s">
        <v>3248</v>
      </c>
      <c r="J263" s="21" t="s">
        <v>1278</v>
      </c>
      <c r="K263" s="1469">
        <f t="shared" si="20"/>
        <v>1050000</v>
      </c>
      <c r="L263" s="1469">
        <f t="shared" si="18"/>
        <v>0</v>
      </c>
      <c r="M263" s="1517"/>
    </row>
    <row r="264" spans="1:17" ht="30" customHeight="1" x14ac:dyDescent="0.2">
      <c r="A264" s="1519">
        <v>155</v>
      </c>
      <c r="B264" s="1517" t="s">
        <v>19</v>
      </c>
      <c r="C264" s="1488"/>
      <c r="D264" s="1478"/>
      <c r="E264" s="40"/>
      <c r="F264" s="1478">
        <f t="shared" si="17"/>
        <v>0</v>
      </c>
      <c r="G264" s="1469"/>
      <c r="H264" s="1469"/>
      <c r="I264" s="1509"/>
      <c r="J264" s="21"/>
      <c r="K264" s="1469"/>
      <c r="L264" s="1478">
        <f t="shared" si="18"/>
        <v>0</v>
      </c>
      <c r="M264" s="1517"/>
    </row>
    <row r="265" spans="1:17" ht="30" customHeight="1" x14ac:dyDescent="0.2">
      <c r="A265" s="1462">
        <v>156</v>
      </c>
      <c r="B265" s="1514" t="s">
        <v>20</v>
      </c>
      <c r="C265" s="378"/>
      <c r="D265" s="1489">
        <v>50000000</v>
      </c>
      <c r="E265" s="1516">
        <v>0.04</v>
      </c>
      <c r="F265" s="1489">
        <f t="shared" si="17"/>
        <v>2000000</v>
      </c>
      <c r="G265" s="1469">
        <v>2000000</v>
      </c>
      <c r="H265" s="1469" t="s">
        <v>2875</v>
      </c>
      <c r="I265" s="1490" t="s">
        <v>2954</v>
      </c>
      <c r="J265" s="18" t="s">
        <v>462</v>
      </c>
      <c r="K265" s="1489">
        <f>G265</f>
        <v>2000000</v>
      </c>
      <c r="L265" s="1489">
        <f>F265-500000</f>
        <v>1500000</v>
      </c>
      <c r="M265" s="1473" t="s">
        <v>2955</v>
      </c>
    </row>
    <row r="266" spans="1:17" ht="30" customHeight="1" x14ac:dyDescent="0.2">
      <c r="A266" s="1519">
        <v>157</v>
      </c>
      <c r="B266" s="1517" t="s">
        <v>21</v>
      </c>
      <c r="C266" s="1488" t="s">
        <v>1294</v>
      </c>
      <c r="D266" s="1469">
        <v>20000000</v>
      </c>
      <c r="E266" s="1466">
        <v>0.05</v>
      </c>
      <c r="F266" s="1469">
        <f t="shared" si="17"/>
        <v>1000000</v>
      </c>
      <c r="G266" s="1469">
        <v>1000000</v>
      </c>
      <c r="H266" s="1469" t="s">
        <v>3004</v>
      </c>
      <c r="I266" s="1490" t="s">
        <v>3053</v>
      </c>
      <c r="J266" s="21" t="s">
        <v>690</v>
      </c>
      <c r="K266" s="1469">
        <f>G266</f>
        <v>1000000</v>
      </c>
      <c r="L266" s="1469">
        <f t="shared" si="18"/>
        <v>0</v>
      </c>
      <c r="M266" s="1517"/>
    </row>
    <row r="267" spans="1:17" ht="30" customHeight="1" x14ac:dyDescent="0.2">
      <c r="A267" s="4464"/>
      <c r="B267" s="4457" t="s">
        <v>822</v>
      </c>
      <c r="C267" s="1488" t="s">
        <v>1306</v>
      </c>
      <c r="D267" s="1469">
        <v>160000000</v>
      </c>
      <c r="E267" s="1516">
        <v>0.05</v>
      </c>
      <c r="F267" s="1469">
        <f>D267*E267</f>
        <v>8000000</v>
      </c>
      <c r="G267" s="4413">
        <v>9200000</v>
      </c>
      <c r="H267" s="4413" t="s">
        <v>3127</v>
      </c>
      <c r="I267" s="4555" t="s">
        <v>3128</v>
      </c>
      <c r="J267" s="4413" t="s">
        <v>3129</v>
      </c>
      <c r="K267" s="4413">
        <f>G267</f>
        <v>9200000</v>
      </c>
      <c r="L267" s="4413">
        <f>(F267+F268)-K267</f>
        <v>0</v>
      </c>
      <c r="M267" s="4724" t="s">
        <v>2205</v>
      </c>
      <c r="N267" s="4724"/>
      <c r="O267" s="4724"/>
      <c r="P267" s="4724"/>
      <c r="Q267" s="4724"/>
    </row>
    <row r="268" spans="1:17" ht="30" customHeight="1" x14ac:dyDescent="0.2">
      <c r="A268" s="4460"/>
      <c r="B268" s="4458"/>
      <c r="C268" s="1488" t="s">
        <v>1306</v>
      </c>
      <c r="D268" s="1469">
        <v>22000000</v>
      </c>
      <c r="E268" s="1516">
        <v>5.5E-2</v>
      </c>
      <c r="F268" s="1469">
        <v>1200000</v>
      </c>
      <c r="G268" s="4415"/>
      <c r="H268" s="4415"/>
      <c r="I268" s="4557"/>
      <c r="J268" s="4415"/>
      <c r="K268" s="4415"/>
      <c r="L268" s="4415"/>
      <c r="M268" s="1517"/>
    </row>
    <row r="269" spans="1:17" ht="30" customHeight="1" x14ac:dyDescent="0.2">
      <c r="A269" s="1519">
        <v>159</v>
      </c>
      <c r="B269" s="1517" t="s">
        <v>22</v>
      </c>
      <c r="C269" s="1488" t="s">
        <v>1300</v>
      </c>
      <c r="D269" s="1469">
        <v>25000000</v>
      </c>
      <c r="E269" s="1516">
        <v>0.05</v>
      </c>
      <c r="F269" s="1469">
        <f t="shared" si="17"/>
        <v>1250000</v>
      </c>
      <c r="G269" s="1469">
        <v>1250000</v>
      </c>
      <c r="H269" s="1469" t="s">
        <v>3004</v>
      </c>
      <c r="I269" s="1490" t="s">
        <v>3054</v>
      </c>
      <c r="J269" s="21" t="s">
        <v>2192</v>
      </c>
      <c r="K269" s="1469">
        <f>G269</f>
        <v>1250000</v>
      </c>
      <c r="L269" s="1469">
        <f t="shared" si="18"/>
        <v>0</v>
      </c>
      <c r="M269" s="1517"/>
    </row>
    <row r="270" spans="1:17" ht="30" customHeight="1" x14ac:dyDescent="0.2">
      <c r="A270" s="1519">
        <v>160</v>
      </c>
      <c r="B270" s="1517" t="s">
        <v>23</v>
      </c>
      <c r="C270" s="1488"/>
      <c r="D270" s="1469">
        <v>55000000</v>
      </c>
      <c r="E270" s="1516">
        <v>0.05</v>
      </c>
      <c r="F270" s="1469">
        <f t="shared" si="17"/>
        <v>2750000</v>
      </c>
      <c r="G270" s="1469"/>
      <c r="H270" s="1469"/>
      <c r="I270" s="1490"/>
      <c r="J270" s="21" t="s">
        <v>2162</v>
      </c>
      <c r="K270" s="1469">
        <f>G270</f>
        <v>0</v>
      </c>
      <c r="L270" s="1469">
        <f t="shared" si="18"/>
        <v>2750000</v>
      </c>
      <c r="M270" s="1517"/>
    </row>
    <row r="271" spans="1:17" ht="30" customHeight="1" x14ac:dyDescent="0.2">
      <c r="A271" s="1519">
        <v>161</v>
      </c>
      <c r="B271" s="1517" t="s">
        <v>24</v>
      </c>
      <c r="C271" s="1488" t="s">
        <v>1306</v>
      </c>
      <c r="D271" s="1469">
        <v>20000000</v>
      </c>
      <c r="E271" s="1516">
        <v>4.4999999999999998E-2</v>
      </c>
      <c r="F271" s="1469">
        <f t="shared" si="17"/>
        <v>900000</v>
      </c>
      <c r="G271" s="1469">
        <v>900000</v>
      </c>
      <c r="H271" s="1469" t="s">
        <v>3127</v>
      </c>
      <c r="I271" s="1490" t="s">
        <v>3154</v>
      </c>
      <c r="J271" s="21" t="s">
        <v>721</v>
      </c>
      <c r="K271" s="1469">
        <f>G271</f>
        <v>900000</v>
      </c>
      <c r="L271" s="1469">
        <f t="shared" si="18"/>
        <v>0</v>
      </c>
      <c r="M271" s="1517"/>
    </row>
    <row r="272" spans="1:17" ht="30" customHeight="1" x14ac:dyDescent="0.2">
      <c r="A272" s="1519">
        <v>162</v>
      </c>
      <c r="B272" s="1517" t="s">
        <v>25</v>
      </c>
      <c r="C272" s="1488" t="s">
        <v>1306</v>
      </c>
      <c r="D272" s="1469">
        <v>180000000</v>
      </c>
      <c r="E272" s="1516">
        <v>0.05</v>
      </c>
      <c r="F272" s="1469">
        <f t="shared" si="17"/>
        <v>9000000</v>
      </c>
      <c r="G272" s="1469">
        <v>9000000</v>
      </c>
      <c r="H272" s="1469" t="s">
        <v>3127</v>
      </c>
      <c r="I272" s="1490" t="s">
        <v>3131</v>
      </c>
      <c r="J272" s="21" t="s">
        <v>3132</v>
      </c>
      <c r="K272" s="1469">
        <f>G272</f>
        <v>9000000</v>
      </c>
      <c r="L272" s="1469">
        <f t="shared" si="18"/>
        <v>0</v>
      </c>
      <c r="M272" s="1517"/>
    </row>
    <row r="273" spans="1:17" ht="30" customHeight="1" x14ac:dyDescent="0.2">
      <c r="A273" s="1519">
        <v>163</v>
      </c>
      <c r="B273" s="1517" t="s">
        <v>828</v>
      </c>
      <c r="C273" s="1488"/>
      <c r="D273" s="1469">
        <v>200000000</v>
      </c>
      <c r="E273" s="1516">
        <v>0.05</v>
      </c>
      <c r="F273" s="1469">
        <f t="shared" si="17"/>
        <v>10000000</v>
      </c>
      <c r="G273" s="1469">
        <v>10000000</v>
      </c>
      <c r="H273" s="1469" t="s">
        <v>3127</v>
      </c>
      <c r="I273" s="1490" t="s">
        <v>3133</v>
      </c>
      <c r="J273" s="21" t="s">
        <v>3134</v>
      </c>
      <c r="K273" s="1469">
        <f>F273</f>
        <v>10000000</v>
      </c>
      <c r="L273" s="1469">
        <f t="shared" si="18"/>
        <v>0</v>
      </c>
      <c r="M273" s="1517"/>
    </row>
    <row r="274" spans="1:17" ht="30" customHeight="1" x14ac:dyDescent="0.2">
      <c r="A274" s="1519">
        <v>164</v>
      </c>
      <c r="B274" s="1517" t="s">
        <v>26</v>
      </c>
      <c r="C274" s="1488"/>
      <c r="D274" s="1469">
        <v>50000000</v>
      </c>
      <c r="E274" s="1516">
        <v>0.05</v>
      </c>
      <c r="F274" s="1469">
        <f t="shared" si="17"/>
        <v>2500000</v>
      </c>
      <c r="G274" s="1469">
        <v>2500000</v>
      </c>
      <c r="H274" s="1469" t="s">
        <v>3083</v>
      </c>
      <c r="I274" s="1490" t="s">
        <v>3091</v>
      </c>
      <c r="J274" s="21" t="s">
        <v>2199</v>
      </c>
      <c r="K274" s="1469">
        <f t="shared" ref="K274:K279" si="21">G274</f>
        <v>2500000</v>
      </c>
      <c r="L274" s="1469">
        <f t="shared" si="18"/>
        <v>0</v>
      </c>
      <c r="M274" s="1517"/>
    </row>
    <row r="275" spans="1:17" ht="30" customHeight="1" x14ac:dyDescent="0.2">
      <c r="A275" s="1519">
        <v>165</v>
      </c>
      <c r="B275" s="1517" t="s">
        <v>27</v>
      </c>
      <c r="C275" s="1488" t="s">
        <v>681</v>
      </c>
      <c r="D275" s="1469">
        <v>20000000</v>
      </c>
      <c r="E275" s="1516">
        <v>0.04</v>
      </c>
      <c r="F275" s="1469">
        <f t="shared" si="17"/>
        <v>800000</v>
      </c>
      <c r="G275" s="1469">
        <v>800000</v>
      </c>
      <c r="H275" s="1469" t="s">
        <v>3083</v>
      </c>
      <c r="I275" s="1490" t="s">
        <v>3087</v>
      </c>
      <c r="J275" s="21" t="s">
        <v>743</v>
      </c>
      <c r="K275" s="1469">
        <f t="shared" si="21"/>
        <v>800000</v>
      </c>
      <c r="L275" s="1469">
        <f t="shared" si="18"/>
        <v>0</v>
      </c>
      <c r="M275" s="1517"/>
    </row>
    <row r="276" spans="1:17" ht="30" customHeight="1" x14ac:dyDescent="0.2">
      <c r="A276" s="1519">
        <v>166</v>
      </c>
      <c r="B276" s="1517" t="s">
        <v>28</v>
      </c>
      <c r="C276" s="1488" t="s">
        <v>551</v>
      </c>
      <c r="D276" s="1469">
        <v>100000000</v>
      </c>
      <c r="E276" s="1516">
        <v>0.05</v>
      </c>
      <c r="F276" s="1469">
        <f t="shared" si="17"/>
        <v>5000000</v>
      </c>
      <c r="G276" s="1469">
        <v>5000000</v>
      </c>
      <c r="H276" s="1469" t="s">
        <v>2897</v>
      </c>
      <c r="I276" s="1490" t="s">
        <v>3013</v>
      </c>
      <c r="J276" s="26" t="s">
        <v>553</v>
      </c>
      <c r="K276" s="1469">
        <f t="shared" si="21"/>
        <v>5000000</v>
      </c>
      <c r="L276" s="1469">
        <f t="shared" si="18"/>
        <v>0</v>
      </c>
      <c r="M276" s="1517"/>
    </row>
    <row r="277" spans="1:17" ht="30" customHeight="1" x14ac:dyDescent="0.2">
      <c r="A277" s="1519">
        <v>167</v>
      </c>
      <c r="B277" s="1517" t="s">
        <v>737</v>
      </c>
      <c r="C277" s="1488" t="s">
        <v>1306</v>
      </c>
      <c r="D277" s="1469">
        <v>50000000</v>
      </c>
      <c r="E277" s="1516">
        <v>0.05</v>
      </c>
      <c r="F277" s="1469">
        <f t="shared" si="17"/>
        <v>2500000</v>
      </c>
      <c r="G277" s="1469">
        <v>2500000</v>
      </c>
      <c r="H277" s="1469" t="s">
        <v>3004</v>
      </c>
      <c r="I277" s="1490" t="s">
        <v>3055</v>
      </c>
      <c r="J277" s="21" t="s">
        <v>739</v>
      </c>
      <c r="K277" s="1469">
        <f t="shared" si="21"/>
        <v>2500000</v>
      </c>
      <c r="L277" s="1469">
        <f t="shared" si="18"/>
        <v>0</v>
      </c>
      <c r="M277" s="1517"/>
    </row>
    <row r="278" spans="1:17" ht="30" customHeight="1" x14ac:dyDescent="0.2">
      <c r="A278" s="1519">
        <v>168</v>
      </c>
      <c r="B278" s="1517" t="s">
        <v>818</v>
      </c>
      <c r="C278" s="1488"/>
      <c r="D278" s="1469">
        <v>50000000</v>
      </c>
      <c r="E278" s="1516">
        <v>7.0000000000000007E-2</v>
      </c>
      <c r="F278" s="1469">
        <f t="shared" si="17"/>
        <v>3500000.0000000005</v>
      </c>
      <c r="G278" s="1469">
        <v>3500000</v>
      </c>
      <c r="H278" s="1469" t="s">
        <v>3083</v>
      </c>
      <c r="I278" s="1490" t="s">
        <v>3084</v>
      </c>
      <c r="J278" s="21" t="s">
        <v>3085</v>
      </c>
      <c r="K278" s="1469">
        <f t="shared" si="21"/>
        <v>3500000</v>
      </c>
      <c r="L278" s="1469">
        <f t="shared" si="18"/>
        <v>0</v>
      </c>
      <c r="M278" s="1517"/>
    </row>
    <row r="279" spans="1:17" ht="30" customHeight="1" x14ac:dyDescent="0.2">
      <c r="A279" s="4459">
        <v>169</v>
      </c>
      <c r="B279" s="4599" t="s">
        <v>29</v>
      </c>
      <c r="C279" s="4537"/>
      <c r="D279" s="1469">
        <v>18000000</v>
      </c>
      <c r="E279" s="1516">
        <v>4.4999999999999998E-2</v>
      </c>
      <c r="F279" s="1469">
        <f t="shared" si="17"/>
        <v>810000</v>
      </c>
      <c r="G279" s="4413">
        <v>1000000</v>
      </c>
      <c r="H279" s="4413" t="s">
        <v>3083</v>
      </c>
      <c r="I279" s="4555" t="s">
        <v>3089</v>
      </c>
      <c r="J279" s="4413" t="s">
        <v>3090</v>
      </c>
      <c r="K279" s="4413">
        <f t="shared" si="21"/>
        <v>1000000</v>
      </c>
      <c r="L279" s="4413">
        <f>F281-K279</f>
        <v>0</v>
      </c>
      <c r="M279" s="1526"/>
    </row>
    <row r="280" spans="1:17" ht="30" customHeight="1" x14ac:dyDescent="0.2">
      <c r="A280" s="4464"/>
      <c r="B280" s="4600"/>
      <c r="C280" s="4540"/>
      <c r="D280" s="1469">
        <v>2000000</v>
      </c>
      <c r="E280" s="1516">
        <v>4.4999999999999998E-2</v>
      </c>
      <c r="F280" s="1469">
        <f>D280*E280</f>
        <v>90000</v>
      </c>
      <c r="G280" s="4414"/>
      <c r="H280" s="4414"/>
      <c r="I280" s="4556"/>
      <c r="J280" s="4414"/>
      <c r="K280" s="4414"/>
      <c r="L280" s="4414"/>
      <c r="M280" s="4469"/>
      <c r="N280" s="4470"/>
      <c r="O280" s="4470"/>
      <c r="P280" s="4470"/>
      <c r="Q280" s="4471"/>
    </row>
    <row r="281" spans="1:17" ht="30" customHeight="1" x14ac:dyDescent="0.2">
      <c r="A281" s="4460"/>
      <c r="B281" s="4607"/>
      <c r="C281" s="4538"/>
      <c r="D281" s="1500">
        <v>20000000</v>
      </c>
      <c r="E281" s="1299">
        <v>0.05</v>
      </c>
      <c r="F281" s="1500">
        <f>D281*E281</f>
        <v>1000000</v>
      </c>
      <c r="G281" s="4415"/>
      <c r="H281" s="4415"/>
      <c r="I281" s="4557"/>
      <c r="J281" s="4415"/>
      <c r="K281" s="4415"/>
      <c r="L281" s="4415"/>
      <c r="M281" s="4623" t="s">
        <v>2207</v>
      </c>
      <c r="N281" s="4624"/>
      <c r="O281" s="4624"/>
      <c r="P281" s="4624"/>
      <c r="Q281" s="4625"/>
    </row>
    <row r="282" spans="1:17" ht="30" customHeight="1" x14ac:dyDescent="0.2">
      <c r="A282" s="1519">
        <v>170</v>
      </c>
      <c r="B282" s="1517" t="s">
        <v>30</v>
      </c>
      <c r="C282" s="1488" t="s">
        <v>1107</v>
      </c>
      <c r="D282" s="1469">
        <v>70000000</v>
      </c>
      <c r="E282" s="1516">
        <v>0.05</v>
      </c>
      <c r="F282" s="1469">
        <f t="shared" si="17"/>
        <v>3500000</v>
      </c>
      <c r="G282" s="1469">
        <v>3500000</v>
      </c>
      <c r="H282" s="1469" t="s">
        <v>3127</v>
      </c>
      <c r="I282" s="1490" t="s">
        <v>3151</v>
      </c>
      <c r="J282" s="21" t="s">
        <v>1127</v>
      </c>
      <c r="K282" s="1469">
        <f>G282</f>
        <v>3500000</v>
      </c>
      <c r="L282" s="1469">
        <f t="shared" si="18"/>
        <v>0</v>
      </c>
      <c r="M282" s="1517"/>
    </row>
    <row r="283" spans="1:17" ht="30" customHeight="1" x14ac:dyDescent="0.2">
      <c r="A283" s="1519">
        <v>171</v>
      </c>
      <c r="B283" s="1517" t="s">
        <v>31</v>
      </c>
      <c r="C283" s="1488" t="s">
        <v>1293</v>
      </c>
      <c r="D283" s="1478"/>
      <c r="E283" s="40"/>
      <c r="F283" s="1469">
        <v>400000</v>
      </c>
      <c r="G283" s="1469">
        <v>400000</v>
      </c>
      <c r="H283" s="1469" t="s">
        <v>2916</v>
      </c>
      <c r="I283" s="1490" t="s">
        <v>2935</v>
      </c>
      <c r="J283" s="21" t="s">
        <v>670</v>
      </c>
      <c r="K283" s="1469">
        <f>G283</f>
        <v>400000</v>
      </c>
      <c r="L283" s="1469">
        <f t="shared" si="18"/>
        <v>0</v>
      </c>
      <c r="M283" s="97"/>
    </row>
    <row r="284" spans="1:17" ht="30" customHeight="1" x14ac:dyDescent="0.2">
      <c r="A284" s="4459">
        <v>172</v>
      </c>
      <c r="B284" s="4457" t="s">
        <v>32</v>
      </c>
      <c r="C284" s="4620"/>
      <c r="D284" s="1469">
        <v>5000000</v>
      </c>
      <c r="E284" s="1516">
        <v>0.06</v>
      </c>
      <c r="F284" s="1469">
        <f t="shared" si="17"/>
        <v>300000</v>
      </c>
      <c r="G284" s="1469">
        <v>300000</v>
      </c>
      <c r="H284" s="1469" t="s">
        <v>3227</v>
      </c>
      <c r="I284" s="1490" t="s">
        <v>3261</v>
      </c>
      <c r="J284" s="21" t="s">
        <v>632</v>
      </c>
      <c r="K284" s="1469">
        <f>G284</f>
        <v>300000</v>
      </c>
      <c r="L284" s="1469">
        <f t="shared" si="18"/>
        <v>0</v>
      </c>
      <c r="M284" s="1517"/>
    </row>
    <row r="285" spans="1:17" ht="30" customHeight="1" x14ac:dyDescent="0.2">
      <c r="A285" s="4460"/>
      <c r="B285" s="4458"/>
      <c r="C285" s="4620"/>
      <c r="D285" s="1478"/>
      <c r="E285" s="40"/>
      <c r="F285" s="1478"/>
      <c r="G285" s="4623" t="s">
        <v>3258</v>
      </c>
      <c r="H285" s="4624"/>
      <c r="I285" s="4624"/>
      <c r="J285" s="4624"/>
      <c r="K285" s="4625"/>
      <c r="L285" s="1478"/>
      <c r="M285" s="1517"/>
    </row>
    <row r="286" spans="1:17" ht="30" customHeight="1" x14ac:dyDescent="0.2">
      <c r="A286" s="1519">
        <v>173</v>
      </c>
      <c r="B286" s="1517" t="s">
        <v>33</v>
      </c>
      <c r="C286" s="1488"/>
      <c r="D286" s="1469">
        <v>40000000</v>
      </c>
      <c r="E286" s="1516">
        <v>0.05</v>
      </c>
      <c r="F286" s="1469">
        <f t="shared" si="17"/>
        <v>2000000</v>
      </c>
      <c r="G286" s="1469">
        <v>2000000</v>
      </c>
      <c r="H286" s="1469" t="s">
        <v>3083</v>
      </c>
      <c r="I286" s="1490" t="s">
        <v>3088</v>
      </c>
      <c r="J286" s="21" t="s">
        <v>838</v>
      </c>
      <c r="K286" s="1469">
        <f>G286</f>
        <v>2000000</v>
      </c>
      <c r="L286" s="1469">
        <f t="shared" si="18"/>
        <v>0</v>
      </c>
      <c r="M286" s="1517"/>
    </row>
    <row r="287" spans="1:17" ht="30" customHeight="1" x14ac:dyDescent="0.2">
      <c r="A287" s="4459">
        <v>174</v>
      </c>
      <c r="B287" s="4457" t="s">
        <v>34</v>
      </c>
      <c r="C287" s="4537" t="s">
        <v>1287</v>
      </c>
      <c r="D287" s="4413">
        <v>4545000000</v>
      </c>
      <c r="E287" s="4476">
        <v>7.0000000000000007E-2</v>
      </c>
      <c r="F287" s="4413">
        <v>318000000</v>
      </c>
      <c r="G287" s="1469">
        <v>5000000</v>
      </c>
      <c r="H287" s="1469" t="s">
        <v>2532</v>
      </c>
      <c r="I287" s="1490" t="s">
        <v>2546</v>
      </c>
      <c r="J287" s="21" t="s">
        <v>2547</v>
      </c>
      <c r="K287" s="4413">
        <f>G287+G288</f>
        <v>30000000</v>
      </c>
      <c r="L287" s="4413">
        <f>F287-K287</f>
        <v>288000000</v>
      </c>
      <c r="M287" s="1459"/>
    </row>
    <row r="288" spans="1:17" ht="30" customHeight="1" x14ac:dyDescent="0.2">
      <c r="A288" s="4464"/>
      <c r="B288" s="4488"/>
      <c r="C288" s="4540"/>
      <c r="D288" s="4414"/>
      <c r="E288" s="4516"/>
      <c r="F288" s="4414"/>
      <c r="G288" s="1469">
        <v>25000000</v>
      </c>
      <c r="H288" s="1469" t="s">
        <v>2803</v>
      </c>
      <c r="I288" s="1490" t="s">
        <v>2804</v>
      </c>
      <c r="J288" s="21" t="s">
        <v>2805</v>
      </c>
      <c r="K288" s="4415"/>
      <c r="L288" s="4414"/>
      <c r="M288" s="1460" t="s">
        <v>2888</v>
      </c>
    </row>
    <row r="289" spans="1:13" ht="30" customHeight="1" x14ac:dyDescent="0.2">
      <c r="A289" s="4464"/>
      <c r="B289" s="4488"/>
      <c r="C289" s="4540"/>
      <c r="D289" s="4415"/>
      <c r="E289" s="4477"/>
      <c r="F289" s="4415"/>
      <c r="G289" s="4623" t="s">
        <v>2806</v>
      </c>
      <c r="H289" s="4624"/>
      <c r="I289" s="4624"/>
      <c r="J289" s="4624"/>
      <c r="K289" s="4625"/>
      <c r="L289" s="4415"/>
      <c r="M289" s="1461" t="s">
        <v>2324</v>
      </c>
    </row>
    <row r="290" spans="1:13" ht="30" customHeight="1" x14ac:dyDescent="0.2">
      <c r="A290" s="4464"/>
      <c r="B290" s="4488"/>
      <c r="C290" s="4540"/>
      <c r="D290" s="1469"/>
      <c r="E290" s="1466"/>
      <c r="F290" s="1469"/>
      <c r="G290" s="4623" t="s">
        <v>2885</v>
      </c>
      <c r="H290" s="4624"/>
      <c r="I290" s="4624"/>
      <c r="J290" s="4624"/>
      <c r="K290" s="4625"/>
      <c r="L290" s="1469"/>
      <c r="M290" s="1461" t="s">
        <v>2886</v>
      </c>
    </row>
    <row r="291" spans="1:13" ht="30" customHeight="1" x14ac:dyDescent="0.2">
      <c r="A291" s="4464"/>
      <c r="B291" s="4488"/>
      <c r="C291" s="4540"/>
      <c r="D291" s="1469"/>
      <c r="E291" s="1466"/>
      <c r="F291" s="1469"/>
      <c r="G291" s="4623" t="s">
        <v>4269</v>
      </c>
      <c r="H291" s="4624"/>
      <c r="I291" s="4624"/>
      <c r="J291" s="4624"/>
      <c r="K291" s="4625"/>
      <c r="L291" s="1469"/>
      <c r="M291" s="1461"/>
    </row>
    <row r="292" spans="1:13" ht="30" customHeight="1" x14ac:dyDescent="0.2">
      <c r="A292" s="4460"/>
      <c r="B292" s="4458"/>
      <c r="C292" s="4538"/>
      <c r="D292" s="1469">
        <v>5000000000</v>
      </c>
      <c r="E292" s="1466">
        <v>0.08</v>
      </c>
      <c r="F292" s="1469">
        <f>D292*E292</f>
        <v>400000000</v>
      </c>
      <c r="G292" s="4623" t="s">
        <v>2887</v>
      </c>
      <c r="H292" s="4624"/>
      <c r="I292" s="4624"/>
      <c r="J292" s="4624"/>
      <c r="K292" s="4625"/>
      <c r="L292" s="1469"/>
      <c r="M292" s="1461"/>
    </row>
    <row r="293" spans="1:13" ht="30" customHeight="1" x14ac:dyDescent="0.2">
      <c r="A293" s="1519">
        <v>175</v>
      </c>
      <c r="B293" s="1517" t="s">
        <v>36</v>
      </c>
      <c r="C293" s="1488"/>
      <c r="D293" s="1469">
        <v>200000000</v>
      </c>
      <c r="E293" s="1466">
        <v>0.05</v>
      </c>
      <c r="F293" s="1469">
        <f t="shared" si="17"/>
        <v>10000000</v>
      </c>
      <c r="G293" s="1469">
        <v>10000000</v>
      </c>
      <c r="H293" s="1469" t="s">
        <v>3144</v>
      </c>
      <c r="I293" s="1496" t="s">
        <v>3181</v>
      </c>
      <c r="J293" s="21" t="s">
        <v>2221</v>
      </c>
      <c r="K293" s="1469">
        <f t="shared" ref="K293:K296" si="22">G293</f>
        <v>10000000</v>
      </c>
      <c r="L293" s="1469">
        <f t="shared" si="18"/>
        <v>0</v>
      </c>
      <c r="M293" s="1517"/>
    </row>
    <row r="294" spans="1:13" ht="30" customHeight="1" x14ac:dyDescent="0.2">
      <c r="A294" s="1519">
        <v>176</v>
      </c>
      <c r="B294" s="1517" t="s">
        <v>37</v>
      </c>
      <c r="C294" s="1488" t="s">
        <v>1107</v>
      </c>
      <c r="D294" s="1469">
        <v>150000000</v>
      </c>
      <c r="E294" s="1516">
        <v>7.0000000000000007E-2</v>
      </c>
      <c r="F294" s="1469">
        <f t="shared" si="17"/>
        <v>10500000.000000002</v>
      </c>
      <c r="G294" s="1469">
        <v>10500000</v>
      </c>
      <c r="H294" s="1469" t="s">
        <v>3189</v>
      </c>
      <c r="I294" s="1496" t="s">
        <v>3222</v>
      </c>
      <c r="J294" s="21" t="s">
        <v>3223</v>
      </c>
      <c r="K294" s="1469">
        <f t="shared" si="22"/>
        <v>10500000</v>
      </c>
      <c r="L294" s="1469">
        <f t="shared" si="18"/>
        <v>0</v>
      </c>
      <c r="M294" s="1517"/>
    </row>
    <row r="295" spans="1:13" ht="30" customHeight="1" x14ac:dyDescent="0.2">
      <c r="A295" s="1519">
        <v>177</v>
      </c>
      <c r="B295" s="1517" t="s">
        <v>38</v>
      </c>
      <c r="C295" s="1488" t="s">
        <v>1299</v>
      </c>
      <c r="D295" s="1469">
        <v>25000000</v>
      </c>
      <c r="E295" s="1516">
        <v>0.04</v>
      </c>
      <c r="F295" s="1469">
        <f t="shared" si="17"/>
        <v>1000000</v>
      </c>
      <c r="G295" s="1469">
        <v>1000000</v>
      </c>
      <c r="H295" s="1469" t="s">
        <v>3004</v>
      </c>
      <c r="I295" s="1490" t="s">
        <v>3058</v>
      </c>
      <c r="J295" s="18" t="s">
        <v>2175</v>
      </c>
      <c r="K295" s="1469">
        <f t="shared" si="22"/>
        <v>1000000</v>
      </c>
      <c r="L295" s="1469">
        <f t="shared" si="18"/>
        <v>0</v>
      </c>
      <c r="M295" s="1517"/>
    </row>
    <row r="296" spans="1:13" ht="30" customHeight="1" x14ac:dyDescent="0.2">
      <c r="A296" s="1519">
        <v>178</v>
      </c>
      <c r="B296" s="1517" t="s">
        <v>39</v>
      </c>
      <c r="C296" s="1488"/>
      <c r="D296" s="1469">
        <v>90000000</v>
      </c>
      <c r="E296" s="1516">
        <v>4.4999999999999998E-2</v>
      </c>
      <c r="F296" s="1469">
        <v>4000000</v>
      </c>
      <c r="G296" s="1469">
        <v>4000000</v>
      </c>
      <c r="H296" s="1469" t="s">
        <v>3002</v>
      </c>
      <c r="I296" s="1490" t="s">
        <v>3036</v>
      </c>
      <c r="J296" s="21" t="s">
        <v>2164</v>
      </c>
      <c r="K296" s="1469">
        <f t="shared" si="22"/>
        <v>4000000</v>
      </c>
      <c r="L296" s="1469">
        <f t="shared" si="18"/>
        <v>0</v>
      </c>
      <c r="M296" s="1517"/>
    </row>
    <row r="297" spans="1:13" ht="30" customHeight="1" x14ac:dyDescent="0.2">
      <c r="A297" s="383">
        <v>179</v>
      </c>
      <c r="B297" s="1514" t="s">
        <v>40</v>
      </c>
      <c r="C297" s="1487"/>
      <c r="D297" s="1477"/>
      <c r="E297" s="1479"/>
      <c r="F297" s="1477">
        <f t="shared" si="17"/>
        <v>0</v>
      </c>
      <c r="G297" s="1469">
        <v>16000000</v>
      </c>
      <c r="H297" s="1469" t="s">
        <v>3127</v>
      </c>
      <c r="I297" s="1509" t="s">
        <v>3137</v>
      </c>
      <c r="J297" s="21" t="s">
        <v>1090</v>
      </c>
      <c r="K297" s="1467">
        <f>G297</f>
        <v>16000000</v>
      </c>
      <c r="L297" s="1477">
        <f t="shared" si="18"/>
        <v>-16000000</v>
      </c>
      <c r="M297" s="1484"/>
    </row>
    <row r="298" spans="1:13" ht="30" customHeight="1" x14ac:dyDescent="0.2">
      <c r="A298" s="4459">
        <v>180</v>
      </c>
      <c r="B298" s="4457" t="s">
        <v>41</v>
      </c>
      <c r="C298" s="4498" t="s">
        <v>2403</v>
      </c>
      <c r="D298" s="4413">
        <v>300000000</v>
      </c>
      <c r="E298" s="4476">
        <v>5.7000000000000002E-2</v>
      </c>
      <c r="F298" s="4413">
        <v>17000000</v>
      </c>
      <c r="G298" s="1489">
        <v>16000000</v>
      </c>
      <c r="H298" s="1489" t="s">
        <v>3144</v>
      </c>
      <c r="I298" s="1512" t="s">
        <v>3177</v>
      </c>
      <c r="J298" s="1513" t="s">
        <v>2260</v>
      </c>
      <c r="K298" s="4413">
        <f>G298+G299</f>
        <v>17000000</v>
      </c>
      <c r="L298" s="4413">
        <f t="shared" si="18"/>
        <v>0</v>
      </c>
      <c r="M298" s="4599"/>
    </row>
    <row r="299" spans="1:13" ht="30" customHeight="1" x14ac:dyDescent="0.2">
      <c r="A299" s="4460"/>
      <c r="B299" s="4458"/>
      <c r="C299" s="4499"/>
      <c r="D299" s="4415"/>
      <c r="E299" s="4477"/>
      <c r="F299" s="4415"/>
      <c r="G299" s="1469">
        <v>1000000</v>
      </c>
      <c r="H299" s="1469" t="s">
        <v>3227</v>
      </c>
      <c r="I299" s="1509" t="s">
        <v>3235</v>
      </c>
      <c r="J299" s="21" t="s">
        <v>3236</v>
      </c>
      <c r="K299" s="4415"/>
      <c r="L299" s="4415"/>
      <c r="M299" s="4607"/>
    </row>
    <row r="300" spans="1:13" ht="30" customHeight="1" x14ac:dyDescent="0.2">
      <c r="A300" s="1519">
        <v>181</v>
      </c>
      <c r="B300" s="1517" t="s">
        <v>42</v>
      </c>
      <c r="C300" s="1488" t="s">
        <v>989</v>
      </c>
      <c r="D300" s="1469">
        <v>50000000</v>
      </c>
      <c r="E300" s="1466">
        <v>0.05</v>
      </c>
      <c r="F300" s="1469">
        <f t="shared" si="17"/>
        <v>2500000</v>
      </c>
      <c r="G300" s="1469">
        <v>2500000</v>
      </c>
      <c r="H300" s="1469" t="s">
        <v>3189</v>
      </c>
      <c r="I300" s="1490" t="s">
        <v>3192</v>
      </c>
      <c r="J300" s="21" t="s">
        <v>3193</v>
      </c>
      <c r="K300" s="1469">
        <f t="shared" ref="K300:K308" si="23">G300</f>
        <v>2500000</v>
      </c>
      <c r="L300" s="1469">
        <f t="shared" si="18"/>
        <v>0</v>
      </c>
      <c r="M300" s="1517"/>
    </row>
    <row r="301" spans="1:13" ht="30" customHeight="1" x14ac:dyDescent="0.2">
      <c r="A301" s="4459">
        <v>182</v>
      </c>
      <c r="B301" s="4457" t="s">
        <v>43</v>
      </c>
      <c r="C301" s="4537" t="s">
        <v>989</v>
      </c>
      <c r="D301" s="1469">
        <v>25000000</v>
      </c>
      <c r="E301" s="1516">
        <v>0.05</v>
      </c>
      <c r="F301" s="1469">
        <f t="shared" ref="F301:F380" si="24">D301*E301</f>
        <v>1250000</v>
      </c>
      <c r="G301" s="4303" t="s">
        <v>2733</v>
      </c>
      <c r="H301" s="4324"/>
      <c r="I301" s="4324"/>
      <c r="J301" s="4324"/>
      <c r="K301" s="4355"/>
      <c r="L301" s="1469"/>
      <c r="M301" s="1517"/>
    </row>
    <row r="302" spans="1:13" ht="30" customHeight="1" x14ac:dyDescent="0.2">
      <c r="A302" s="4464"/>
      <c r="B302" s="4488"/>
      <c r="C302" s="4540"/>
      <c r="D302" s="1469">
        <v>100000000</v>
      </c>
      <c r="E302" s="1516">
        <v>0.05</v>
      </c>
      <c r="F302" s="1469">
        <f>D302*E302</f>
        <v>5000000</v>
      </c>
      <c r="G302" s="4623" t="s">
        <v>2765</v>
      </c>
      <c r="H302" s="4624"/>
      <c r="I302" s="4624"/>
      <c r="J302" s="4624"/>
      <c r="K302" s="4625"/>
      <c r="L302" s="1469"/>
      <c r="M302" s="1517"/>
    </row>
    <row r="303" spans="1:13" ht="30" customHeight="1" x14ac:dyDescent="0.2">
      <c r="A303" s="4464"/>
      <c r="B303" s="4488"/>
      <c r="C303" s="4540"/>
      <c r="D303" s="1500">
        <v>125000000</v>
      </c>
      <c r="E303" s="1299">
        <v>0.05</v>
      </c>
      <c r="F303" s="1500">
        <f>D303*E303</f>
        <v>6250000</v>
      </c>
      <c r="G303" s="4623" t="s">
        <v>3167</v>
      </c>
      <c r="H303" s="4624"/>
      <c r="I303" s="4624"/>
      <c r="J303" s="4624"/>
      <c r="K303" s="4625"/>
      <c r="L303" s="1469"/>
      <c r="M303" s="1517"/>
    </row>
    <row r="304" spans="1:13" ht="30" customHeight="1" x14ac:dyDescent="0.2">
      <c r="A304" s="4460"/>
      <c r="B304" s="4458"/>
      <c r="C304" s="4538"/>
      <c r="D304" s="1500"/>
      <c r="E304" s="1299"/>
      <c r="F304" s="1500"/>
      <c r="G304" s="1469">
        <v>3750000</v>
      </c>
      <c r="H304" s="1469" t="s">
        <v>3305</v>
      </c>
      <c r="I304" s="1490" t="s">
        <v>3347</v>
      </c>
      <c r="J304" s="21" t="s">
        <v>3348</v>
      </c>
      <c r="K304" s="1469">
        <f>G304</f>
        <v>3750000</v>
      </c>
      <c r="L304" s="1469"/>
      <c r="M304" s="388" t="s">
        <v>3349</v>
      </c>
    </row>
    <row r="305" spans="1:13" ht="30" customHeight="1" x14ac:dyDescent="0.2">
      <c r="A305" s="1519">
        <v>183</v>
      </c>
      <c r="B305" s="1517" t="s">
        <v>44</v>
      </c>
      <c r="C305" s="1488" t="s">
        <v>1100</v>
      </c>
      <c r="D305" s="1469">
        <v>100000000</v>
      </c>
      <c r="E305" s="1516">
        <v>0.05</v>
      </c>
      <c r="F305" s="1469">
        <f t="shared" si="24"/>
        <v>5000000</v>
      </c>
      <c r="G305" s="1469">
        <v>5000000</v>
      </c>
      <c r="H305" s="1469" t="s">
        <v>3286</v>
      </c>
      <c r="I305" s="1490" t="s">
        <v>3295</v>
      </c>
      <c r="J305" s="21" t="s">
        <v>1148</v>
      </c>
      <c r="K305" s="1469">
        <f t="shared" si="23"/>
        <v>5000000</v>
      </c>
      <c r="L305" s="1469">
        <f t="shared" ref="L305:L338" si="25">F305-K305</f>
        <v>0</v>
      </c>
      <c r="M305" s="159"/>
    </row>
    <row r="306" spans="1:13" ht="30" customHeight="1" x14ac:dyDescent="0.2">
      <c r="A306" s="1519">
        <v>184</v>
      </c>
      <c r="B306" s="1517" t="s">
        <v>45</v>
      </c>
      <c r="C306" s="1488" t="s">
        <v>989</v>
      </c>
      <c r="D306" s="1469">
        <v>20000000</v>
      </c>
      <c r="E306" s="1516">
        <v>0.05</v>
      </c>
      <c r="F306" s="1469">
        <f t="shared" si="24"/>
        <v>1000000</v>
      </c>
      <c r="G306" s="1469">
        <v>1000000</v>
      </c>
      <c r="H306" s="1469" t="s">
        <v>3127</v>
      </c>
      <c r="I306" s="1490" t="s">
        <v>3150</v>
      </c>
      <c r="J306" s="21" t="s">
        <v>2327</v>
      </c>
      <c r="K306" s="1469">
        <f t="shared" si="23"/>
        <v>1000000</v>
      </c>
      <c r="L306" s="1469">
        <f t="shared" si="25"/>
        <v>0</v>
      </c>
      <c r="M306" s="1517"/>
    </row>
    <row r="307" spans="1:13" ht="30" customHeight="1" x14ac:dyDescent="0.2">
      <c r="A307" s="1519">
        <v>185</v>
      </c>
      <c r="B307" s="1517" t="s">
        <v>46</v>
      </c>
      <c r="C307" s="1488" t="s">
        <v>990</v>
      </c>
      <c r="D307" s="1469">
        <v>70000000</v>
      </c>
      <c r="E307" s="1516">
        <v>0.05</v>
      </c>
      <c r="F307" s="1469">
        <f t="shared" si="24"/>
        <v>3500000</v>
      </c>
      <c r="G307" s="1469">
        <v>3500000</v>
      </c>
      <c r="H307" s="1469" t="s">
        <v>3144</v>
      </c>
      <c r="I307" s="1490" t="s">
        <v>3185</v>
      </c>
      <c r="J307" s="21" t="s">
        <v>1086</v>
      </c>
      <c r="K307" s="1469">
        <f t="shared" si="23"/>
        <v>3500000</v>
      </c>
      <c r="L307" s="1469">
        <f t="shared" si="25"/>
        <v>0</v>
      </c>
      <c r="M307" s="1517"/>
    </row>
    <row r="308" spans="1:13" ht="30" customHeight="1" x14ac:dyDescent="0.2">
      <c r="A308" s="1519">
        <v>186</v>
      </c>
      <c r="B308" s="1517" t="s">
        <v>47</v>
      </c>
      <c r="C308" s="1488"/>
      <c r="D308" s="1469">
        <v>8000000</v>
      </c>
      <c r="E308" s="1516">
        <v>0.04</v>
      </c>
      <c r="F308" s="1469">
        <f t="shared" si="24"/>
        <v>320000</v>
      </c>
      <c r="G308" s="1469">
        <v>320000</v>
      </c>
      <c r="H308" s="1469" t="s">
        <v>3227</v>
      </c>
      <c r="I308" s="1490" t="s">
        <v>3247</v>
      </c>
      <c r="J308" s="21" t="s">
        <v>2300</v>
      </c>
      <c r="K308" s="1469">
        <f t="shared" si="23"/>
        <v>320000</v>
      </c>
      <c r="L308" s="1469">
        <f t="shared" si="25"/>
        <v>0</v>
      </c>
      <c r="M308" s="1517"/>
    </row>
    <row r="309" spans="1:13" ht="30" customHeight="1" x14ac:dyDescent="0.2">
      <c r="A309" s="4459">
        <v>187</v>
      </c>
      <c r="B309" s="4457" t="s">
        <v>2470</v>
      </c>
      <c r="C309" s="4537" t="s">
        <v>1138</v>
      </c>
      <c r="D309" s="4413">
        <v>200000000</v>
      </c>
      <c r="E309" s="4476">
        <v>0.05</v>
      </c>
      <c r="F309" s="4413">
        <f t="shared" si="24"/>
        <v>10000000</v>
      </c>
      <c r="G309" s="1469">
        <v>10000000</v>
      </c>
      <c r="H309" s="1469" t="s">
        <v>2532</v>
      </c>
      <c r="I309" s="1490" t="s">
        <v>2549</v>
      </c>
      <c r="J309" s="21" t="s">
        <v>2550</v>
      </c>
      <c r="K309" s="1469">
        <f>G309</f>
        <v>10000000</v>
      </c>
      <c r="L309" s="1469">
        <f t="shared" si="25"/>
        <v>0</v>
      </c>
      <c r="M309" s="97" t="s">
        <v>1712</v>
      </c>
    </row>
    <row r="310" spans="1:13" ht="30" customHeight="1" x14ac:dyDescent="0.2">
      <c r="A310" s="4460"/>
      <c r="B310" s="4458"/>
      <c r="C310" s="4538"/>
      <c r="D310" s="4415"/>
      <c r="E310" s="4477"/>
      <c r="F310" s="4415"/>
      <c r="G310" s="1469">
        <v>10000000</v>
      </c>
      <c r="H310" s="1469" t="s">
        <v>3326</v>
      </c>
      <c r="I310" s="1490" t="s">
        <v>3330</v>
      </c>
      <c r="J310" s="21" t="s">
        <v>3331</v>
      </c>
      <c r="K310" s="1469">
        <f>G310</f>
        <v>10000000</v>
      </c>
      <c r="L310" s="1469">
        <f>F309-K310</f>
        <v>0</v>
      </c>
      <c r="M310" s="97" t="s">
        <v>2991</v>
      </c>
    </row>
    <row r="311" spans="1:13" ht="30" customHeight="1" x14ac:dyDescent="0.2">
      <c r="A311" s="1519">
        <v>188</v>
      </c>
      <c r="B311" s="1517" t="s">
        <v>49</v>
      </c>
      <c r="C311" s="1488"/>
      <c r="D311" s="1469">
        <v>200000000</v>
      </c>
      <c r="E311" s="1516">
        <v>0.05</v>
      </c>
      <c r="F311" s="1469">
        <f t="shared" si="24"/>
        <v>10000000</v>
      </c>
      <c r="G311" s="1469">
        <v>10000000</v>
      </c>
      <c r="H311" s="1469" t="s">
        <v>3144</v>
      </c>
      <c r="I311" s="1490" t="s">
        <v>3182</v>
      </c>
      <c r="J311" s="21" t="s">
        <v>2158</v>
      </c>
      <c r="K311" s="1469">
        <f>G311</f>
        <v>10000000</v>
      </c>
      <c r="L311" s="1469">
        <f t="shared" si="25"/>
        <v>0</v>
      </c>
      <c r="M311" s="1517"/>
    </row>
    <row r="312" spans="1:13" ht="30" customHeight="1" x14ac:dyDescent="0.2">
      <c r="A312" s="1519">
        <v>189</v>
      </c>
      <c r="B312" s="1517" t="s">
        <v>50</v>
      </c>
      <c r="C312" s="1488" t="s">
        <v>681</v>
      </c>
      <c r="D312" s="1469">
        <v>15000000</v>
      </c>
      <c r="E312" s="1516">
        <v>0.05</v>
      </c>
      <c r="F312" s="1469">
        <f t="shared" si="24"/>
        <v>750000</v>
      </c>
      <c r="G312" s="1469">
        <v>750000</v>
      </c>
      <c r="H312" s="1469" t="s">
        <v>3127</v>
      </c>
      <c r="I312" s="1490" t="s">
        <v>3145</v>
      </c>
      <c r="J312" s="21" t="s">
        <v>834</v>
      </c>
      <c r="K312" s="1469">
        <f>G312</f>
        <v>750000</v>
      </c>
      <c r="L312" s="1469">
        <f t="shared" si="25"/>
        <v>0</v>
      </c>
      <c r="M312" s="1517"/>
    </row>
    <row r="313" spans="1:13" ht="30" customHeight="1" x14ac:dyDescent="0.2">
      <c r="A313" s="4459">
        <v>190</v>
      </c>
      <c r="B313" s="4457" t="s">
        <v>51</v>
      </c>
      <c r="C313" s="1488" t="s">
        <v>1100</v>
      </c>
      <c r="D313" s="1469">
        <v>80000000</v>
      </c>
      <c r="E313" s="1516">
        <v>0.05</v>
      </c>
      <c r="F313" s="1469">
        <f t="shared" si="24"/>
        <v>4000000</v>
      </c>
      <c r="G313" s="4413">
        <v>14000000</v>
      </c>
      <c r="H313" s="4413" t="s">
        <v>3227</v>
      </c>
      <c r="I313" s="4555" t="s">
        <v>3250</v>
      </c>
      <c r="J313" s="4478" t="s">
        <v>2967</v>
      </c>
      <c r="K313" s="4413">
        <f>G313</f>
        <v>14000000</v>
      </c>
      <c r="L313" s="4413">
        <f>(F313+F314)-K313</f>
        <v>0</v>
      </c>
      <c r="M313" s="4599"/>
    </row>
    <row r="314" spans="1:13" ht="30" customHeight="1" x14ac:dyDescent="0.2">
      <c r="A314" s="4460"/>
      <c r="B314" s="4458"/>
      <c r="C314" s="1488" t="s">
        <v>1100</v>
      </c>
      <c r="D314" s="1469">
        <v>200000000</v>
      </c>
      <c r="E314" s="1516">
        <v>0.05</v>
      </c>
      <c r="F314" s="1469">
        <f t="shared" si="24"/>
        <v>10000000</v>
      </c>
      <c r="G314" s="4415"/>
      <c r="H314" s="4415"/>
      <c r="I314" s="4557"/>
      <c r="J314" s="4479"/>
      <c r="K314" s="4415"/>
      <c r="L314" s="4415"/>
      <c r="M314" s="4607"/>
    </row>
    <row r="315" spans="1:13" ht="30" customHeight="1" x14ac:dyDescent="0.2">
      <c r="A315" s="4614">
        <v>191</v>
      </c>
      <c r="B315" s="4615" t="s">
        <v>52</v>
      </c>
      <c r="C315" s="4537" t="s">
        <v>262</v>
      </c>
      <c r="D315" s="4413">
        <v>700000000</v>
      </c>
      <c r="E315" s="4476">
        <v>7.6999999999999999E-2</v>
      </c>
      <c r="F315" s="4413">
        <v>54000000</v>
      </c>
      <c r="G315" s="1469">
        <v>43000000</v>
      </c>
      <c r="H315" s="1469">
        <v>43000000</v>
      </c>
      <c r="I315" s="1509" t="s">
        <v>2713</v>
      </c>
      <c r="J315" s="21" t="s">
        <v>678</v>
      </c>
      <c r="K315" s="4413">
        <f>G315+G316</f>
        <v>54000000</v>
      </c>
      <c r="L315" s="4413">
        <f t="shared" si="25"/>
        <v>0</v>
      </c>
      <c r="M315" s="1506" t="s">
        <v>2523</v>
      </c>
    </row>
    <row r="316" spans="1:13" ht="30" customHeight="1" x14ac:dyDescent="0.2">
      <c r="A316" s="4614"/>
      <c r="B316" s="4615"/>
      <c r="C316" s="4538"/>
      <c r="D316" s="4415"/>
      <c r="E316" s="4477"/>
      <c r="F316" s="4415"/>
      <c r="G316" s="1469">
        <v>11000000</v>
      </c>
      <c r="H316" s="1469" t="s">
        <v>2803</v>
      </c>
      <c r="I316" s="1509" t="s">
        <v>2809</v>
      </c>
      <c r="J316" s="21" t="s">
        <v>678</v>
      </c>
      <c r="K316" s="4415"/>
      <c r="L316" s="4415"/>
      <c r="M316" s="1507"/>
    </row>
    <row r="317" spans="1:13" ht="30" customHeight="1" x14ac:dyDescent="0.2">
      <c r="A317" s="4459">
        <v>192</v>
      </c>
      <c r="B317" s="4457" t="s">
        <v>53</v>
      </c>
      <c r="C317" s="4537" t="s">
        <v>1287</v>
      </c>
      <c r="D317" s="4322">
        <v>1400000000</v>
      </c>
      <c r="E317" s="4608">
        <v>7.0000000000000007E-2</v>
      </c>
      <c r="F317" s="4322">
        <f>D317*E317</f>
        <v>98000000.000000015</v>
      </c>
      <c r="G317" s="4724" t="s">
        <v>1991</v>
      </c>
      <c r="H317" s="4724"/>
      <c r="I317" s="4724"/>
      <c r="J317" s="4724"/>
      <c r="K317" s="4413"/>
      <c r="L317" s="4413"/>
      <c r="M317" s="180" t="s">
        <v>1992</v>
      </c>
    </row>
    <row r="318" spans="1:13" ht="30" customHeight="1" x14ac:dyDescent="0.2">
      <c r="A318" s="4464"/>
      <c r="B318" s="4488"/>
      <c r="C318" s="4538"/>
      <c r="D318" s="4322"/>
      <c r="E318" s="4608"/>
      <c r="F318" s="4322"/>
      <c r="G318" s="4724"/>
      <c r="H318" s="4724"/>
      <c r="I318" s="4724"/>
      <c r="J318" s="4724"/>
      <c r="K318" s="4415"/>
      <c r="L318" s="4415"/>
      <c r="M318" s="180" t="s">
        <v>2287</v>
      </c>
    </row>
    <row r="319" spans="1:13" ht="30" customHeight="1" x14ac:dyDescent="0.2">
      <c r="A319" s="4464"/>
      <c r="B319" s="4488"/>
      <c r="C319" s="4537"/>
      <c r="D319" s="4506">
        <f>D317+150000000</f>
        <v>1550000000</v>
      </c>
      <c r="E319" s="4476"/>
      <c r="F319" s="4413"/>
      <c r="G319" s="4623" t="s">
        <v>2914</v>
      </c>
      <c r="H319" s="4624"/>
      <c r="I319" s="4624"/>
      <c r="J319" s="4625"/>
      <c r="K319" s="1469"/>
      <c r="L319" s="1469"/>
      <c r="M319" s="180" t="s">
        <v>2915</v>
      </c>
    </row>
    <row r="320" spans="1:13" ht="30" customHeight="1" x14ac:dyDescent="0.2">
      <c r="A320" s="4464"/>
      <c r="B320" s="4488"/>
      <c r="C320" s="4540"/>
      <c r="D320" s="4508"/>
      <c r="E320" s="4477"/>
      <c r="F320" s="4415"/>
      <c r="G320" s="4623" t="s">
        <v>2913</v>
      </c>
      <c r="H320" s="4624"/>
      <c r="I320" s="4624"/>
      <c r="J320" s="4625"/>
      <c r="K320" s="1469"/>
      <c r="L320" s="1469"/>
      <c r="M320" s="180"/>
    </row>
    <row r="321" spans="1:17" ht="30" customHeight="1" x14ac:dyDescent="0.2">
      <c r="A321" s="4464"/>
      <c r="B321" s="4488"/>
      <c r="C321" s="4540"/>
      <c r="D321" s="1469"/>
      <c r="E321" s="1466"/>
      <c r="F321" s="1469"/>
      <c r="G321" s="1489">
        <v>5000000</v>
      </c>
      <c r="H321" s="1489" t="s">
        <v>3214</v>
      </c>
      <c r="I321" s="1490">
        <v>790844</v>
      </c>
      <c r="J321" s="1489" t="s">
        <v>861</v>
      </c>
      <c r="K321" s="1469">
        <f>G321</f>
        <v>5000000</v>
      </c>
      <c r="L321" s="1469"/>
      <c r="M321" s="180" t="s">
        <v>3274</v>
      </c>
    </row>
    <row r="322" spans="1:17" ht="30" customHeight="1" x14ac:dyDescent="0.2">
      <c r="A322" s="4460"/>
      <c r="B322" s="4458"/>
      <c r="C322" s="4538"/>
      <c r="D322" s="1469"/>
      <c r="E322" s="1466"/>
      <c r="F322" s="1469"/>
      <c r="G322" s="1489"/>
      <c r="H322" s="1489"/>
      <c r="I322" s="1489"/>
      <c r="J322" s="1489"/>
      <c r="K322" s="1469"/>
      <c r="L322" s="1469"/>
      <c r="M322" s="180"/>
    </row>
    <row r="323" spans="1:17" ht="30" customHeight="1" x14ac:dyDescent="0.2">
      <c r="A323" s="1519">
        <v>193</v>
      </c>
      <c r="B323" s="1517" t="s">
        <v>54</v>
      </c>
      <c r="C323" s="1488" t="s">
        <v>1306</v>
      </c>
      <c r="D323" s="1469">
        <v>45000000</v>
      </c>
      <c r="E323" s="1516">
        <v>0.04</v>
      </c>
      <c r="F323" s="1469">
        <f t="shared" si="24"/>
        <v>1800000</v>
      </c>
      <c r="G323" s="1469">
        <v>1800000</v>
      </c>
      <c r="H323" s="1469" t="s">
        <v>3227</v>
      </c>
      <c r="I323" s="1490" t="s">
        <v>3240</v>
      </c>
      <c r="J323" s="1489" t="s">
        <v>997</v>
      </c>
      <c r="K323" s="1469">
        <f>G323</f>
        <v>1800000</v>
      </c>
      <c r="L323" s="1469">
        <f t="shared" si="25"/>
        <v>0</v>
      </c>
      <c r="M323" s="1517"/>
    </row>
    <row r="324" spans="1:17" ht="30" customHeight="1" x14ac:dyDescent="0.2">
      <c r="A324" s="1462">
        <v>194</v>
      </c>
      <c r="B324" s="19" t="s">
        <v>55</v>
      </c>
      <c r="C324" s="378"/>
      <c r="D324" s="1481"/>
      <c r="E324" s="1026"/>
      <c r="F324" s="1481">
        <f t="shared" si="24"/>
        <v>0</v>
      </c>
      <c r="G324" s="1489">
        <v>6500000</v>
      </c>
      <c r="H324" s="1489" t="s">
        <v>3144</v>
      </c>
      <c r="I324" s="1528" t="s">
        <v>3183</v>
      </c>
      <c r="J324" s="1513" t="s">
        <v>3184</v>
      </c>
      <c r="K324" s="1489">
        <f>G324</f>
        <v>6500000</v>
      </c>
      <c r="L324" s="1481">
        <f t="shared" si="25"/>
        <v>-6500000</v>
      </c>
      <c r="M324" s="1484"/>
    </row>
    <row r="325" spans="1:17" ht="30" customHeight="1" x14ac:dyDescent="0.2">
      <c r="A325" s="1519">
        <v>195</v>
      </c>
      <c r="B325" s="1461" t="s">
        <v>56</v>
      </c>
      <c r="C325" s="1488" t="s">
        <v>990</v>
      </c>
      <c r="D325" s="1469">
        <v>10000000</v>
      </c>
      <c r="E325" s="1466">
        <v>0.05</v>
      </c>
      <c r="F325" s="1469">
        <f t="shared" si="24"/>
        <v>500000</v>
      </c>
      <c r="G325" s="1469">
        <v>500000</v>
      </c>
      <c r="H325" s="1469" t="s">
        <v>3214</v>
      </c>
      <c r="I325" s="1490" t="s">
        <v>3280</v>
      </c>
      <c r="J325" s="21" t="s">
        <v>1121</v>
      </c>
      <c r="K325" s="1469">
        <f>G325</f>
        <v>500000</v>
      </c>
      <c r="L325" s="1469">
        <f t="shared" si="25"/>
        <v>0</v>
      </c>
      <c r="M325" s="1517"/>
    </row>
    <row r="326" spans="1:17" ht="30" customHeight="1" x14ac:dyDescent="0.2">
      <c r="A326" s="4459">
        <v>196</v>
      </c>
      <c r="B326" s="4457" t="s">
        <v>57</v>
      </c>
      <c r="C326" s="1488" t="s">
        <v>1107</v>
      </c>
      <c r="D326" s="1469">
        <v>20000000</v>
      </c>
      <c r="E326" s="1516">
        <v>0.04</v>
      </c>
      <c r="F326" s="1469">
        <f t="shared" si="24"/>
        <v>800000</v>
      </c>
      <c r="G326" s="1469">
        <v>800000</v>
      </c>
      <c r="H326" s="1469" t="s">
        <v>3144</v>
      </c>
      <c r="I326" s="1469">
        <v>983499</v>
      </c>
      <c r="J326" s="21" t="s">
        <v>1106</v>
      </c>
      <c r="K326" s="1469">
        <f>G326</f>
        <v>800000</v>
      </c>
      <c r="L326" s="1469">
        <f>F326-K326</f>
        <v>0</v>
      </c>
      <c r="M326" s="1517"/>
    </row>
    <row r="327" spans="1:17" ht="30" customHeight="1" x14ac:dyDescent="0.2">
      <c r="A327" s="4460"/>
      <c r="B327" s="4458"/>
      <c r="C327" s="1488" t="s">
        <v>2001</v>
      </c>
      <c r="D327" s="1472">
        <v>30000000</v>
      </c>
      <c r="E327" s="436">
        <v>0.05</v>
      </c>
      <c r="F327" s="1472">
        <f t="shared" si="24"/>
        <v>1500000</v>
      </c>
      <c r="G327" s="1469">
        <v>1500000</v>
      </c>
      <c r="H327" s="1469" t="s">
        <v>2916</v>
      </c>
      <c r="I327" s="1469">
        <v>123339803720</v>
      </c>
      <c r="J327" s="21" t="s">
        <v>2333</v>
      </c>
      <c r="K327" s="1469">
        <f>G327</f>
        <v>1500000</v>
      </c>
      <c r="L327" s="1469">
        <f t="shared" si="25"/>
        <v>0</v>
      </c>
      <c r="M327" s="4623" t="s">
        <v>2002</v>
      </c>
      <c r="N327" s="4624"/>
      <c r="O327" s="4624"/>
      <c r="P327" s="4624"/>
      <c r="Q327" s="4625"/>
    </row>
    <row r="328" spans="1:17" ht="30" customHeight="1" x14ac:dyDescent="0.2">
      <c r="A328" s="1519">
        <v>197</v>
      </c>
      <c r="B328" s="1517" t="s">
        <v>58</v>
      </c>
      <c r="C328" s="1488"/>
      <c r="D328" s="1469">
        <v>150000000</v>
      </c>
      <c r="E328" s="1516">
        <v>0.04</v>
      </c>
      <c r="F328" s="1469">
        <f t="shared" si="24"/>
        <v>6000000</v>
      </c>
      <c r="G328" s="1469">
        <v>6000000</v>
      </c>
      <c r="H328" s="1469" t="s">
        <v>3144</v>
      </c>
      <c r="I328" s="1490" t="s">
        <v>3172</v>
      </c>
      <c r="J328" s="1489" t="s">
        <v>3173</v>
      </c>
      <c r="K328" s="1469">
        <f t="shared" ref="K328:K338" si="26">G328</f>
        <v>6000000</v>
      </c>
      <c r="L328" s="1469">
        <f t="shared" si="25"/>
        <v>0</v>
      </c>
      <c r="M328" s="1517"/>
    </row>
    <row r="329" spans="1:17" ht="30" customHeight="1" x14ac:dyDescent="0.2">
      <c r="A329" s="1519">
        <v>198</v>
      </c>
      <c r="B329" s="1517" t="s">
        <v>59</v>
      </c>
      <c r="C329" s="1488"/>
      <c r="D329" s="1469">
        <v>30000000</v>
      </c>
      <c r="E329" s="1516">
        <v>8.5000000000000006E-2</v>
      </c>
      <c r="F329" s="1469">
        <v>2500000</v>
      </c>
      <c r="G329" s="1469">
        <v>2500000</v>
      </c>
      <c r="H329" s="1469" t="s">
        <v>3305</v>
      </c>
      <c r="I329" s="1490" t="s">
        <v>3363</v>
      </c>
      <c r="J329" s="1489" t="s">
        <v>1164</v>
      </c>
      <c r="K329" s="1469">
        <f t="shared" si="26"/>
        <v>2500000</v>
      </c>
      <c r="L329" s="1469">
        <f t="shared" si="25"/>
        <v>0</v>
      </c>
      <c r="M329" s="1517"/>
    </row>
    <row r="330" spans="1:17" ht="30" customHeight="1" x14ac:dyDescent="0.2">
      <c r="A330" s="1519">
        <v>199</v>
      </c>
      <c r="B330" s="1517" t="s">
        <v>60</v>
      </c>
      <c r="C330" s="1488" t="s">
        <v>1100</v>
      </c>
      <c r="D330" s="1469">
        <v>50000000</v>
      </c>
      <c r="E330" s="1516">
        <v>0.05</v>
      </c>
      <c r="F330" s="1469">
        <f t="shared" si="24"/>
        <v>2500000</v>
      </c>
      <c r="G330" s="1469">
        <v>2500000</v>
      </c>
      <c r="H330" s="1469" t="s">
        <v>3227</v>
      </c>
      <c r="I330" s="1490" t="s">
        <v>3253</v>
      </c>
      <c r="J330" s="1489" t="s">
        <v>1137</v>
      </c>
      <c r="K330" s="1469">
        <f t="shared" si="26"/>
        <v>2500000</v>
      </c>
      <c r="L330" s="1469">
        <f t="shared" si="25"/>
        <v>0</v>
      </c>
      <c r="M330" s="1517"/>
    </row>
    <row r="331" spans="1:17" ht="30" customHeight="1" x14ac:dyDescent="0.2">
      <c r="A331" s="1519">
        <v>200</v>
      </c>
      <c r="B331" s="1517" t="s">
        <v>61</v>
      </c>
      <c r="C331" s="1488" t="s">
        <v>1081</v>
      </c>
      <c r="D331" s="1469">
        <v>350000000</v>
      </c>
      <c r="E331" s="1516">
        <v>7.0000000000000007E-2</v>
      </c>
      <c r="F331" s="1469">
        <f t="shared" si="24"/>
        <v>24500000.000000004</v>
      </c>
      <c r="G331" s="1469">
        <v>24500000</v>
      </c>
      <c r="H331" s="1469" t="s">
        <v>3298</v>
      </c>
      <c r="I331" s="1496" t="s">
        <v>3367</v>
      </c>
      <c r="J331" s="21" t="s">
        <v>1574</v>
      </c>
      <c r="K331" s="1469">
        <f t="shared" si="26"/>
        <v>24500000</v>
      </c>
      <c r="L331" s="1469">
        <f t="shared" si="25"/>
        <v>0</v>
      </c>
      <c r="M331" s="1517"/>
    </row>
    <row r="332" spans="1:17" ht="30" customHeight="1" x14ac:dyDescent="0.2">
      <c r="A332" s="1519">
        <v>201</v>
      </c>
      <c r="B332" s="1517" t="s">
        <v>62</v>
      </c>
      <c r="C332" s="1488"/>
      <c r="D332" s="1469">
        <v>60000000</v>
      </c>
      <c r="E332" s="1516">
        <v>6.5000000000000002E-2</v>
      </c>
      <c r="F332" s="1469">
        <v>4000000</v>
      </c>
      <c r="G332" s="1469">
        <v>4000000</v>
      </c>
      <c r="H332" s="1469" t="s">
        <v>3298</v>
      </c>
      <c r="I332" s="1490" t="s">
        <v>3320</v>
      </c>
      <c r="J332" s="1529" t="s">
        <v>1211</v>
      </c>
      <c r="K332" s="1469">
        <f t="shared" si="26"/>
        <v>4000000</v>
      </c>
      <c r="L332" s="1469">
        <f t="shared" si="25"/>
        <v>0</v>
      </c>
      <c r="M332" s="1517"/>
    </row>
    <row r="333" spans="1:17" ht="30" customHeight="1" x14ac:dyDescent="0.2">
      <c r="A333" s="4791">
        <v>202</v>
      </c>
      <c r="B333" s="4457" t="s">
        <v>63</v>
      </c>
      <c r="C333" s="4537" t="s">
        <v>1081</v>
      </c>
      <c r="D333" s="4413">
        <v>100000000</v>
      </c>
      <c r="E333" s="4476">
        <v>4.4999999999999998E-2</v>
      </c>
      <c r="F333" s="4413">
        <f t="shared" si="24"/>
        <v>4500000</v>
      </c>
      <c r="G333" s="1469">
        <v>4500000</v>
      </c>
      <c r="H333" s="1469" t="s">
        <v>2532</v>
      </c>
      <c r="I333" s="1490" t="s">
        <v>2543</v>
      </c>
      <c r="J333" s="21" t="s">
        <v>2544</v>
      </c>
      <c r="K333" s="1469">
        <f t="shared" si="26"/>
        <v>4500000</v>
      </c>
      <c r="L333" s="1469">
        <f t="shared" si="25"/>
        <v>0</v>
      </c>
      <c r="M333" s="97" t="s">
        <v>2521</v>
      </c>
    </row>
    <row r="334" spans="1:17" ht="30" customHeight="1" x14ac:dyDescent="0.2">
      <c r="A334" s="4792"/>
      <c r="B334" s="4458"/>
      <c r="C334" s="4538"/>
      <c r="D334" s="4415"/>
      <c r="E334" s="4477"/>
      <c r="F334" s="4415"/>
      <c r="G334" s="1469">
        <v>4500000</v>
      </c>
      <c r="H334" s="1469" t="s">
        <v>3298</v>
      </c>
      <c r="I334" s="1490" t="s">
        <v>3321</v>
      </c>
      <c r="J334" s="21" t="s">
        <v>2544</v>
      </c>
      <c r="K334" s="1469">
        <f t="shared" si="26"/>
        <v>4500000</v>
      </c>
      <c r="L334" s="1469">
        <f>F333-K334</f>
        <v>0</v>
      </c>
      <c r="M334" s="97" t="s">
        <v>2991</v>
      </c>
    </row>
    <row r="335" spans="1:17" ht="30" customHeight="1" x14ac:dyDescent="0.2">
      <c r="A335" s="1519">
        <v>203</v>
      </c>
      <c r="B335" s="1517" t="s">
        <v>1244</v>
      </c>
      <c r="C335" s="1488" t="s">
        <v>1081</v>
      </c>
      <c r="D335" s="1469">
        <v>60000000</v>
      </c>
      <c r="E335" s="1516">
        <v>0.05</v>
      </c>
      <c r="F335" s="1469">
        <f t="shared" si="24"/>
        <v>3000000</v>
      </c>
      <c r="G335" s="1469">
        <v>3000000</v>
      </c>
      <c r="H335" s="1469" t="s">
        <v>3214</v>
      </c>
      <c r="I335" s="1490" t="s">
        <v>3270</v>
      </c>
      <c r="J335" s="21" t="s">
        <v>1693</v>
      </c>
      <c r="K335" s="1469">
        <f t="shared" si="26"/>
        <v>3000000</v>
      </c>
      <c r="L335" s="1469">
        <f t="shared" si="25"/>
        <v>0</v>
      </c>
      <c r="M335" s="1517"/>
    </row>
    <row r="336" spans="1:17" ht="30" customHeight="1" x14ac:dyDescent="0.2">
      <c r="A336" s="1519">
        <v>204</v>
      </c>
      <c r="B336" s="1517" t="s">
        <v>64</v>
      </c>
      <c r="C336" s="1488"/>
      <c r="D336" s="1469">
        <v>30000000</v>
      </c>
      <c r="E336" s="1516">
        <v>4.4999999999999998E-2</v>
      </c>
      <c r="F336" s="1469">
        <f t="shared" si="24"/>
        <v>1350000</v>
      </c>
      <c r="G336" s="1469">
        <v>1350000</v>
      </c>
      <c r="H336" s="1469" t="s">
        <v>3326</v>
      </c>
      <c r="I336" s="1490" t="s">
        <v>3327</v>
      </c>
      <c r="J336" s="21" t="s">
        <v>2447</v>
      </c>
      <c r="K336" s="1469">
        <f t="shared" si="26"/>
        <v>1350000</v>
      </c>
      <c r="L336" s="1469">
        <f t="shared" si="25"/>
        <v>0</v>
      </c>
      <c r="M336" s="1517"/>
    </row>
    <row r="337" spans="1:13" ht="30" customHeight="1" x14ac:dyDescent="0.2">
      <c r="A337" s="1519">
        <v>205</v>
      </c>
      <c r="B337" s="1517" t="s">
        <v>65</v>
      </c>
      <c r="C337" s="1488" t="s">
        <v>3245</v>
      </c>
      <c r="D337" s="1469">
        <v>15000000</v>
      </c>
      <c r="E337" s="1516">
        <v>0.04</v>
      </c>
      <c r="F337" s="1469">
        <f t="shared" si="24"/>
        <v>600000</v>
      </c>
      <c r="G337" s="1469">
        <v>600000</v>
      </c>
      <c r="H337" s="1469" t="s">
        <v>3227</v>
      </c>
      <c r="I337" s="1490" t="s">
        <v>3243</v>
      </c>
      <c r="J337" s="21" t="s">
        <v>3244</v>
      </c>
      <c r="K337" s="1469">
        <f t="shared" si="26"/>
        <v>600000</v>
      </c>
      <c r="L337" s="1469">
        <f t="shared" si="25"/>
        <v>0</v>
      </c>
      <c r="M337" s="1517"/>
    </row>
    <row r="338" spans="1:13" ht="30" customHeight="1" x14ac:dyDescent="0.2">
      <c r="A338" s="1519">
        <v>206</v>
      </c>
      <c r="B338" s="1517" t="s">
        <v>2401</v>
      </c>
      <c r="C338" s="1488" t="s">
        <v>990</v>
      </c>
      <c r="D338" s="1469">
        <v>150000000</v>
      </c>
      <c r="E338" s="1516">
        <v>0.05</v>
      </c>
      <c r="F338" s="1469">
        <f t="shared" si="24"/>
        <v>7500000</v>
      </c>
      <c r="G338" s="1469">
        <v>7500000</v>
      </c>
      <c r="H338" s="1490" t="s">
        <v>3144</v>
      </c>
      <c r="I338" s="1490" t="s">
        <v>3176</v>
      </c>
      <c r="J338" s="65" t="s">
        <v>986</v>
      </c>
      <c r="K338" s="1469">
        <f t="shared" si="26"/>
        <v>7500000</v>
      </c>
      <c r="L338" s="1469">
        <f t="shared" si="25"/>
        <v>0</v>
      </c>
      <c r="M338" s="1517"/>
    </row>
    <row r="339" spans="1:13" ht="30" customHeight="1" x14ac:dyDescent="0.2">
      <c r="A339" s="4459">
        <v>207</v>
      </c>
      <c r="B339" s="4457" t="s">
        <v>2676</v>
      </c>
      <c r="C339" s="4537" t="s">
        <v>681</v>
      </c>
      <c r="D339" s="1469">
        <v>45000000</v>
      </c>
      <c r="E339" s="1516">
        <v>0.04</v>
      </c>
      <c r="F339" s="1469">
        <f t="shared" si="24"/>
        <v>1800000</v>
      </c>
      <c r="G339" s="4413">
        <v>3800000</v>
      </c>
      <c r="H339" s="4413" t="s">
        <v>2705</v>
      </c>
      <c r="I339" s="4555" t="s">
        <v>2721</v>
      </c>
      <c r="J339" s="4478" t="s">
        <v>1119</v>
      </c>
      <c r="K339" s="4413">
        <f>G339</f>
        <v>3800000</v>
      </c>
      <c r="L339" s="4413">
        <f>(F339+F340)-K339</f>
        <v>0</v>
      </c>
      <c r="M339" s="4492" t="s">
        <v>1307</v>
      </c>
    </row>
    <row r="340" spans="1:13" ht="30" customHeight="1" x14ac:dyDescent="0.2">
      <c r="A340" s="4464"/>
      <c r="B340" s="4488"/>
      <c r="C340" s="4540"/>
      <c r="D340" s="1469">
        <v>50000000</v>
      </c>
      <c r="E340" s="1516">
        <v>0.04</v>
      </c>
      <c r="F340" s="1469">
        <f t="shared" si="24"/>
        <v>2000000</v>
      </c>
      <c r="G340" s="4415"/>
      <c r="H340" s="4415"/>
      <c r="I340" s="4557"/>
      <c r="J340" s="4479"/>
      <c r="K340" s="4415"/>
      <c r="L340" s="4415"/>
      <c r="M340" s="4493"/>
    </row>
    <row r="341" spans="1:13" ht="30" customHeight="1" x14ac:dyDescent="0.2">
      <c r="A341" s="4464"/>
      <c r="B341" s="4488"/>
      <c r="C341" s="4540"/>
      <c r="D341" s="1469">
        <v>45000000</v>
      </c>
      <c r="E341" s="1516">
        <v>0.04</v>
      </c>
      <c r="F341" s="1469">
        <f t="shared" si="24"/>
        <v>1800000</v>
      </c>
      <c r="G341" s="4413">
        <v>3800000</v>
      </c>
      <c r="H341" s="4413" t="s">
        <v>3189</v>
      </c>
      <c r="I341" s="4555" t="s">
        <v>3194</v>
      </c>
      <c r="J341" s="4478" t="s">
        <v>1119</v>
      </c>
      <c r="K341" s="4413">
        <f>G341</f>
        <v>3800000</v>
      </c>
      <c r="L341" s="4413">
        <f>(F341+F342)-K341</f>
        <v>0</v>
      </c>
      <c r="M341" s="4492" t="s">
        <v>2468</v>
      </c>
    </row>
    <row r="342" spans="1:13" ht="30" customHeight="1" x14ac:dyDescent="0.2">
      <c r="A342" s="4460"/>
      <c r="B342" s="4458"/>
      <c r="C342" s="4538"/>
      <c r="D342" s="1469">
        <v>50000000</v>
      </c>
      <c r="E342" s="1516">
        <v>0.04</v>
      </c>
      <c r="F342" s="1469">
        <f t="shared" si="24"/>
        <v>2000000</v>
      </c>
      <c r="G342" s="4415"/>
      <c r="H342" s="4415"/>
      <c r="I342" s="4557"/>
      <c r="J342" s="4479"/>
      <c r="K342" s="4415"/>
      <c r="L342" s="4415"/>
      <c r="M342" s="4493"/>
    </row>
    <row r="343" spans="1:13" ht="30" customHeight="1" x14ac:dyDescent="0.2">
      <c r="A343" s="1519">
        <v>208</v>
      </c>
      <c r="B343" s="1517" t="s">
        <v>69</v>
      </c>
      <c r="C343" s="1488" t="s">
        <v>1100</v>
      </c>
      <c r="D343" s="1469">
        <v>15000000</v>
      </c>
      <c r="E343" s="1516">
        <v>0.04</v>
      </c>
      <c r="F343" s="1469">
        <f t="shared" si="24"/>
        <v>600000</v>
      </c>
      <c r="G343" s="1469"/>
      <c r="H343" s="1469"/>
      <c r="I343" s="1490"/>
      <c r="J343" s="21" t="s">
        <v>1099</v>
      </c>
      <c r="K343" s="1469">
        <f t="shared" ref="K343:K351" si="27">G343</f>
        <v>0</v>
      </c>
      <c r="L343" s="1469">
        <f t="shared" ref="L343:L396" si="28">F343-K343</f>
        <v>600000</v>
      </c>
      <c r="M343" s="1517"/>
    </row>
    <row r="344" spans="1:13" ht="30" customHeight="1" x14ac:dyDescent="0.2">
      <c r="A344" s="1519">
        <v>209</v>
      </c>
      <c r="B344" s="1517" t="s">
        <v>70</v>
      </c>
      <c r="C344" s="1488"/>
      <c r="D344" s="1469">
        <v>10000000</v>
      </c>
      <c r="E344" s="1516">
        <v>0.05</v>
      </c>
      <c r="F344" s="1469">
        <f t="shared" si="24"/>
        <v>500000</v>
      </c>
      <c r="G344" s="1469">
        <v>500000</v>
      </c>
      <c r="H344" s="1469" t="s">
        <v>3305</v>
      </c>
      <c r="I344" s="1490" t="s">
        <v>3338</v>
      </c>
      <c r="J344" s="1529" t="s">
        <v>1229</v>
      </c>
      <c r="K344" s="1469">
        <f t="shared" si="27"/>
        <v>500000</v>
      </c>
      <c r="L344" s="1469">
        <f t="shared" si="28"/>
        <v>0</v>
      </c>
      <c r="M344" s="1517"/>
    </row>
    <row r="345" spans="1:13" ht="30" customHeight="1" x14ac:dyDescent="0.2">
      <c r="A345" s="1519">
        <v>210</v>
      </c>
      <c r="B345" s="1517" t="s">
        <v>72</v>
      </c>
      <c r="C345" s="1488"/>
      <c r="D345" s="1469">
        <v>50000000</v>
      </c>
      <c r="E345" s="1516">
        <v>7.0000000000000007E-2</v>
      </c>
      <c r="F345" s="1469">
        <f t="shared" si="24"/>
        <v>3500000.0000000005</v>
      </c>
      <c r="G345" s="1469">
        <v>3500000</v>
      </c>
      <c r="H345" s="1469" t="s">
        <v>2897</v>
      </c>
      <c r="I345" s="1490" t="s">
        <v>2993</v>
      </c>
      <c r="J345" s="21" t="s">
        <v>701</v>
      </c>
      <c r="K345" s="1469">
        <f t="shared" si="27"/>
        <v>3500000</v>
      </c>
      <c r="L345" s="1469">
        <f t="shared" si="28"/>
        <v>0</v>
      </c>
      <c r="M345" s="1517"/>
    </row>
    <row r="346" spans="1:13" ht="30" customHeight="1" x14ac:dyDescent="0.2">
      <c r="A346" s="1519">
        <v>211</v>
      </c>
      <c r="B346" s="1517" t="s">
        <v>73</v>
      </c>
      <c r="C346" s="1488" t="s">
        <v>1295</v>
      </c>
      <c r="D346" s="1469">
        <v>100000000</v>
      </c>
      <c r="E346" s="1516">
        <v>0.05</v>
      </c>
      <c r="F346" s="1469">
        <f t="shared" si="24"/>
        <v>5000000</v>
      </c>
      <c r="G346" s="1469">
        <v>5000000</v>
      </c>
      <c r="H346" s="1469" t="s">
        <v>2803</v>
      </c>
      <c r="I346" s="1490" t="s">
        <v>2807</v>
      </c>
      <c r="J346" s="21" t="s">
        <v>1411</v>
      </c>
      <c r="K346" s="1469">
        <f t="shared" si="27"/>
        <v>5000000</v>
      </c>
      <c r="L346" s="1469">
        <f t="shared" si="28"/>
        <v>0</v>
      </c>
      <c r="M346" s="1517"/>
    </row>
    <row r="347" spans="1:13" ht="30" customHeight="1" x14ac:dyDescent="0.2">
      <c r="A347" s="1519">
        <v>212</v>
      </c>
      <c r="B347" s="1517" t="s">
        <v>74</v>
      </c>
      <c r="C347" s="1488"/>
      <c r="D347" s="1469">
        <v>30000000</v>
      </c>
      <c r="E347" s="1516">
        <v>0.05</v>
      </c>
      <c r="F347" s="1469">
        <f t="shared" si="24"/>
        <v>1500000</v>
      </c>
      <c r="G347" s="1469"/>
      <c r="H347" s="1469"/>
      <c r="I347" s="1490"/>
      <c r="J347" s="21" t="s">
        <v>2505</v>
      </c>
      <c r="K347" s="1469">
        <f t="shared" si="27"/>
        <v>0</v>
      </c>
      <c r="L347" s="1469">
        <f t="shared" si="28"/>
        <v>1500000</v>
      </c>
      <c r="M347" s="1517"/>
    </row>
    <row r="348" spans="1:13" ht="30" customHeight="1" x14ac:dyDescent="0.2">
      <c r="A348" s="1519">
        <v>213</v>
      </c>
      <c r="B348" s="1517" t="s">
        <v>75</v>
      </c>
      <c r="C348" s="1488"/>
      <c r="D348" s="1469">
        <v>15000000</v>
      </c>
      <c r="E348" s="1516">
        <v>4.7E-2</v>
      </c>
      <c r="F348" s="1469">
        <v>700000</v>
      </c>
      <c r="G348" s="1469">
        <v>700000</v>
      </c>
      <c r="H348" s="1469" t="s">
        <v>2532</v>
      </c>
      <c r="I348" s="1490" t="s">
        <v>2534</v>
      </c>
      <c r="J348" s="21" t="s">
        <v>325</v>
      </c>
      <c r="K348" s="1469">
        <f t="shared" si="27"/>
        <v>700000</v>
      </c>
      <c r="L348" s="1469">
        <f t="shared" si="28"/>
        <v>0</v>
      </c>
      <c r="M348" s="1517"/>
    </row>
    <row r="349" spans="1:13" ht="30" customHeight="1" x14ac:dyDescent="0.2">
      <c r="A349" s="1519">
        <v>214</v>
      </c>
      <c r="B349" s="1517" t="s">
        <v>937</v>
      </c>
      <c r="C349" s="1488"/>
      <c r="D349" s="1469">
        <v>200000000</v>
      </c>
      <c r="E349" s="1516">
        <v>5.5E-2</v>
      </c>
      <c r="F349" s="1469">
        <f t="shared" si="24"/>
        <v>11000000</v>
      </c>
      <c r="G349" s="1469"/>
      <c r="H349" s="1469"/>
      <c r="I349" s="1496"/>
      <c r="J349" s="21" t="s">
        <v>1370</v>
      </c>
      <c r="K349" s="1469">
        <f t="shared" si="27"/>
        <v>0</v>
      </c>
      <c r="L349" s="1469">
        <f t="shared" si="28"/>
        <v>11000000</v>
      </c>
      <c r="M349" s="1517"/>
    </row>
    <row r="350" spans="1:13" ht="30" customHeight="1" x14ac:dyDescent="0.2">
      <c r="A350" s="1519">
        <v>215</v>
      </c>
      <c r="B350" s="1517" t="s">
        <v>76</v>
      </c>
      <c r="C350" s="1488"/>
      <c r="D350" s="1469">
        <v>70000000</v>
      </c>
      <c r="E350" s="1516">
        <v>0.05</v>
      </c>
      <c r="F350" s="1469">
        <f t="shared" si="24"/>
        <v>3500000</v>
      </c>
      <c r="G350" s="1469">
        <v>3500000</v>
      </c>
      <c r="H350" s="1469" t="s">
        <v>3227</v>
      </c>
      <c r="I350" s="1490" t="s">
        <v>3228</v>
      </c>
      <c r="J350" s="21" t="s">
        <v>1827</v>
      </c>
      <c r="K350" s="1469">
        <f t="shared" si="27"/>
        <v>3500000</v>
      </c>
      <c r="L350" s="1469">
        <f t="shared" si="28"/>
        <v>0</v>
      </c>
      <c r="M350" s="1517"/>
    </row>
    <row r="351" spans="1:13" ht="30" customHeight="1" x14ac:dyDescent="0.2">
      <c r="A351" s="1519">
        <v>216</v>
      </c>
      <c r="B351" s="1517" t="s">
        <v>77</v>
      </c>
      <c r="C351" s="1488" t="s">
        <v>889</v>
      </c>
      <c r="D351" s="1469">
        <v>250000000</v>
      </c>
      <c r="E351" s="1516">
        <v>4.4999999999999998E-2</v>
      </c>
      <c r="F351" s="1469">
        <f t="shared" si="24"/>
        <v>11250000</v>
      </c>
      <c r="G351" s="1469">
        <v>11250000</v>
      </c>
      <c r="H351" s="1469" t="s">
        <v>2656</v>
      </c>
      <c r="I351" s="1490" t="s">
        <v>2663</v>
      </c>
      <c r="J351" s="18" t="s">
        <v>1430</v>
      </c>
      <c r="K351" s="1469">
        <f t="shared" si="27"/>
        <v>11250000</v>
      </c>
      <c r="L351" s="1469">
        <f t="shared" si="28"/>
        <v>0</v>
      </c>
      <c r="M351" s="1517"/>
    </row>
    <row r="352" spans="1:13" ht="30" customHeight="1" x14ac:dyDescent="0.2">
      <c r="A352" s="1462">
        <v>217</v>
      </c>
      <c r="B352" s="1517" t="s">
        <v>79</v>
      </c>
      <c r="C352" s="1518"/>
      <c r="D352" s="1489">
        <v>160000000</v>
      </c>
      <c r="E352" s="1516">
        <v>0.05</v>
      </c>
      <c r="F352" s="1489">
        <f t="shared" si="24"/>
        <v>8000000</v>
      </c>
      <c r="G352" s="1489"/>
      <c r="H352" s="1489"/>
      <c r="I352" s="1528"/>
      <c r="J352" s="1529" t="s">
        <v>2494</v>
      </c>
      <c r="K352" s="1489">
        <f>G352</f>
        <v>0</v>
      </c>
      <c r="L352" s="1489">
        <f t="shared" si="28"/>
        <v>8000000</v>
      </c>
      <c r="M352" s="1473"/>
    </row>
    <row r="353" spans="1:13" ht="30" customHeight="1" x14ac:dyDescent="0.2">
      <c r="A353" s="1519">
        <v>218</v>
      </c>
      <c r="B353" s="1461" t="s">
        <v>80</v>
      </c>
      <c r="C353" s="1488"/>
      <c r="D353" s="1469">
        <v>45000000</v>
      </c>
      <c r="E353" s="1466">
        <v>0.04</v>
      </c>
      <c r="F353" s="1469">
        <f t="shared" si="24"/>
        <v>1800000</v>
      </c>
      <c r="G353" s="1469">
        <v>1800000</v>
      </c>
      <c r="H353" s="1469" t="s">
        <v>2656</v>
      </c>
      <c r="I353" s="1490" t="s">
        <v>2660</v>
      </c>
      <c r="J353" s="65" t="s">
        <v>1695</v>
      </c>
      <c r="K353" s="1469">
        <f>G353</f>
        <v>1800000</v>
      </c>
      <c r="L353" s="1469">
        <f t="shared" si="28"/>
        <v>0</v>
      </c>
      <c r="M353" s="1517"/>
    </row>
    <row r="354" spans="1:13" ht="30" customHeight="1" x14ac:dyDescent="0.2">
      <c r="A354" s="1519">
        <v>219</v>
      </c>
      <c r="B354" s="1517" t="s">
        <v>1791</v>
      </c>
      <c r="C354" s="1488"/>
      <c r="D354" s="1478"/>
      <c r="E354" s="40"/>
      <c r="F354" s="1478">
        <f t="shared" si="24"/>
        <v>0</v>
      </c>
      <c r="G354" s="1469"/>
      <c r="H354" s="1469"/>
      <c r="I354" s="1490"/>
      <c r="J354" s="21"/>
      <c r="K354" s="1469"/>
      <c r="L354" s="1478">
        <f t="shared" si="28"/>
        <v>0</v>
      </c>
      <c r="M354" s="1517"/>
    </row>
    <row r="355" spans="1:13" ht="30" customHeight="1" x14ac:dyDescent="0.2">
      <c r="A355" s="1519">
        <v>220</v>
      </c>
      <c r="B355" s="1514" t="s">
        <v>81</v>
      </c>
      <c r="C355" s="345"/>
      <c r="D355" s="1467">
        <v>203000000</v>
      </c>
      <c r="E355" s="1465">
        <v>0.05</v>
      </c>
      <c r="F355" s="1467">
        <f t="shared" si="24"/>
        <v>10150000</v>
      </c>
      <c r="G355" s="1469">
        <v>10150000</v>
      </c>
      <c r="H355" s="1469" t="s">
        <v>2689</v>
      </c>
      <c r="I355" s="1490" t="s">
        <v>2762</v>
      </c>
      <c r="J355" s="21" t="s">
        <v>2763</v>
      </c>
      <c r="K355" s="1467">
        <f>G355</f>
        <v>10150000</v>
      </c>
      <c r="L355" s="1467">
        <f t="shared" si="28"/>
        <v>0</v>
      </c>
      <c r="M355" s="1517"/>
    </row>
    <row r="356" spans="1:13" ht="30" customHeight="1" x14ac:dyDescent="0.2">
      <c r="A356" s="1519">
        <v>221</v>
      </c>
      <c r="B356" s="1514" t="s">
        <v>326</v>
      </c>
      <c r="C356" s="345"/>
      <c r="D356" s="1467">
        <v>275000000</v>
      </c>
      <c r="E356" s="1465">
        <v>4.2000000000000003E-2</v>
      </c>
      <c r="F356" s="1467">
        <f>D356*E356</f>
        <v>11550000</v>
      </c>
      <c r="G356" s="1468">
        <v>11550000</v>
      </c>
      <c r="H356" s="1468" t="s">
        <v>2656</v>
      </c>
      <c r="I356" s="1493" t="s">
        <v>2672</v>
      </c>
      <c r="J356" s="384" t="s">
        <v>1654</v>
      </c>
      <c r="K356" s="1467">
        <f>G356</f>
        <v>11550000</v>
      </c>
      <c r="L356" s="1467">
        <f t="shared" si="28"/>
        <v>0</v>
      </c>
      <c r="M356" s="1484"/>
    </row>
    <row r="357" spans="1:13" ht="30" customHeight="1" x14ac:dyDescent="0.2">
      <c r="A357" s="383">
        <v>222</v>
      </c>
      <c r="B357" s="4457" t="s">
        <v>1818</v>
      </c>
      <c r="C357" s="4537" t="s">
        <v>1287</v>
      </c>
      <c r="D357" s="4413">
        <v>700000000</v>
      </c>
      <c r="E357" s="4476">
        <v>0.06</v>
      </c>
      <c r="F357" s="4413">
        <f>D357*E357</f>
        <v>42000000</v>
      </c>
      <c r="G357" s="1489">
        <v>5000000</v>
      </c>
      <c r="H357" s="1489" t="s">
        <v>3305</v>
      </c>
      <c r="I357" s="1512" t="s">
        <v>3356</v>
      </c>
      <c r="J357" s="1513" t="s">
        <v>3357</v>
      </c>
      <c r="K357" s="1489">
        <f>G357</f>
        <v>5000000</v>
      </c>
      <c r="L357" s="1489">
        <f>F357-K357</f>
        <v>37000000</v>
      </c>
      <c r="M357" s="159" t="s">
        <v>3589</v>
      </c>
    </row>
    <row r="358" spans="1:13" ht="30" customHeight="1" x14ac:dyDescent="0.2">
      <c r="A358" s="1536"/>
      <c r="B358" s="4458"/>
      <c r="C358" s="4538"/>
      <c r="D358" s="4415"/>
      <c r="E358" s="4477"/>
      <c r="F358" s="4415"/>
      <c r="G358" s="1469"/>
      <c r="H358" s="1469"/>
      <c r="I358" s="1509"/>
      <c r="J358" s="21"/>
      <c r="K358" s="1469"/>
      <c r="L358" s="1469"/>
      <c r="M358" s="159"/>
    </row>
    <row r="359" spans="1:13" ht="30" customHeight="1" x14ac:dyDescent="0.2">
      <c r="A359" s="1464">
        <v>223</v>
      </c>
      <c r="B359" s="1461" t="s">
        <v>83</v>
      </c>
      <c r="C359" s="1488" t="s">
        <v>1652</v>
      </c>
      <c r="D359" s="1469">
        <v>100000000</v>
      </c>
      <c r="E359" s="1466">
        <v>0.05</v>
      </c>
      <c r="F359" s="1469">
        <f t="shared" si="24"/>
        <v>5000000</v>
      </c>
      <c r="G359" s="1469">
        <v>5000000</v>
      </c>
      <c r="H359" s="1469" t="s">
        <v>2689</v>
      </c>
      <c r="I359" s="1490" t="s">
        <v>2759</v>
      </c>
      <c r="J359" s="21" t="s">
        <v>1859</v>
      </c>
      <c r="K359" s="1469">
        <f>G359</f>
        <v>5000000</v>
      </c>
      <c r="L359" s="1469">
        <f t="shared" si="28"/>
        <v>0</v>
      </c>
      <c r="M359" s="1517"/>
    </row>
    <row r="360" spans="1:13" ht="30" customHeight="1" x14ac:dyDescent="0.2">
      <c r="A360" s="1519">
        <v>224</v>
      </c>
      <c r="B360" s="1517" t="s">
        <v>2623</v>
      </c>
      <c r="C360" s="1488"/>
      <c r="D360" s="1469">
        <v>10000000</v>
      </c>
      <c r="E360" s="1516">
        <v>0.05</v>
      </c>
      <c r="F360" s="1469">
        <f t="shared" si="24"/>
        <v>500000</v>
      </c>
      <c r="G360" s="1469">
        <v>500000</v>
      </c>
      <c r="H360" s="1469" t="s">
        <v>2211</v>
      </c>
      <c r="I360" s="1490" t="s">
        <v>2624</v>
      </c>
      <c r="J360" s="21" t="s">
        <v>355</v>
      </c>
      <c r="K360" s="1469">
        <f>G360</f>
        <v>500000</v>
      </c>
      <c r="L360" s="1469">
        <f t="shared" si="28"/>
        <v>0</v>
      </c>
      <c r="M360" s="1517"/>
    </row>
    <row r="361" spans="1:13" ht="30" customHeight="1" x14ac:dyDescent="0.2">
      <c r="A361" s="1519">
        <v>225</v>
      </c>
      <c r="B361" s="1517" t="s">
        <v>85</v>
      </c>
      <c r="C361" s="1488"/>
      <c r="D361" s="1478"/>
      <c r="E361" s="40"/>
      <c r="F361" s="1478">
        <f t="shared" si="24"/>
        <v>0</v>
      </c>
      <c r="G361" s="1469"/>
      <c r="H361" s="1469"/>
      <c r="I361" s="1490"/>
      <c r="J361" s="18"/>
      <c r="K361" s="1469"/>
      <c r="L361" s="1478">
        <f t="shared" si="28"/>
        <v>0</v>
      </c>
      <c r="M361" s="97" t="s">
        <v>713</v>
      </c>
    </row>
    <row r="362" spans="1:13" ht="30" customHeight="1" x14ac:dyDescent="0.2">
      <c r="A362" s="1464">
        <v>226</v>
      </c>
      <c r="B362" s="1515" t="s">
        <v>86</v>
      </c>
      <c r="C362" s="1488"/>
      <c r="D362" s="1489">
        <v>410000000</v>
      </c>
      <c r="E362" s="1516">
        <v>0.06</v>
      </c>
      <c r="F362" s="1489">
        <f>D362*E362</f>
        <v>24600000</v>
      </c>
      <c r="G362" s="4593" t="s">
        <v>2458</v>
      </c>
      <c r="H362" s="4594"/>
      <c r="I362" s="4594"/>
      <c r="J362" s="4594"/>
      <c r="K362" s="4595"/>
      <c r="L362" s="1469"/>
      <c r="M362" s="1471"/>
    </row>
    <row r="363" spans="1:13" ht="30" customHeight="1" x14ac:dyDescent="0.2">
      <c r="A363" s="1519">
        <v>227</v>
      </c>
      <c r="B363" s="1517" t="s">
        <v>87</v>
      </c>
      <c r="C363" s="1488" t="s">
        <v>889</v>
      </c>
      <c r="D363" s="1469">
        <v>20000000</v>
      </c>
      <c r="E363" s="1516">
        <v>0.05</v>
      </c>
      <c r="F363" s="1469">
        <f>D363*E363</f>
        <v>1000000</v>
      </c>
      <c r="G363" s="1469">
        <v>1000000</v>
      </c>
      <c r="H363" s="1469" t="s">
        <v>2577</v>
      </c>
      <c r="I363" s="1490" t="s">
        <v>2602</v>
      </c>
      <c r="J363" s="18" t="s">
        <v>1436</v>
      </c>
      <c r="K363" s="1469">
        <f t="shared" ref="K363:K393" si="29">G363</f>
        <v>1000000</v>
      </c>
      <c r="L363" s="1469">
        <f t="shared" si="28"/>
        <v>0</v>
      </c>
      <c r="M363" s="1517"/>
    </row>
    <row r="364" spans="1:13" ht="30" customHeight="1" x14ac:dyDescent="0.2">
      <c r="A364" s="1519">
        <v>228</v>
      </c>
      <c r="B364" s="1517" t="s">
        <v>88</v>
      </c>
      <c r="C364" s="1488" t="s">
        <v>1176</v>
      </c>
      <c r="D364" s="1469">
        <v>10000000</v>
      </c>
      <c r="E364" s="1516">
        <v>0.04</v>
      </c>
      <c r="F364" s="1469">
        <f t="shared" si="24"/>
        <v>400000</v>
      </c>
      <c r="G364" s="1469">
        <v>400000</v>
      </c>
      <c r="H364" s="1469" t="s">
        <v>3127</v>
      </c>
      <c r="I364" s="1490" t="s">
        <v>3130</v>
      </c>
      <c r="J364" s="26" t="s">
        <v>417</v>
      </c>
      <c r="K364" s="1469">
        <f t="shared" si="29"/>
        <v>400000</v>
      </c>
      <c r="L364" s="1469">
        <f t="shared" si="28"/>
        <v>0</v>
      </c>
      <c r="M364" s="1517"/>
    </row>
    <row r="365" spans="1:13" ht="30" customHeight="1" x14ac:dyDescent="0.2">
      <c r="A365" s="1519">
        <v>229</v>
      </c>
      <c r="B365" s="1517" t="s">
        <v>89</v>
      </c>
      <c r="C365" s="1488" t="s">
        <v>889</v>
      </c>
      <c r="D365" s="1469">
        <v>52000000</v>
      </c>
      <c r="E365" s="1516">
        <v>0.05</v>
      </c>
      <c r="F365" s="1469">
        <f t="shared" si="24"/>
        <v>2600000</v>
      </c>
      <c r="G365" s="1469">
        <v>2600000</v>
      </c>
      <c r="H365" s="1469" t="s">
        <v>2689</v>
      </c>
      <c r="I365" s="1490" t="s">
        <v>2751</v>
      </c>
      <c r="J365" s="21" t="s">
        <v>381</v>
      </c>
      <c r="K365" s="1469">
        <f t="shared" si="29"/>
        <v>2600000</v>
      </c>
      <c r="L365" s="1469">
        <f t="shared" si="28"/>
        <v>0</v>
      </c>
      <c r="M365" s="1517"/>
    </row>
    <row r="366" spans="1:13" ht="30" customHeight="1" x14ac:dyDescent="0.2">
      <c r="A366" s="1519">
        <v>230</v>
      </c>
      <c r="B366" s="4457" t="s">
        <v>90</v>
      </c>
      <c r="C366" s="1487" t="s">
        <v>1718</v>
      </c>
      <c r="D366" s="1469">
        <v>20000000</v>
      </c>
      <c r="E366" s="1516">
        <v>0.05</v>
      </c>
      <c r="F366" s="1469">
        <f t="shared" si="24"/>
        <v>1000000</v>
      </c>
      <c r="G366" s="1469">
        <v>1000000</v>
      </c>
      <c r="H366" s="1469" t="s">
        <v>2713</v>
      </c>
      <c r="I366" s="1490" t="s">
        <v>2783</v>
      </c>
      <c r="J366" s="21" t="s">
        <v>449</v>
      </c>
      <c r="K366" s="1469">
        <f t="shared" si="29"/>
        <v>1000000</v>
      </c>
      <c r="L366" s="1469">
        <f t="shared" si="28"/>
        <v>0</v>
      </c>
      <c r="M366" s="1517"/>
    </row>
    <row r="367" spans="1:13" ht="30" customHeight="1" x14ac:dyDescent="0.2">
      <c r="A367" s="1519"/>
      <c r="B367" s="4458"/>
      <c r="C367" s="711"/>
      <c r="D367" s="1469">
        <v>30000000</v>
      </c>
      <c r="E367" s="1516">
        <v>0.05</v>
      </c>
      <c r="F367" s="1469">
        <f t="shared" si="24"/>
        <v>1500000</v>
      </c>
      <c r="G367" s="4635" t="s">
        <v>2905</v>
      </c>
      <c r="H367" s="4636"/>
      <c r="I367" s="4636"/>
      <c r="J367" s="4636"/>
      <c r="K367" s="4637"/>
      <c r="L367" s="1469"/>
      <c r="M367" s="1517"/>
    </row>
    <row r="368" spans="1:13" ht="30" customHeight="1" x14ac:dyDescent="0.2">
      <c r="A368" s="1519">
        <v>231</v>
      </c>
      <c r="B368" s="1517" t="s">
        <v>91</v>
      </c>
      <c r="C368" s="1488" t="s">
        <v>1080</v>
      </c>
      <c r="D368" s="1469">
        <v>30000000</v>
      </c>
      <c r="E368" s="1516">
        <v>4.4999999999999998E-2</v>
      </c>
      <c r="F368" s="1469">
        <f t="shared" si="24"/>
        <v>1350000</v>
      </c>
      <c r="G368" s="1469">
        <v>1350000</v>
      </c>
      <c r="H368" s="1469" t="s">
        <v>2656</v>
      </c>
      <c r="I368" s="1490" t="s">
        <v>2669</v>
      </c>
      <c r="J368" s="26" t="s">
        <v>1747</v>
      </c>
      <c r="K368" s="1469">
        <f t="shared" si="29"/>
        <v>1350000</v>
      </c>
      <c r="L368" s="1469">
        <f t="shared" si="28"/>
        <v>0</v>
      </c>
      <c r="M368" s="1517"/>
    </row>
    <row r="369" spans="1:15" ht="30" customHeight="1" x14ac:dyDescent="0.2">
      <c r="A369" s="1519">
        <v>232</v>
      </c>
      <c r="B369" s="1517" t="s">
        <v>1602</v>
      </c>
      <c r="C369" s="1488" t="s">
        <v>1172</v>
      </c>
      <c r="D369" s="1469">
        <v>55000000</v>
      </c>
      <c r="E369" s="1516">
        <v>0.04</v>
      </c>
      <c r="F369" s="1469">
        <f t="shared" si="24"/>
        <v>2200000</v>
      </c>
      <c r="G369" s="1469">
        <v>2200000</v>
      </c>
      <c r="H369" s="1469" t="s">
        <v>2577</v>
      </c>
      <c r="I369" s="1490" t="s">
        <v>2578</v>
      </c>
      <c r="J369" s="21" t="s">
        <v>1604</v>
      </c>
      <c r="K369" s="1469">
        <f t="shared" si="29"/>
        <v>2200000</v>
      </c>
      <c r="L369" s="1469">
        <f t="shared" si="28"/>
        <v>0</v>
      </c>
      <c r="M369" s="1517"/>
    </row>
    <row r="370" spans="1:15" ht="30" customHeight="1" x14ac:dyDescent="0.2">
      <c r="A370" s="1519">
        <v>233</v>
      </c>
      <c r="B370" s="1517" t="s">
        <v>275</v>
      </c>
      <c r="C370" s="1488" t="s">
        <v>372</v>
      </c>
      <c r="D370" s="1469">
        <v>50000000</v>
      </c>
      <c r="E370" s="1516">
        <v>0.05</v>
      </c>
      <c r="F370" s="1469">
        <f t="shared" si="24"/>
        <v>2500000</v>
      </c>
      <c r="G370" s="1469">
        <v>2500000</v>
      </c>
      <c r="H370" s="1469" t="s">
        <v>2803</v>
      </c>
      <c r="I370" s="1490" t="s">
        <v>2816</v>
      </c>
      <c r="J370" s="21" t="s">
        <v>1867</v>
      </c>
      <c r="K370" s="1469">
        <f t="shared" si="29"/>
        <v>2500000</v>
      </c>
      <c r="L370" s="1469">
        <f t="shared" si="28"/>
        <v>0</v>
      </c>
      <c r="M370" s="2015" t="s">
        <v>274</v>
      </c>
    </row>
    <row r="371" spans="1:15" ht="30" customHeight="1" x14ac:dyDescent="0.2">
      <c r="A371" s="1519">
        <v>234</v>
      </c>
      <c r="B371" s="1514" t="s">
        <v>93</v>
      </c>
      <c r="C371" s="378"/>
      <c r="D371" s="1481"/>
      <c r="E371" s="40"/>
      <c r="F371" s="1489">
        <v>21000000</v>
      </c>
      <c r="G371" s="1489">
        <v>21000000</v>
      </c>
      <c r="H371" s="1489" t="s">
        <v>1916</v>
      </c>
      <c r="I371" s="1512" t="s">
        <v>2861</v>
      </c>
      <c r="J371" s="1513" t="s">
        <v>506</v>
      </c>
      <c r="K371" s="1489">
        <f t="shared" si="29"/>
        <v>21000000</v>
      </c>
      <c r="L371" s="1469">
        <f t="shared" si="28"/>
        <v>0</v>
      </c>
      <c r="M371" s="1506"/>
    </row>
    <row r="372" spans="1:15" ht="30" customHeight="1" x14ac:dyDescent="0.2">
      <c r="A372" s="1519">
        <v>235</v>
      </c>
      <c r="B372" s="1517" t="s">
        <v>94</v>
      </c>
      <c r="C372" s="1488" t="s">
        <v>1172</v>
      </c>
      <c r="D372" s="1469">
        <v>50000000</v>
      </c>
      <c r="E372" s="1466">
        <v>0.04</v>
      </c>
      <c r="F372" s="1469">
        <f t="shared" si="24"/>
        <v>2000000</v>
      </c>
      <c r="G372" s="1469">
        <v>2000000</v>
      </c>
      <c r="H372" s="1469" t="s">
        <v>1916</v>
      </c>
      <c r="I372" s="1490" t="s">
        <v>2843</v>
      </c>
      <c r="J372" s="21" t="s">
        <v>2844</v>
      </c>
      <c r="K372" s="1469">
        <f t="shared" si="29"/>
        <v>2000000</v>
      </c>
      <c r="L372" s="1469">
        <f t="shared" si="28"/>
        <v>0</v>
      </c>
      <c r="M372" s="1517"/>
    </row>
    <row r="373" spans="1:15" ht="30" customHeight="1" x14ac:dyDescent="0.2">
      <c r="A373" s="1519">
        <v>236</v>
      </c>
      <c r="B373" s="1517" t="s">
        <v>95</v>
      </c>
      <c r="C373" s="1488"/>
      <c r="D373" s="1469">
        <v>37000000</v>
      </c>
      <c r="E373" s="1516">
        <v>4.1000000000000002E-2</v>
      </c>
      <c r="F373" s="1469">
        <v>1500000</v>
      </c>
      <c r="G373" s="1469"/>
      <c r="H373" s="1469"/>
      <c r="I373" s="1490"/>
      <c r="J373" s="1492" t="s">
        <v>334</v>
      </c>
      <c r="K373" s="1469">
        <f t="shared" si="29"/>
        <v>0</v>
      </c>
      <c r="L373" s="1469">
        <f t="shared" si="28"/>
        <v>1500000</v>
      </c>
      <c r="M373" s="1517"/>
    </row>
    <row r="374" spans="1:15" ht="30" customHeight="1" x14ac:dyDescent="0.2">
      <c r="A374" s="1519">
        <v>237</v>
      </c>
      <c r="B374" s="1517" t="s">
        <v>96</v>
      </c>
      <c r="C374" s="1488" t="s">
        <v>1718</v>
      </c>
      <c r="D374" s="1469">
        <v>62500000</v>
      </c>
      <c r="E374" s="1516">
        <v>4.8000000000000001E-2</v>
      </c>
      <c r="F374" s="1469">
        <f t="shared" si="24"/>
        <v>3000000</v>
      </c>
      <c r="G374" s="1469">
        <v>3000000</v>
      </c>
      <c r="H374" s="1469" t="s">
        <v>2713</v>
      </c>
      <c r="I374" s="1490" t="s">
        <v>2785</v>
      </c>
      <c r="J374" s="21" t="s">
        <v>2154</v>
      </c>
      <c r="K374" s="1469">
        <f t="shared" si="29"/>
        <v>3000000</v>
      </c>
      <c r="L374" s="1469">
        <f t="shared" si="28"/>
        <v>0</v>
      </c>
      <c r="M374" s="1517"/>
    </row>
    <row r="375" spans="1:15" ht="30" customHeight="1" x14ac:dyDescent="0.2">
      <c r="A375" s="1519">
        <v>238</v>
      </c>
      <c r="B375" s="1517" t="s">
        <v>97</v>
      </c>
      <c r="C375" s="1488" t="s">
        <v>1176</v>
      </c>
      <c r="D375" s="1469">
        <v>100000000</v>
      </c>
      <c r="E375" s="1516">
        <v>0.05</v>
      </c>
      <c r="F375" s="1469">
        <f t="shared" si="24"/>
        <v>5000000</v>
      </c>
      <c r="G375" s="1469">
        <v>5000000</v>
      </c>
      <c r="H375" s="1469" t="s">
        <v>2803</v>
      </c>
      <c r="I375" s="18">
        <v>1.4010512054203199E+19</v>
      </c>
      <c r="J375" s="18" t="s">
        <v>301</v>
      </c>
      <c r="K375" s="1469">
        <f t="shared" si="29"/>
        <v>5000000</v>
      </c>
      <c r="L375" s="1469">
        <f t="shared" si="28"/>
        <v>0</v>
      </c>
      <c r="M375" s="1517"/>
    </row>
    <row r="376" spans="1:15" ht="30" customHeight="1" x14ac:dyDescent="0.2">
      <c r="A376" s="1519">
        <v>239</v>
      </c>
      <c r="B376" s="1517" t="s">
        <v>98</v>
      </c>
      <c r="C376" s="1488" t="s">
        <v>372</v>
      </c>
      <c r="D376" s="1469">
        <v>50000000</v>
      </c>
      <c r="E376" s="1516">
        <v>0.05</v>
      </c>
      <c r="F376" s="1469">
        <f t="shared" si="24"/>
        <v>2500000</v>
      </c>
      <c r="G376" s="1469">
        <v>2500000</v>
      </c>
      <c r="H376" s="1469" t="s">
        <v>2877</v>
      </c>
      <c r="I376" s="1490" t="s">
        <v>2961</v>
      </c>
      <c r="J376" s="21" t="s">
        <v>1876</v>
      </c>
      <c r="K376" s="1469">
        <f t="shared" si="29"/>
        <v>2500000</v>
      </c>
      <c r="L376" s="1469">
        <f t="shared" si="28"/>
        <v>0</v>
      </c>
      <c r="M376" s="1517"/>
    </row>
    <row r="377" spans="1:15" ht="30" customHeight="1" x14ac:dyDescent="0.2">
      <c r="A377" s="1462">
        <v>240</v>
      </c>
      <c r="B377" s="1514" t="s">
        <v>2274</v>
      </c>
      <c r="C377" s="345" t="s">
        <v>990</v>
      </c>
      <c r="D377" s="1467">
        <v>100000000</v>
      </c>
      <c r="E377" s="1465">
        <v>0.04</v>
      </c>
      <c r="F377" s="1467">
        <f t="shared" si="24"/>
        <v>4000000</v>
      </c>
      <c r="G377" s="1469">
        <v>4000000</v>
      </c>
      <c r="H377" s="1469" t="s">
        <v>3227</v>
      </c>
      <c r="I377" s="1490" t="s">
        <v>3241</v>
      </c>
      <c r="J377" s="21" t="s">
        <v>3242</v>
      </c>
      <c r="K377" s="1469">
        <f t="shared" si="29"/>
        <v>4000000</v>
      </c>
      <c r="L377" s="1469">
        <f t="shared" si="28"/>
        <v>0</v>
      </c>
      <c r="M377" s="97"/>
    </row>
    <row r="378" spans="1:15" ht="30" customHeight="1" x14ac:dyDescent="0.2">
      <c r="A378" s="4614">
        <v>241</v>
      </c>
      <c r="B378" s="4615" t="s">
        <v>559</v>
      </c>
      <c r="C378" s="4620" t="s">
        <v>1306</v>
      </c>
      <c r="D378" s="1489">
        <v>20000000</v>
      </c>
      <c r="E378" s="1516">
        <v>7.0000000000000007E-2</v>
      </c>
      <c r="F378" s="1489">
        <f>D378*E378</f>
        <v>1400000.0000000002</v>
      </c>
      <c r="G378" s="4413">
        <v>2300000</v>
      </c>
      <c r="H378" s="4413" t="s">
        <v>3189</v>
      </c>
      <c r="I378" s="4555" t="s">
        <v>3206</v>
      </c>
      <c r="J378" s="96" t="s">
        <v>557</v>
      </c>
      <c r="K378" s="4413">
        <f t="shared" si="29"/>
        <v>2300000</v>
      </c>
      <c r="L378" s="4413">
        <f>(F378+F379)-K378</f>
        <v>0</v>
      </c>
      <c r="M378" s="4520"/>
    </row>
    <row r="379" spans="1:15" ht="30" customHeight="1" x14ac:dyDescent="0.2">
      <c r="A379" s="4614"/>
      <c r="B379" s="4615"/>
      <c r="C379" s="4620"/>
      <c r="D379" s="1489">
        <v>10000000</v>
      </c>
      <c r="E379" s="1516">
        <v>0.09</v>
      </c>
      <c r="F379" s="1489">
        <f>D379*E379</f>
        <v>900000</v>
      </c>
      <c r="G379" s="4415"/>
      <c r="H379" s="4415"/>
      <c r="I379" s="4557"/>
      <c r="J379" s="96" t="s">
        <v>557</v>
      </c>
      <c r="K379" s="4415"/>
      <c r="L379" s="4415"/>
      <c r="M379" s="4479"/>
    </row>
    <row r="380" spans="1:15" ht="30" customHeight="1" x14ac:dyDescent="0.2">
      <c r="A380" s="1519">
        <v>242</v>
      </c>
      <c r="B380" s="1517" t="s">
        <v>100</v>
      </c>
      <c r="C380" s="1488"/>
      <c r="D380" s="1469">
        <v>140000000</v>
      </c>
      <c r="E380" s="1466">
        <v>4.4999999999999998E-2</v>
      </c>
      <c r="F380" s="1469">
        <f t="shared" si="24"/>
        <v>6300000</v>
      </c>
      <c r="G380" s="1469">
        <v>6300000</v>
      </c>
      <c r="H380" s="1469" t="s">
        <v>2656</v>
      </c>
      <c r="I380" s="1490" t="s">
        <v>2670</v>
      </c>
      <c r="J380" s="21" t="s">
        <v>1665</v>
      </c>
      <c r="K380" s="1469">
        <f t="shared" si="29"/>
        <v>6300000</v>
      </c>
      <c r="L380" s="1469">
        <f t="shared" si="28"/>
        <v>0</v>
      </c>
      <c r="M380" s="1968"/>
    </row>
    <row r="381" spans="1:15" ht="30" customHeight="1" x14ac:dyDescent="0.2">
      <c r="A381" s="1519">
        <v>243</v>
      </c>
      <c r="B381" s="19" t="s">
        <v>507</v>
      </c>
      <c r="C381" s="1518" t="s">
        <v>262</v>
      </c>
      <c r="D381" s="1489">
        <v>20000000</v>
      </c>
      <c r="E381" s="1516">
        <v>0.04</v>
      </c>
      <c r="F381" s="1489">
        <f>D381*E381</f>
        <v>800000</v>
      </c>
      <c r="G381" s="1489">
        <v>1000000</v>
      </c>
      <c r="H381" s="1489" t="s">
        <v>1916</v>
      </c>
      <c r="I381" s="1489">
        <v>659348823335</v>
      </c>
      <c r="J381" s="1489" t="s">
        <v>1892</v>
      </c>
      <c r="K381" s="1489">
        <f t="shared" si="29"/>
        <v>1000000</v>
      </c>
      <c r="L381" s="1489">
        <f>F381-K381</f>
        <v>-200000</v>
      </c>
      <c r="M381" s="97"/>
      <c r="N381" s="248"/>
      <c r="O381" s="248"/>
    </row>
    <row r="382" spans="1:15" ht="30" customHeight="1" x14ac:dyDescent="0.2">
      <c r="A382" s="1519">
        <v>244</v>
      </c>
      <c r="B382" s="1461" t="s">
        <v>101</v>
      </c>
      <c r="C382" s="1488"/>
      <c r="D382" s="1469">
        <v>50000000</v>
      </c>
      <c r="E382" s="1516">
        <v>0.05</v>
      </c>
      <c r="F382" s="1469">
        <f t="shared" ref="F382:F400" si="30">D382*E382</f>
        <v>2500000</v>
      </c>
      <c r="G382" s="1469">
        <v>2500000</v>
      </c>
      <c r="H382" s="1469" t="s">
        <v>2916</v>
      </c>
      <c r="I382" s="1490" t="s">
        <v>2924</v>
      </c>
      <c r="J382" s="21" t="s">
        <v>305</v>
      </c>
      <c r="K382" s="1469">
        <f t="shared" si="29"/>
        <v>2500000</v>
      </c>
      <c r="L382" s="1469">
        <f t="shared" si="28"/>
        <v>0</v>
      </c>
      <c r="M382" s="1517"/>
    </row>
    <row r="383" spans="1:15" ht="30" customHeight="1" x14ac:dyDescent="0.2">
      <c r="A383" s="1519">
        <v>245</v>
      </c>
      <c r="B383" s="1517" t="s">
        <v>4059</v>
      </c>
      <c r="C383" s="1488" t="s">
        <v>262</v>
      </c>
      <c r="D383" s="1469">
        <v>60000000</v>
      </c>
      <c r="E383" s="1516">
        <v>0.05</v>
      </c>
      <c r="F383" s="1469">
        <f t="shared" si="30"/>
        <v>3000000</v>
      </c>
      <c r="G383" s="1469">
        <v>3000000</v>
      </c>
      <c r="H383" s="1469" t="s">
        <v>2713</v>
      </c>
      <c r="I383" s="1490" t="s">
        <v>2784</v>
      </c>
      <c r="J383" s="1491" t="s">
        <v>1926</v>
      </c>
      <c r="K383" s="1469">
        <f t="shared" si="29"/>
        <v>3000000</v>
      </c>
      <c r="L383" s="1469">
        <f t="shared" si="28"/>
        <v>0</v>
      </c>
      <c r="M383" s="1517"/>
    </row>
    <row r="384" spans="1:15" ht="30" customHeight="1" x14ac:dyDescent="0.2">
      <c r="A384" s="1519">
        <v>246</v>
      </c>
      <c r="B384" s="1517" t="s">
        <v>103</v>
      </c>
      <c r="C384" s="1488" t="s">
        <v>262</v>
      </c>
      <c r="D384" s="1469">
        <v>85000000</v>
      </c>
      <c r="E384" s="1516">
        <v>5.0999999999999997E-2</v>
      </c>
      <c r="F384" s="1469">
        <v>4300000</v>
      </c>
      <c r="G384" s="1469">
        <v>4300000</v>
      </c>
      <c r="H384" s="1469" t="s">
        <v>1916</v>
      </c>
      <c r="I384" s="1490" t="s">
        <v>2863</v>
      </c>
      <c r="J384" s="27" t="s">
        <v>2864</v>
      </c>
      <c r="K384" s="1469">
        <f t="shared" si="29"/>
        <v>4300000</v>
      </c>
      <c r="L384" s="1469">
        <f t="shared" si="28"/>
        <v>0</v>
      </c>
      <c r="M384" s="1517"/>
    </row>
    <row r="385" spans="1:16" ht="30" customHeight="1" x14ac:dyDescent="0.2">
      <c r="A385" s="1519">
        <v>247</v>
      </c>
      <c r="B385" s="1517" t="s">
        <v>104</v>
      </c>
      <c r="C385" s="1488"/>
      <c r="D385" s="1469">
        <v>220000000</v>
      </c>
      <c r="E385" s="1516">
        <v>7.0000000000000007E-2</v>
      </c>
      <c r="F385" s="1469">
        <f t="shared" si="30"/>
        <v>15400000.000000002</v>
      </c>
      <c r="G385" s="1469">
        <v>15400000</v>
      </c>
      <c r="H385" s="1469" t="s">
        <v>2875</v>
      </c>
      <c r="I385" s="1496" t="s">
        <v>2951</v>
      </c>
      <c r="J385" s="21" t="s">
        <v>1773</v>
      </c>
      <c r="K385" s="1469">
        <f t="shared" si="29"/>
        <v>15400000</v>
      </c>
      <c r="L385" s="1469">
        <f t="shared" si="28"/>
        <v>0</v>
      </c>
      <c r="M385" s="97" t="s">
        <v>340</v>
      </c>
      <c r="N385" s="859"/>
      <c r="O385" s="860"/>
    </row>
    <row r="386" spans="1:16" ht="30" customHeight="1" x14ac:dyDescent="0.2">
      <c r="A386" s="1519">
        <v>248</v>
      </c>
      <c r="B386" s="1517" t="s">
        <v>105</v>
      </c>
      <c r="C386" s="1488" t="s">
        <v>1172</v>
      </c>
      <c r="D386" s="1469">
        <v>95000000</v>
      </c>
      <c r="E386" s="1516">
        <v>4.4999999999999998E-2</v>
      </c>
      <c r="F386" s="1469">
        <v>4000000</v>
      </c>
      <c r="G386" s="1469">
        <v>4000000</v>
      </c>
      <c r="H386" s="1469" t="s">
        <v>2713</v>
      </c>
      <c r="I386" s="1490" t="s">
        <v>2793</v>
      </c>
      <c r="J386" s="21" t="s">
        <v>2794</v>
      </c>
      <c r="K386" s="1469">
        <f t="shared" si="29"/>
        <v>4000000</v>
      </c>
      <c r="L386" s="1469">
        <f t="shared" si="28"/>
        <v>0</v>
      </c>
      <c r="M386" s="1517"/>
    </row>
    <row r="387" spans="1:16" ht="30" customHeight="1" x14ac:dyDescent="0.2">
      <c r="A387" s="1519">
        <v>249</v>
      </c>
      <c r="B387" s="1517" t="s">
        <v>106</v>
      </c>
      <c r="C387" s="1488" t="s">
        <v>262</v>
      </c>
      <c r="D387" s="1469">
        <v>10000000</v>
      </c>
      <c r="E387" s="1516">
        <v>0.05</v>
      </c>
      <c r="F387" s="1469">
        <f t="shared" si="30"/>
        <v>500000</v>
      </c>
      <c r="G387" s="1469">
        <v>500000</v>
      </c>
      <c r="H387" s="1469" t="s">
        <v>2897</v>
      </c>
      <c r="I387" s="1490" t="s">
        <v>2997</v>
      </c>
      <c r="J387" s="26" t="s">
        <v>404</v>
      </c>
      <c r="K387" s="1469">
        <f t="shared" si="29"/>
        <v>500000</v>
      </c>
      <c r="L387" s="1469">
        <f t="shared" si="28"/>
        <v>0</v>
      </c>
      <c r="M387" s="1517"/>
    </row>
    <row r="388" spans="1:16" ht="30" customHeight="1" x14ac:dyDescent="0.2">
      <c r="A388" s="1519">
        <v>250</v>
      </c>
      <c r="B388" s="1517" t="s">
        <v>107</v>
      </c>
      <c r="C388" s="1488"/>
      <c r="D388" s="1469">
        <v>200000000</v>
      </c>
      <c r="E388" s="1516">
        <v>0.04</v>
      </c>
      <c r="F388" s="1469">
        <f t="shared" si="30"/>
        <v>8000000</v>
      </c>
      <c r="G388" s="1469">
        <v>8000000</v>
      </c>
      <c r="H388" s="1469" t="s">
        <v>2674</v>
      </c>
      <c r="I388" s="1509" t="s">
        <v>2703</v>
      </c>
      <c r="J388" s="1509" t="s">
        <v>2704</v>
      </c>
      <c r="K388" s="1469">
        <f t="shared" si="29"/>
        <v>8000000</v>
      </c>
      <c r="L388" s="1469">
        <f t="shared" si="28"/>
        <v>0</v>
      </c>
      <c r="M388" s="1517"/>
    </row>
    <row r="389" spans="1:16" ht="30" customHeight="1" x14ac:dyDescent="0.2">
      <c r="A389" s="2598">
        <v>251</v>
      </c>
      <c r="B389" s="2607" t="s">
        <v>1830</v>
      </c>
      <c r="C389" s="2601" t="s">
        <v>371</v>
      </c>
      <c r="D389" s="2599">
        <v>90000000</v>
      </c>
      <c r="E389" s="2608">
        <v>0.06</v>
      </c>
      <c r="F389" s="2599">
        <f t="shared" si="30"/>
        <v>5400000</v>
      </c>
      <c r="G389" s="2599">
        <v>5400000</v>
      </c>
      <c r="H389" s="2599" t="s">
        <v>1916</v>
      </c>
      <c r="I389" s="2603" t="s">
        <v>2837</v>
      </c>
      <c r="J389" s="21" t="s">
        <v>2838</v>
      </c>
      <c r="K389" s="2599">
        <f t="shared" si="29"/>
        <v>5400000</v>
      </c>
      <c r="L389" s="2599">
        <f t="shared" si="28"/>
        <v>0</v>
      </c>
      <c r="M389" s="1517"/>
    </row>
    <row r="390" spans="1:16" ht="30" customHeight="1" x14ac:dyDescent="0.2">
      <c r="A390" s="1519">
        <v>252</v>
      </c>
      <c r="B390" s="2610" t="s">
        <v>109</v>
      </c>
      <c r="C390" s="2609"/>
      <c r="D390" s="1469">
        <v>270000000</v>
      </c>
      <c r="E390" s="1516">
        <v>0.05</v>
      </c>
      <c r="F390" s="1469">
        <f>D390*E390</f>
        <v>13500000</v>
      </c>
      <c r="G390" s="1469">
        <v>13500000</v>
      </c>
      <c r="H390" s="1469" t="s">
        <v>2713</v>
      </c>
      <c r="I390" s="1496" t="s">
        <v>2796</v>
      </c>
      <c r="J390" s="21" t="s">
        <v>1810</v>
      </c>
      <c r="K390" s="1469">
        <f t="shared" si="29"/>
        <v>13500000</v>
      </c>
      <c r="L390" s="1469">
        <f t="shared" si="28"/>
        <v>0</v>
      </c>
      <c r="M390" s="1459"/>
    </row>
    <row r="391" spans="1:16" ht="30" customHeight="1" x14ac:dyDescent="0.2">
      <c r="A391" s="4459">
        <v>253</v>
      </c>
      <c r="B391" s="4457" t="s">
        <v>110</v>
      </c>
      <c r="C391" s="4537" t="s">
        <v>262</v>
      </c>
      <c r="D391" s="1469">
        <v>20000000</v>
      </c>
      <c r="E391" s="1516">
        <v>0.05</v>
      </c>
      <c r="F391" s="1469">
        <f t="shared" si="30"/>
        <v>1000000</v>
      </c>
      <c r="G391" s="4413">
        <v>2000000</v>
      </c>
      <c r="H391" s="4413" t="s">
        <v>2713</v>
      </c>
      <c r="I391" s="4555" t="s">
        <v>2789</v>
      </c>
      <c r="J391" s="4558" t="s">
        <v>810</v>
      </c>
      <c r="K391" s="4413">
        <f t="shared" si="29"/>
        <v>2000000</v>
      </c>
      <c r="L391" s="4413">
        <f>(F391+F392)-K391</f>
        <v>0</v>
      </c>
      <c r="M391" s="1517" t="s">
        <v>1855</v>
      </c>
      <c r="N391" s="1176"/>
      <c r="O391" s="1176"/>
      <c r="P391" s="1176"/>
    </row>
    <row r="392" spans="1:16" ht="30" customHeight="1" x14ac:dyDescent="0.2">
      <c r="A392" s="4460"/>
      <c r="B392" s="4458"/>
      <c r="C392" s="4538"/>
      <c r="D392" s="1469">
        <v>20000000</v>
      </c>
      <c r="E392" s="1516">
        <v>0.05</v>
      </c>
      <c r="F392" s="1469">
        <f t="shared" si="30"/>
        <v>1000000</v>
      </c>
      <c r="G392" s="4415"/>
      <c r="H392" s="4415"/>
      <c r="I392" s="4557"/>
      <c r="J392" s="4560"/>
      <c r="K392" s="4415"/>
      <c r="L392" s="4415"/>
      <c r="M392" s="1175" t="s">
        <v>1869</v>
      </c>
      <c r="N392" s="248"/>
      <c r="O392" s="248"/>
      <c r="P392" s="248"/>
    </row>
    <row r="393" spans="1:16" ht="30" customHeight="1" x14ac:dyDescent="0.2">
      <c r="A393" s="383">
        <v>254</v>
      </c>
      <c r="B393" s="1514" t="s">
        <v>1893</v>
      </c>
      <c r="C393" s="1518"/>
      <c r="D393" s="1469">
        <v>195000000</v>
      </c>
      <c r="E393" s="1516">
        <v>0.05</v>
      </c>
      <c r="F393" s="1469">
        <f t="shared" si="30"/>
        <v>9750000</v>
      </c>
      <c r="G393" s="1489">
        <v>9750000</v>
      </c>
      <c r="H393" s="1489" t="s">
        <v>2916</v>
      </c>
      <c r="I393" s="1489">
        <v>105141609378571</v>
      </c>
      <c r="J393" s="1489" t="s">
        <v>2946</v>
      </c>
      <c r="K393" s="1469">
        <f t="shared" si="29"/>
        <v>9750000</v>
      </c>
      <c r="L393" s="1469">
        <f>F393-K393</f>
        <v>0</v>
      </c>
      <c r="M393" s="4593" t="s">
        <v>2203</v>
      </c>
      <c r="N393" s="4594"/>
      <c r="O393" s="4594"/>
      <c r="P393" s="4594"/>
    </row>
    <row r="394" spans="1:16" ht="30" customHeight="1" x14ac:dyDescent="0.2">
      <c r="A394" s="1519">
        <v>255</v>
      </c>
      <c r="B394" s="1517" t="s">
        <v>112</v>
      </c>
      <c r="C394" s="1488" t="s">
        <v>262</v>
      </c>
      <c r="D394" s="1469">
        <v>40000000</v>
      </c>
      <c r="E394" s="1516">
        <v>0.05</v>
      </c>
      <c r="F394" s="1469">
        <f t="shared" si="30"/>
        <v>2000000</v>
      </c>
      <c r="G394" s="1469">
        <v>2000000</v>
      </c>
      <c r="H394" s="1469" t="s">
        <v>2877</v>
      </c>
      <c r="I394" s="1490" t="s">
        <v>2960</v>
      </c>
      <c r="J394" s="18" t="s">
        <v>342</v>
      </c>
      <c r="K394" s="1469">
        <f>G394</f>
        <v>2000000</v>
      </c>
      <c r="L394" s="1469">
        <f t="shared" si="28"/>
        <v>0</v>
      </c>
      <c r="M394" s="1517"/>
    </row>
    <row r="395" spans="1:16" ht="30" customHeight="1" x14ac:dyDescent="0.2">
      <c r="A395" s="1519">
        <v>256</v>
      </c>
      <c r="B395" s="1517" t="s">
        <v>113</v>
      </c>
      <c r="C395" s="1488" t="s">
        <v>371</v>
      </c>
      <c r="D395" s="1469">
        <v>100000000</v>
      </c>
      <c r="E395" s="1516">
        <v>0.05</v>
      </c>
      <c r="F395" s="1469">
        <f t="shared" si="30"/>
        <v>5000000</v>
      </c>
      <c r="G395" s="1469">
        <v>5000000</v>
      </c>
      <c r="H395" s="1469" t="s">
        <v>2803</v>
      </c>
      <c r="I395" s="1490" t="s">
        <v>2811</v>
      </c>
      <c r="J395" s="18" t="s">
        <v>1829</v>
      </c>
      <c r="K395" s="1469">
        <f>G395</f>
        <v>5000000</v>
      </c>
      <c r="L395" s="1469">
        <f t="shared" si="28"/>
        <v>0</v>
      </c>
      <c r="M395" s="1517"/>
    </row>
    <row r="396" spans="1:16" ht="30" customHeight="1" x14ac:dyDescent="0.2">
      <c r="A396" s="1519">
        <v>257</v>
      </c>
      <c r="B396" s="1517" t="s">
        <v>114</v>
      </c>
      <c r="C396" s="1488" t="s">
        <v>1292</v>
      </c>
      <c r="D396" s="1469">
        <v>30000000</v>
      </c>
      <c r="E396" s="1516">
        <v>0.05</v>
      </c>
      <c r="F396" s="1469">
        <f t="shared" si="30"/>
        <v>1500000</v>
      </c>
      <c r="G396" s="1469">
        <v>1500000</v>
      </c>
      <c r="H396" s="1469" t="s">
        <v>2965</v>
      </c>
      <c r="I396" s="1490" t="s">
        <v>2975</v>
      </c>
      <c r="J396" s="21" t="s">
        <v>2976</v>
      </c>
      <c r="K396" s="1469">
        <f>G396</f>
        <v>1500000</v>
      </c>
      <c r="L396" s="1469">
        <f t="shared" si="28"/>
        <v>0</v>
      </c>
      <c r="M396" s="1517"/>
    </row>
    <row r="397" spans="1:16" ht="30" customHeight="1" x14ac:dyDescent="0.2">
      <c r="A397" s="1519">
        <v>258</v>
      </c>
      <c r="B397" s="1517" t="s">
        <v>849</v>
      </c>
      <c r="C397" s="1488" t="s">
        <v>262</v>
      </c>
      <c r="D397" s="1469">
        <v>12000000</v>
      </c>
      <c r="E397" s="1516">
        <v>0.05</v>
      </c>
      <c r="F397" s="1469">
        <f t="shared" si="30"/>
        <v>600000</v>
      </c>
      <c r="G397" s="4413">
        <v>1600000</v>
      </c>
      <c r="H397" s="4413" t="s">
        <v>2965</v>
      </c>
      <c r="I397" s="4555" t="s">
        <v>2981</v>
      </c>
      <c r="J397" s="4553" t="s">
        <v>475</v>
      </c>
      <c r="K397" s="4413">
        <f>G397</f>
        <v>1600000</v>
      </c>
      <c r="L397" s="4413">
        <f>(F397+F398)-K397</f>
        <v>0</v>
      </c>
      <c r="M397" s="4599"/>
    </row>
    <row r="398" spans="1:16" ht="30" customHeight="1" x14ac:dyDescent="0.2">
      <c r="A398" s="1519">
        <v>259</v>
      </c>
      <c r="B398" s="1517" t="s">
        <v>156</v>
      </c>
      <c r="C398" s="1488" t="s">
        <v>262</v>
      </c>
      <c r="D398" s="1469">
        <v>20000000</v>
      </c>
      <c r="E398" s="1516">
        <v>0.05</v>
      </c>
      <c r="F398" s="1469">
        <f>D398*E398</f>
        <v>1000000</v>
      </c>
      <c r="G398" s="4415"/>
      <c r="H398" s="4415"/>
      <c r="I398" s="4557"/>
      <c r="J398" s="4554"/>
      <c r="K398" s="4415"/>
      <c r="L398" s="4415"/>
      <c r="M398" s="4607"/>
    </row>
    <row r="399" spans="1:16" ht="30" customHeight="1" x14ac:dyDescent="0.2">
      <c r="A399" s="1519">
        <v>261</v>
      </c>
      <c r="B399" s="1517" t="s">
        <v>117</v>
      </c>
      <c r="C399" s="1488"/>
      <c r="D399" s="1469">
        <v>10500000</v>
      </c>
      <c r="E399" s="1516">
        <v>0.05</v>
      </c>
      <c r="F399" s="1469">
        <f t="shared" si="30"/>
        <v>525000</v>
      </c>
      <c r="G399" s="1469">
        <v>525000</v>
      </c>
      <c r="H399" s="1469" t="s">
        <v>2916</v>
      </c>
      <c r="I399" s="1490" t="s">
        <v>2923</v>
      </c>
      <c r="J399" s="18" t="s">
        <v>414</v>
      </c>
      <c r="K399" s="1469">
        <f>G399</f>
        <v>525000</v>
      </c>
      <c r="L399" s="1469">
        <f t="shared" ref="L399:L402" si="31">F399-K399</f>
        <v>0</v>
      </c>
      <c r="M399" s="1517"/>
    </row>
    <row r="400" spans="1:16" ht="30" customHeight="1" x14ac:dyDescent="0.2">
      <c r="A400" s="4459">
        <v>263</v>
      </c>
      <c r="B400" s="4457" t="s">
        <v>572</v>
      </c>
      <c r="C400" s="4537"/>
      <c r="D400" s="4506"/>
      <c r="E400" s="4512"/>
      <c r="F400" s="4506">
        <f t="shared" si="30"/>
        <v>0</v>
      </c>
      <c r="G400" s="1469">
        <v>2000000</v>
      </c>
      <c r="H400" s="1469" t="s">
        <v>2875</v>
      </c>
      <c r="I400" s="1490" t="s">
        <v>2956</v>
      </c>
      <c r="J400" s="21" t="s">
        <v>451</v>
      </c>
      <c r="K400" s="4413">
        <f>G400+G401</f>
        <v>4000000</v>
      </c>
      <c r="L400" s="4506">
        <f t="shared" si="31"/>
        <v>-4000000</v>
      </c>
      <c r="M400" s="4472"/>
    </row>
    <row r="401" spans="1:13" ht="30" customHeight="1" x14ac:dyDescent="0.2">
      <c r="A401" s="4460"/>
      <c r="B401" s="4458"/>
      <c r="C401" s="4538"/>
      <c r="D401" s="4508"/>
      <c r="E401" s="4514"/>
      <c r="F401" s="4508"/>
      <c r="G401" s="1469">
        <v>2000000</v>
      </c>
      <c r="H401" s="1469" t="s">
        <v>2875</v>
      </c>
      <c r="I401" s="1490" t="s">
        <v>2958</v>
      </c>
      <c r="J401" s="21" t="s">
        <v>451</v>
      </c>
      <c r="K401" s="4415"/>
      <c r="L401" s="4508"/>
      <c r="M401" s="4473"/>
    </row>
    <row r="402" spans="1:13" ht="30" customHeight="1" x14ac:dyDescent="0.2">
      <c r="A402" s="1519">
        <v>264</v>
      </c>
      <c r="B402" s="1517" t="s">
        <v>119</v>
      </c>
      <c r="C402" s="1488" t="s">
        <v>262</v>
      </c>
      <c r="D402" s="1837">
        <v>100000000</v>
      </c>
      <c r="E402" s="1846">
        <v>0.02</v>
      </c>
      <c r="F402" s="1469">
        <v>2000000</v>
      </c>
      <c r="G402" s="1469">
        <v>2000000</v>
      </c>
      <c r="H402" s="1469" t="s">
        <v>2877</v>
      </c>
      <c r="I402" s="1490" t="s">
        <v>2964</v>
      </c>
      <c r="J402" s="24" t="s">
        <v>1950</v>
      </c>
      <c r="K402" s="1469">
        <f>G402</f>
        <v>2000000</v>
      </c>
      <c r="L402" s="1469">
        <f t="shared" si="31"/>
        <v>0</v>
      </c>
      <c r="M402" s="1489"/>
    </row>
    <row r="403" spans="1:13" ht="30" customHeight="1" x14ac:dyDescent="0.2">
      <c r="A403" s="4459">
        <v>265</v>
      </c>
      <c r="B403" s="4709" t="s">
        <v>121</v>
      </c>
      <c r="C403" s="4537" t="s">
        <v>262</v>
      </c>
      <c r="D403" s="1489">
        <v>961000000</v>
      </c>
      <c r="E403" s="1466">
        <v>7.0000000000000007E-2</v>
      </c>
      <c r="F403" s="1469">
        <f>D403*E403</f>
        <v>67270000</v>
      </c>
      <c r="G403" s="4623" t="s">
        <v>2357</v>
      </c>
      <c r="H403" s="4624"/>
      <c r="I403" s="4624"/>
      <c r="J403" s="4624"/>
      <c r="K403" s="4625"/>
      <c r="L403" s="1478"/>
      <c r="M403" s="1498" t="s">
        <v>2356</v>
      </c>
    </row>
    <row r="404" spans="1:13" ht="30" customHeight="1" x14ac:dyDescent="0.2">
      <c r="A404" s="4464"/>
      <c r="B404" s="4710"/>
      <c r="C404" s="4540"/>
      <c r="D404" s="1469"/>
      <c r="E404" s="1466"/>
      <c r="F404" s="1469"/>
      <c r="G404" s="1481">
        <v>21000000</v>
      </c>
      <c r="H404" s="1481" t="s">
        <v>2875</v>
      </c>
      <c r="I404" s="111" t="s">
        <v>2947</v>
      </c>
      <c r="J404" s="1481" t="s">
        <v>501</v>
      </c>
      <c r="K404" s="1481">
        <f>G404</f>
        <v>21000000</v>
      </c>
      <c r="L404" s="1478"/>
      <c r="M404" s="4773" t="s">
        <v>2968</v>
      </c>
    </row>
    <row r="405" spans="1:13" ht="30" customHeight="1" x14ac:dyDescent="0.2">
      <c r="A405" s="4464"/>
      <c r="B405" s="4710"/>
      <c r="C405" s="4540"/>
      <c r="D405" s="1469"/>
      <c r="E405" s="1466"/>
      <c r="F405" s="1469"/>
      <c r="G405" s="1478">
        <v>50000000</v>
      </c>
      <c r="H405" s="1478" t="s">
        <v>2965</v>
      </c>
      <c r="I405" s="111" t="s">
        <v>2966</v>
      </c>
      <c r="J405" s="1481" t="s">
        <v>2967</v>
      </c>
      <c r="K405" s="1478">
        <f>G405</f>
        <v>50000000</v>
      </c>
      <c r="L405" s="1478"/>
      <c r="M405" s="4774"/>
    </row>
    <row r="406" spans="1:13" ht="30" customHeight="1" x14ac:dyDescent="0.2">
      <c r="A406" s="4464"/>
      <c r="B406" s="4710"/>
      <c r="C406" s="4540"/>
      <c r="D406" s="1469">
        <v>1000000000</v>
      </c>
      <c r="E406" s="1466">
        <v>7.0000000000000007E-2</v>
      </c>
      <c r="F406" s="1469">
        <f>D406*E406</f>
        <v>70000000</v>
      </c>
      <c r="G406" s="4469" t="s">
        <v>3283</v>
      </c>
      <c r="H406" s="4470"/>
      <c r="I406" s="4470"/>
      <c r="J406" s="4470"/>
      <c r="K406" s="4470"/>
      <c r="L406" s="4471"/>
      <c r="M406" s="1498"/>
    </row>
    <row r="407" spans="1:13" ht="30" customHeight="1" x14ac:dyDescent="0.2">
      <c r="A407" s="4460"/>
      <c r="B407" s="4711"/>
      <c r="C407" s="4538"/>
      <c r="D407" s="4303" t="s">
        <v>3288</v>
      </c>
      <c r="E407" s="4324"/>
      <c r="F407" s="4355"/>
      <c r="G407" s="1469">
        <v>25000000</v>
      </c>
      <c r="H407" s="1469" t="s">
        <v>3286</v>
      </c>
      <c r="I407" s="1509" t="s">
        <v>3289</v>
      </c>
      <c r="J407" s="1489" t="s">
        <v>3290</v>
      </c>
      <c r="K407" s="1469">
        <f>G407</f>
        <v>25000000</v>
      </c>
      <c r="L407" s="1469"/>
      <c r="M407" s="1498"/>
    </row>
    <row r="408" spans="1:13" ht="30" customHeight="1" x14ac:dyDescent="0.2">
      <c r="A408" s="1001">
        <v>266</v>
      </c>
      <c r="B408" s="1000" t="s">
        <v>1918</v>
      </c>
      <c r="C408" s="982"/>
      <c r="D408" s="968">
        <v>80000000</v>
      </c>
      <c r="E408" s="996">
        <v>4.4999999999999998E-2</v>
      </c>
      <c r="F408" s="968">
        <f t="shared" ref="F408:F474" si="32">D408*E408</f>
        <v>3600000</v>
      </c>
      <c r="G408" s="968">
        <v>3600000</v>
      </c>
      <c r="H408" s="968" t="s">
        <v>3002</v>
      </c>
      <c r="I408" s="984" t="s">
        <v>3033</v>
      </c>
      <c r="J408" s="18" t="s">
        <v>571</v>
      </c>
      <c r="K408" s="968">
        <f>G408</f>
        <v>3600000</v>
      </c>
      <c r="L408" s="968">
        <f t="shared" ref="L408:L458" si="33">F408-K408</f>
        <v>0</v>
      </c>
      <c r="M408" s="1000"/>
    </row>
    <row r="409" spans="1:13" ht="30" customHeight="1" x14ac:dyDescent="0.2">
      <c r="A409" s="4459">
        <v>267</v>
      </c>
      <c r="B409" s="4457" t="s">
        <v>497</v>
      </c>
      <c r="C409" s="4537" t="s">
        <v>371</v>
      </c>
      <c r="D409" s="968">
        <v>250000000</v>
      </c>
      <c r="E409" s="996">
        <v>0.04</v>
      </c>
      <c r="F409" s="968">
        <f t="shared" si="32"/>
        <v>10000000</v>
      </c>
      <c r="G409" s="4469" t="s">
        <v>2890</v>
      </c>
      <c r="H409" s="4470"/>
      <c r="I409" s="4470"/>
      <c r="J409" s="4470"/>
      <c r="K409" s="4471"/>
      <c r="L409" s="968">
        <f t="shared" si="33"/>
        <v>10000000</v>
      </c>
      <c r="M409" s="1202" t="s">
        <v>2891</v>
      </c>
    </row>
    <row r="410" spans="1:13" ht="30" customHeight="1" x14ac:dyDescent="0.2">
      <c r="A410" s="4460"/>
      <c r="B410" s="4458"/>
      <c r="C410" s="4538"/>
      <c r="D410" s="1196">
        <v>300000000</v>
      </c>
      <c r="E410" s="1204">
        <v>0.04</v>
      </c>
      <c r="F410" s="1196">
        <f t="shared" si="32"/>
        <v>12000000</v>
      </c>
      <c r="G410" s="4623" t="s">
        <v>2892</v>
      </c>
      <c r="H410" s="4624"/>
      <c r="I410" s="4624"/>
      <c r="J410" s="4624"/>
      <c r="K410" s="4625"/>
      <c r="L410" s="1196">
        <f t="shared" si="33"/>
        <v>12000000</v>
      </c>
      <c r="M410" s="1270" t="s">
        <v>3029</v>
      </c>
    </row>
    <row r="411" spans="1:13" ht="30" customHeight="1" x14ac:dyDescent="0.2">
      <c r="A411" s="1001">
        <v>268</v>
      </c>
      <c r="B411" s="1000" t="s">
        <v>391</v>
      </c>
      <c r="C411" s="982" t="s">
        <v>392</v>
      </c>
      <c r="D411" s="968">
        <v>130000000</v>
      </c>
      <c r="E411" s="996">
        <v>4.4999999999999998E-2</v>
      </c>
      <c r="F411" s="968">
        <f t="shared" si="32"/>
        <v>5850000</v>
      </c>
      <c r="G411" s="968">
        <v>5850000</v>
      </c>
      <c r="H411" s="968" t="s">
        <v>3002</v>
      </c>
      <c r="I411" s="984" t="s">
        <v>3030</v>
      </c>
      <c r="J411" s="18" t="s">
        <v>2056</v>
      </c>
      <c r="K411" s="968">
        <f>G411</f>
        <v>5850000</v>
      </c>
      <c r="L411" s="968">
        <f t="shared" si="33"/>
        <v>0</v>
      </c>
      <c r="M411" s="1000"/>
    </row>
    <row r="412" spans="1:13" ht="30" customHeight="1" x14ac:dyDescent="0.2">
      <c r="A412" s="1001">
        <v>269</v>
      </c>
      <c r="B412" s="1000" t="s">
        <v>123</v>
      </c>
      <c r="C412" s="982" t="s">
        <v>262</v>
      </c>
      <c r="D412" s="968">
        <v>300000000</v>
      </c>
      <c r="E412" s="996">
        <v>0.05</v>
      </c>
      <c r="F412" s="968">
        <f t="shared" si="32"/>
        <v>15000000</v>
      </c>
      <c r="G412" s="968">
        <v>15000000</v>
      </c>
      <c r="H412" s="968" t="s">
        <v>2713</v>
      </c>
      <c r="I412" s="984" t="s">
        <v>2795</v>
      </c>
      <c r="J412" s="21" t="s">
        <v>1780</v>
      </c>
      <c r="K412" s="968">
        <f>G412</f>
        <v>15000000</v>
      </c>
      <c r="L412" s="968">
        <f t="shared" si="33"/>
        <v>0</v>
      </c>
      <c r="M412" s="1000"/>
    </row>
    <row r="413" spans="1:13" ht="30" customHeight="1" x14ac:dyDescent="0.2">
      <c r="A413" s="1001">
        <v>270</v>
      </c>
      <c r="B413" s="1000" t="s">
        <v>124</v>
      </c>
      <c r="C413" s="982"/>
      <c r="D413" s="968">
        <v>20000000</v>
      </c>
      <c r="E413" s="996">
        <v>5.5E-2</v>
      </c>
      <c r="F413" s="968">
        <f t="shared" si="32"/>
        <v>1100000</v>
      </c>
      <c r="G413" s="968">
        <v>1100000</v>
      </c>
      <c r="H413" s="968" t="s">
        <v>2713</v>
      </c>
      <c r="I413" s="984" t="s">
        <v>2792</v>
      </c>
      <c r="J413" s="21" t="s">
        <v>492</v>
      </c>
      <c r="K413" s="968">
        <f>G413</f>
        <v>1100000</v>
      </c>
      <c r="L413" s="968">
        <f t="shared" si="33"/>
        <v>0</v>
      </c>
      <c r="M413" s="1000"/>
    </row>
    <row r="414" spans="1:13" ht="30" customHeight="1" x14ac:dyDescent="0.2">
      <c r="A414" s="1001">
        <v>271</v>
      </c>
      <c r="B414" s="19" t="s">
        <v>125</v>
      </c>
      <c r="C414" s="995" t="s">
        <v>359</v>
      </c>
      <c r="D414" s="983">
        <v>40000000</v>
      </c>
      <c r="E414" s="996">
        <v>5.5E-2</v>
      </c>
      <c r="F414" s="983">
        <f t="shared" si="32"/>
        <v>2200000</v>
      </c>
      <c r="G414" s="983">
        <v>2200000</v>
      </c>
      <c r="H414" s="983" t="s">
        <v>1916</v>
      </c>
      <c r="I414" s="381" t="s">
        <v>2858</v>
      </c>
      <c r="J414" s="18" t="s">
        <v>503</v>
      </c>
      <c r="K414" s="983">
        <f>G414</f>
        <v>2200000</v>
      </c>
      <c r="L414" s="983">
        <f t="shared" si="33"/>
        <v>0</v>
      </c>
      <c r="M414" s="1000"/>
    </row>
    <row r="415" spans="1:13" ht="30" customHeight="1" x14ac:dyDescent="0.2">
      <c r="A415" s="4459"/>
      <c r="B415" s="4457" t="s">
        <v>2524</v>
      </c>
      <c r="C415" s="4537" t="s">
        <v>1287</v>
      </c>
      <c r="D415" s="864">
        <v>520000000</v>
      </c>
      <c r="E415" s="865">
        <v>5.5E-2</v>
      </c>
      <c r="F415" s="864">
        <f>D415*E415</f>
        <v>28600000</v>
      </c>
      <c r="G415" s="4772">
        <v>38900000</v>
      </c>
      <c r="H415" s="4712" t="s">
        <v>2916</v>
      </c>
      <c r="I415" s="4775" t="s">
        <v>2918</v>
      </c>
      <c r="J415" s="4712" t="s">
        <v>815</v>
      </c>
      <c r="K415" s="4712">
        <f>G415+G417</f>
        <v>50000000</v>
      </c>
      <c r="L415" s="4712"/>
      <c r="M415" s="1237" t="s">
        <v>2427</v>
      </c>
    </row>
    <row r="416" spans="1:13" ht="30" customHeight="1" x14ac:dyDescent="0.2">
      <c r="A416" s="4464"/>
      <c r="B416" s="4488"/>
      <c r="C416" s="4540"/>
      <c r="D416" s="864">
        <v>65000000</v>
      </c>
      <c r="E416" s="865">
        <v>0.06</v>
      </c>
      <c r="F416" s="864">
        <f>D416*E416</f>
        <v>3900000</v>
      </c>
      <c r="G416" s="4772"/>
      <c r="H416" s="4713"/>
      <c r="I416" s="4776"/>
      <c r="J416" s="4713"/>
      <c r="K416" s="4713"/>
      <c r="L416" s="4713"/>
      <c r="M416" s="1238" t="s">
        <v>2919</v>
      </c>
    </row>
    <row r="417" spans="1:13" ht="30" customHeight="1" x14ac:dyDescent="0.2">
      <c r="A417" s="4464"/>
      <c r="B417" s="4488"/>
      <c r="C417" s="4540"/>
      <c r="D417" s="864">
        <v>85000000</v>
      </c>
      <c r="E417" s="865">
        <v>0.06</v>
      </c>
      <c r="F417" s="864">
        <f>D417*E417</f>
        <v>5100000</v>
      </c>
      <c r="G417" s="4712">
        <v>11100000</v>
      </c>
      <c r="H417" s="4713"/>
      <c r="I417" s="4776"/>
      <c r="J417" s="4713"/>
      <c r="K417" s="4713"/>
      <c r="L417" s="4713"/>
      <c r="M417" s="4778" t="s">
        <v>3000</v>
      </c>
    </row>
    <row r="418" spans="1:13" ht="30" customHeight="1" x14ac:dyDescent="0.2">
      <c r="A418" s="4464"/>
      <c r="B418" s="4488"/>
      <c r="C418" s="4540"/>
      <c r="D418" s="4601" t="s">
        <v>1787</v>
      </c>
      <c r="E418" s="4602"/>
      <c r="F418" s="864">
        <v>1300000</v>
      </c>
      <c r="G418" s="4714"/>
      <c r="H418" s="4714"/>
      <c r="I418" s="4777"/>
      <c r="J418" s="4714"/>
      <c r="K418" s="4714"/>
      <c r="L418" s="4714"/>
      <c r="M418" s="4778"/>
    </row>
    <row r="419" spans="1:13" ht="30" customHeight="1" x14ac:dyDescent="0.2">
      <c r="A419" s="4460"/>
      <c r="B419" s="4458"/>
      <c r="C419" s="4538"/>
      <c r="D419" s="1016">
        <v>100000000</v>
      </c>
      <c r="E419" s="1022">
        <v>0.06</v>
      </c>
      <c r="F419" s="1016">
        <f>D419*E419</f>
        <v>6000000</v>
      </c>
      <c r="G419" s="4623" t="s">
        <v>2424</v>
      </c>
      <c r="H419" s="4624"/>
      <c r="I419" s="4624"/>
      <c r="J419" s="4625"/>
      <c r="K419" s="1016"/>
      <c r="L419" s="1016"/>
      <c r="M419" s="1027" t="s">
        <v>2428</v>
      </c>
    </row>
    <row r="420" spans="1:13" ht="30" customHeight="1" x14ac:dyDescent="0.2">
      <c r="A420" s="1441"/>
      <c r="B420" s="1440"/>
      <c r="C420" s="1444"/>
      <c r="D420" s="1450">
        <v>40000000</v>
      </c>
      <c r="E420" s="1451">
        <v>0.06</v>
      </c>
      <c r="F420" s="1450">
        <f>D420*E420</f>
        <v>2400000</v>
      </c>
      <c r="G420" s="4779" t="s">
        <v>3354</v>
      </c>
      <c r="H420" s="4780"/>
      <c r="I420" s="4780"/>
      <c r="J420" s="4780"/>
      <c r="K420" s="4781"/>
      <c r="L420" s="1450"/>
      <c r="M420" s="1027"/>
    </row>
    <row r="421" spans="1:13" ht="30" customHeight="1" x14ac:dyDescent="0.2">
      <c r="A421" s="1001">
        <v>273</v>
      </c>
      <c r="B421" s="1000" t="s">
        <v>127</v>
      </c>
      <c r="C421" s="982" t="s">
        <v>1291</v>
      </c>
      <c r="D421" s="968">
        <v>20000000</v>
      </c>
      <c r="E421" s="996">
        <v>0.05</v>
      </c>
      <c r="F421" s="968">
        <f t="shared" si="32"/>
        <v>1000000</v>
      </c>
      <c r="G421" s="968">
        <v>1000000</v>
      </c>
      <c r="H421" s="968" t="s">
        <v>2875</v>
      </c>
      <c r="I421" s="984" t="s">
        <v>2959</v>
      </c>
      <c r="J421" s="21" t="s">
        <v>480</v>
      </c>
      <c r="K421" s="968">
        <f t="shared" ref="K421:K427" si="34">G421</f>
        <v>1000000</v>
      </c>
      <c r="L421" s="968">
        <f t="shared" si="33"/>
        <v>0</v>
      </c>
      <c r="M421" s="1000"/>
    </row>
    <row r="422" spans="1:13" ht="30" customHeight="1" x14ac:dyDescent="0.2">
      <c r="A422" s="4459">
        <v>274</v>
      </c>
      <c r="B422" s="4457" t="s">
        <v>128</v>
      </c>
      <c r="C422" s="4537"/>
      <c r="D422" s="968">
        <v>8000000</v>
      </c>
      <c r="E422" s="996">
        <v>0.05</v>
      </c>
      <c r="F422" s="968">
        <f t="shared" si="32"/>
        <v>400000</v>
      </c>
      <c r="G422" s="968">
        <v>400000</v>
      </c>
      <c r="H422" s="968" t="s">
        <v>2897</v>
      </c>
      <c r="I422" s="984" t="s">
        <v>3014</v>
      </c>
      <c r="J422" s="21" t="s">
        <v>388</v>
      </c>
      <c r="K422" s="968">
        <f t="shared" si="34"/>
        <v>400000</v>
      </c>
      <c r="L422" s="968">
        <f t="shared" si="33"/>
        <v>0</v>
      </c>
      <c r="M422" s="162"/>
    </row>
    <row r="423" spans="1:13" ht="30" customHeight="1" x14ac:dyDescent="0.2">
      <c r="A423" s="4460"/>
      <c r="B423" s="4458"/>
      <c r="C423" s="4538"/>
      <c r="D423" s="1301">
        <v>50000000</v>
      </c>
      <c r="E423" s="1306">
        <v>0.05</v>
      </c>
      <c r="F423" s="1301">
        <f>D423*E423</f>
        <v>2500000</v>
      </c>
      <c r="G423" s="4623" t="s">
        <v>3122</v>
      </c>
      <c r="H423" s="4624"/>
      <c r="I423" s="4624"/>
      <c r="J423" s="4624"/>
      <c r="K423" s="4625"/>
      <c r="L423" s="1301"/>
      <c r="M423" s="97" t="s">
        <v>3123</v>
      </c>
    </row>
    <row r="424" spans="1:13" ht="30" customHeight="1" x14ac:dyDescent="0.2">
      <c r="A424" s="1001">
        <v>275</v>
      </c>
      <c r="B424" s="1000" t="s">
        <v>129</v>
      </c>
      <c r="C424" s="982" t="s">
        <v>1291</v>
      </c>
      <c r="D424" s="968">
        <v>130000000</v>
      </c>
      <c r="E424" s="996">
        <v>0.05</v>
      </c>
      <c r="F424" s="968">
        <f t="shared" si="32"/>
        <v>6500000</v>
      </c>
      <c r="G424" s="968">
        <v>6500000</v>
      </c>
      <c r="H424" s="968" t="s">
        <v>3144</v>
      </c>
      <c r="I424" s="984" t="s">
        <v>3174</v>
      </c>
      <c r="J424" s="21" t="s">
        <v>3175</v>
      </c>
      <c r="K424" s="968">
        <f t="shared" si="34"/>
        <v>6500000</v>
      </c>
      <c r="L424" s="968">
        <f t="shared" si="33"/>
        <v>0</v>
      </c>
      <c r="M424" s="1000"/>
    </row>
    <row r="425" spans="1:13" ht="30" customHeight="1" x14ac:dyDescent="0.2">
      <c r="A425" s="1001">
        <v>276</v>
      </c>
      <c r="B425" s="1000" t="s">
        <v>130</v>
      </c>
      <c r="C425" s="982"/>
      <c r="D425" s="968">
        <v>95000000</v>
      </c>
      <c r="E425" s="996">
        <v>5.2999999999999999E-2</v>
      </c>
      <c r="F425" s="968">
        <v>5000000</v>
      </c>
      <c r="G425" s="968">
        <v>5000000</v>
      </c>
      <c r="H425" s="968" t="s">
        <v>3083</v>
      </c>
      <c r="I425" s="984" t="s">
        <v>3095</v>
      </c>
      <c r="J425" s="21" t="s">
        <v>3096</v>
      </c>
      <c r="K425" s="968">
        <f t="shared" si="34"/>
        <v>5000000</v>
      </c>
      <c r="L425" s="968">
        <f t="shared" si="33"/>
        <v>0</v>
      </c>
      <c r="M425" s="1000"/>
    </row>
    <row r="426" spans="1:13" ht="30" customHeight="1" x14ac:dyDescent="0.2">
      <c r="A426" s="1001">
        <v>277</v>
      </c>
      <c r="B426" s="1000" t="s">
        <v>131</v>
      </c>
      <c r="C426" s="982"/>
      <c r="D426" s="968">
        <v>200000000</v>
      </c>
      <c r="E426" s="996">
        <v>0.05</v>
      </c>
      <c r="F426" s="968">
        <f t="shared" si="32"/>
        <v>10000000</v>
      </c>
      <c r="G426" s="968">
        <v>10000000</v>
      </c>
      <c r="H426" s="968" t="s">
        <v>2916</v>
      </c>
      <c r="I426" s="984" t="s">
        <v>2920</v>
      </c>
      <c r="J426" s="21" t="s">
        <v>2152</v>
      </c>
      <c r="K426" s="968">
        <f t="shared" si="34"/>
        <v>10000000</v>
      </c>
      <c r="L426" s="968">
        <f t="shared" si="33"/>
        <v>0</v>
      </c>
      <c r="M426" s="1000"/>
    </row>
    <row r="427" spans="1:13" ht="30" customHeight="1" x14ac:dyDescent="0.2">
      <c r="A427" s="4459">
        <v>278</v>
      </c>
      <c r="B427" s="4457" t="s">
        <v>620</v>
      </c>
      <c r="C427" s="4537" t="s">
        <v>3007</v>
      </c>
      <c r="D427" s="968">
        <v>30000000</v>
      </c>
      <c r="E427" s="996">
        <v>4.4999999999999998E-2</v>
      </c>
      <c r="F427" s="968">
        <f>D427*E427</f>
        <v>1350000</v>
      </c>
      <c r="G427" s="4413">
        <v>1750000</v>
      </c>
      <c r="H427" s="4413" t="s">
        <v>2897</v>
      </c>
      <c r="I427" s="4555" t="s">
        <v>3008</v>
      </c>
      <c r="J427" s="4478" t="s">
        <v>2066</v>
      </c>
      <c r="K427" s="4413">
        <f t="shared" si="34"/>
        <v>1750000</v>
      </c>
      <c r="L427" s="4413">
        <f>(F427+F428)-K427</f>
        <v>0</v>
      </c>
      <c r="M427" s="4599"/>
    </row>
    <row r="428" spans="1:13" ht="30" customHeight="1" x14ac:dyDescent="0.2">
      <c r="A428" s="4460"/>
      <c r="B428" s="4458"/>
      <c r="C428" s="4538"/>
      <c r="D428" s="968">
        <v>10000000</v>
      </c>
      <c r="E428" s="996">
        <v>0.04</v>
      </c>
      <c r="F428" s="968">
        <f>D428*E428</f>
        <v>400000</v>
      </c>
      <c r="G428" s="4415"/>
      <c r="H428" s="4415"/>
      <c r="I428" s="4557"/>
      <c r="J428" s="4479"/>
      <c r="K428" s="4415"/>
      <c r="L428" s="4415"/>
      <c r="M428" s="4607"/>
    </row>
    <row r="429" spans="1:13" ht="30" customHeight="1" x14ac:dyDescent="0.2">
      <c r="A429" s="1001">
        <v>279</v>
      </c>
      <c r="B429" s="1000" t="s">
        <v>132</v>
      </c>
      <c r="C429" s="982"/>
      <c r="D429" s="968">
        <v>11000000</v>
      </c>
      <c r="E429" s="996">
        <v>4.4999999999999998E-2</v>
      </c>
      <c r="F429" s="968">
        <v>500000</v>
      </c>
      <c r="G429" s="968">
        <v>500000</v>
      </c>
      <c r="H429" s="968" t="s">
        <v>2211</v>
      </c>
      <c r="I429" s="984" t="s">
        <v>2619</v>
      </c>
      <c r="J429" s="21" t="s">
        <v>730</v>
      </c>
      <c r="K429" s="968">
        <f>G429</f>
        <v>500000</v>
      </c>
      <c r="L429" s="968">
        <f t="shared" si="33"/>
        <v>0</v>
      </c>
      <c r="M429" s="1000"/>
    </row>
    <row r="430" spans="1:13" ht="30" customHeight="1" x14ac:dyDescent="0.2">
      <c r="A430" s="1001">
        <v>280</v>
      </c>
      <c r="B430" s="1017" t="s">
        <v>458</v>
      </c>
      <c r="C430" s="378"/>
      <c r="D430" s="1286">
        <v>20000000</v>
      </c>
      <c r="E430" s="1291">
        <v>0.05</v>
      </c>
      <c r="F430" s="1286">
        <f t="shared" si="32"/>
        <v>1000000</v>
      </c>
      <c r="G430" s="4386" t="s">
        <v>3097</v>
      </c>
      <c r="H430" s="4654"/>
      <c r="I430" s="4654"/>
      <c r="J430" s="4655"/>
      <c r="K430" s="1286"/>
      <c r="L430" s="1286"/>
      <c r="M430" s="1010"/>
    </row>
    <row r="431" spans="1:13" ht="30" customHeight="1" x14ac:dyDescent="0.2">
      <c r="A431" s="963">
        <v>281</v>
      </c>
      <c r="B431" s="1002" t="s">
        <v>133</v>
      </c>
      <c r="C431" s="982" t="s">
        <v>1290</v>
      </c>
      <c r="D431" s="968">
        <v>40000000</v>
      </c>
      <c r="E431" s="1007">
        <v>0.05</v>
      </c>
      <c r="F431" s="968">
        <f t="shared" si="32"/>
        <v>2000000</v>
      </c>
      <c r="G431" s="968">
        <v>2000000</v>
      </c>
      <c r="H431" s="968" t="s">
        <v>2965</v>
      </c>
      <c r="I431" s="984" t="s">
        <v>2983</v>
      </c>
      <c r="J431" s="7" t="s">
        <v>635</v>
      </c>
      <c r="K431" s="1006">
        <f>G431</f>
        <v>2000000</v>
      </c>
      <c r="L431" s="968">
        <f>F431-K431</f>
        <v>0</v>
      </c>
      <c r="M431" s="13" t="s">
        <v>1248</v>
      </c>
    </row>
    <row r="432" spans="1:13" ht="30" customHeight="1" x14ac:dyDescent="0.2">
      <c r="A432" s="1001">
        <v>282</v>
      </c>
      <c r="B432" s="1000" t="s">
        <v>1024</v>
      </c>
      <c r="C432" s="982"/>
      <c r="D432" s="968">
        <v>20000000</v>
      </c>
      <c r="E432" s="996">
        <v>0.04</v>
      </c>
      <c r="F432" s="968">
        <f t="shared" si="32"/>
        <v>800000</v>
      </c>
      <c r="G432" s="968">
        <v>800000</v>
      </c>
      <c r="H432" s="968" t="s">
        <v>2965</v>
      </c>
      <c r="I432" s="984" t="s">
        <v>2977</v>
      </c>
      <c r="J432" s="993" t="s">
        <v>2453</v>
      </c>
      <c r="K432" s="968">
        <f>G432</f>
        <v>800000</v>
      </c>
      <c r="L432" s="968">
        <f t="shared" si="33"/>
        <v>0</v>
      </c>
      <c r="M432" s="1000"/>
    </row>
    <row r="433" spans="1:13" ht="30" customHeight="1" x14ac:dyDescent="0.2">
      <c r="A433" s="4459">
        <v>283</v>
      </c>
      <c r="B433" s="4457" t="s">
        <v>134</v>
      </c>
      <c r="C433" s="4537" t="s">
        <v>1294</v>
      </c>
      <c r="D433" s="1006">
        <v>37093000</v>
      </c>
      <c r="E433" s="1007">
        <v>0.05</v>
      </c>
      <c r="F433" s="1006">
        <f>D433*E433</f>
        <v>1854650</v>
      </c>
      <c r="G433" s="233">
        <v>1854650</v>
      </c>
      <c r="H433" s="233" t="s">
        <v>2897</v>
      </c>
      <c r="I433" s="233">
        <v>123444977920</v>
      </c>
      <c r="J433" s="21" t="s">
        <v>2146</v>
      </c>
      <c r="K433" s="966">
        <f>G433</f>
        <v>1854650</v>
      </c>
      <c r="L433" s="966">
        <f t="shared" si="33"/>
        <v>0</v>
      </c>
      <c r="M433" s="1308" t="s">
        <v>2203</v>
      </c>
    </row>
    <row r="434" spans="1:13" ht="30" customHeight="1" x14ac:dyDescent="0.2">
      <c r="A434" s="4464"/>
      <c r="B434" s="4488"/>
      <c r="C434" s="4540"/>
      <c r="D434" s="1210"/>
      <c r="E434" s="1211"/>
      <c r="F434" s="1210"/>
      <c r="G434" s="4623" t="s">
        <v>2910</v>
      </c>
      <c r="H434" s="4624"/>
      <c r="I434" s="4624"/>
      <c r="J434" s="4625"/>
      <c r="K434" s="1209"/>
      <c r="L434" s="1209"/>
      <c r="M434" s="764"/>
    </row>
    <row r="435" spans="1:13" ht="30" customHeight="1" x14ac:dyDescent="0.2">
      <c r="A435" s="4464"/>
      <c r="B435" s="4488"/>
      <c r="C435" s="4540"/>
      <c r="D435" s="1705">
        <f>D433+3730000</f>
        <v>40823000</v>
      </c>
      <c r="E435" s="1706">
        <v>0.05</v>
      </c>
      <c r="F435" s="1210">
        <f>D435*E435</f>
        <v>2041150</v>
      </c>
      <c r="G435" s="233"/>
      <c r="H435" s="233"/>
      <c r="I435" s="233"/>
      <c r="J435" s="21"/>
      <c r="K435" s="1209"/>
      <c r="L435" s="1209"/>
      <c r="M435" s="764" t="s">
        <v>2604</v>
      </c>
    </row>
    <row r="436" spans="1:13" ht="30" customHeight="1" x14ac:dyDescent="0.2">
      <c r="A436" s="4464"/>
      <c r="B436" s="4488"/>
      <c r="C436" s="4540"/>
      <c r="D436" s="1705"/>
      <c r="E436" s="1706"/>
      <c r="F436" s="1705"/>
      <c r="G436" s="4623" t="s">
        <v>3666</v>
      </c>
      <c r="H436" s="4624"/>
      <c r="I436" s="4624"/>
      <c r="J436" s="4625"/>
      <c r="K436" s="1704"/>
      <c r="L436" s="1704"/>
      <c r="M436" s="764"/>
    </row>
    <row r="437" spans="1:13" ht="30" customHeight="1" x14ac:dyDescent="0.2">
      <c r="A437" s="4460"/>
      <c r="B437" s="4458"/>
      <c r="C437" s="4538"/>
      <c r="D437" s="1705">
        <f>40823000+3800000</f>
        <v>44623000</v>
      </c>
      <c r="E437" s="1706">
        <v>0.05</v>
      </c>
      <c r="F437" s="1705">
        <f>D437*E437</f>
        <v>2231150</v>
      </c>
      <c r="G437" s="233"/>
      <c r="H437" s="233"/>
      <c r="I437" s="233"/>
      <c r="J437" s="21"/>
      <c r="K437" s="1704"/>
      <c r="L437" s="1704"/>
      <c r="M437" s="764"/>
    </row>
    <row r="438" spans="1:13" ht="30" customHeight="1" x14ac:dyDescent="0.2">
      <c r="A438" s="4459">
        <v>284</v>
      </c>
      <c r="B438" s="4457" t="s">
        <v>1158</v>
      </c>
      <c r="C438" s="4537" t="s">
        <v>371</v>
      </c>
      <c r="D438" s="968">
        <v>110000000</v>
      </c>
      <c r="E438" s="965">
        <v>4.4999999999999998E-2</v>
      </c>
      <c r="F438" s="968">
        <f t="shared" si="32"/>
        <v>4950000</v>
      </c>
      <c r="G438" s="4413">
        <v>7925000</v>
      </c>
      <c r="H438" s="4413" t="s">
        <v>2897</v>
      </c>
      <c r="I438" s="4555" t="s">
        <v>3010</v>
      </c>
      <c r="J438" s="4478" t="s">
        <v>2219</v>
      </c>
      <c r="K438" s="4413">
        <f>G438</f>
        <v>7925000</v>
      </c>
      <c r="L438" s="4413">
        <f>(F438+F439)-K438</f>
        <v>25000</v>
      </c>
      <c r="M438" s="4571"/>
    </row>
    <row r="439" spans="1:13" ht="30" customHeight="1" x14ac:dyDescent="0.2">
      <c r="A439" s="4464"/>
      <c r="B439" s="4488"/>
      <c r="C439" s="4540"/>
      <c r="D439" s="968">
        <v>60000000</v>
      </c>
      <c r="E439" s="996">
        <v>0.05</v>
      </c>
      <c r="F439" s="968">
        <f t="shared" si="32"/>
        <v>3000000</v>
      </c>
      <c r="G439" s="4415"/>
      <c r="H439" s="4415"/>
      <c r="I439" s="4557"/>
      <c r="J439" s="4479"/>
      <c r="K439" s="4415"/>
      <c r="L439" s="4415"/>
      <c r="M439" s="4572"/>
    </row>
    <row r="440" spans="1:13" ht="30" customHeight="1" x14ac:dyDescent="0.2">
      <c r="A440" s="4460"/>
      <c r="B440" s="4458"/>
      <c r="C440" s="4538"/>
      <c r="D440" s="1196">
        <v>30000000</v>
      </c>
      <c r="E440" s="1204"/>
      <c r="F440" s="1196"/>
      <c r="G440" s="4623" t="s">
        <v>2893</v>
      </c>
      <c r="H440" s="4624"/>
      <c r="I440" s="4624"/>
      <c r="J440" s="4625"/>
      <c r="K440" s="1196"/>
      <c r="L440" s="1196"/>
      <c r="M440" s="1197"/>
    </row>
    <row r="441" spans="1:13" ht="30" customHeight="1" x14ac:dyDescent="0.2">
      <c r="A441" s="1001">
        <v>285</v>
      </c>
      <c r="B441" s="1000" t="s">
        <v>135</v>
      </c>
      <c r="C441" s="982" t="s">
        <v>2278</v>
      </c>
      <c r="D441" s="968">
        <v>100000000</v>
      </c>
      <c r="E441" s="996">
        <v>7.0000000000000007E-2</v>
      </c>
      <c r="F441" s="968">
        <f t="shared" si="32"/>
        <v>7000000.0000000009</v>
      </c>
      <c r="G441" s="968">
        <v>7000000</v>
      </c>
      <c r="H441" s="968" t="s">
        <v>2897</v>
      </c>
      <c r="I441" s="984" t="s">
        <v>3022</v>
      </c>
      <c r="J441" s="21" t="s">
        <v>3023</v>
      </c>
      <c r="K441" s="968">
        <f>G441</f>
        <v>7000000</v>
      </c>
      <c r="L441" s="968">
        <f t="shared" si="33"/>
        <v>0</v>
      </c>
      <c r="M441" s="1000"/>
    </row>
    <row r="442" spans="1:13" ht="30" customHeight="1" x14ac:dyDescent="0.2">
      <c r="A442" s="1005">
        <v>286</v>
      </c>
      <c r="B442" s="1017" t="s">
        <v>1622</v>
      </c>
      <c r="C442" s="1021"/>
      <c r="D442" s="1011">
        <v>35000000</v>
      </c>
      <c r="E442" s="1028">
        <v>0.04</v>
      </c>
      <c r="F442" s="1011">
        <f t="shared" si="32"/>
        <v>1400000</v>
      </c>
      <c r="G442" s="1011">
        <v>1400000</v>
      </c>
      <c r="H442" s="1011" t="s">
        <v>2553</v>
      </c>
      <c r="I442" s="381" t="s">
        <v>2557</v>
      </c>
      <c r="J442" s="18" t="s">
        <v>307</v>
      </c>
      <c r="K442" s="1011">
        <f>G442</f>
        <v>1400000</v>
      </c>
      <c r="L442" s="1011">
        <f t="shared" si="33"/>
        <v>0</v>
      </c>
      <c r="M442" s="1010"/>
    </row>
    <row r="443" spans="1:13" ht="30" customHeight="1" x14ac:dyDescent="0.2">
      <c r="A443" s="4459">
        <v>287</v>
      </c>
      <c r="B443" s="4457" t="s">
        <v>137</v>
      </c>
      <c r="C443" s="4537"/>
      <c r="D443" s="968">
        <v>15000000</v>
      </c>
      <c r="E443" s="1007">
        <v>0.05</v>
      </c>
      <c r="F443" s="968">
        <f t="shared" si="32"/>
        <v>750000</v>
      </c>
      <c r="G443" s="968">
        <v>2475000</v>
      </c>
      <c r="H443" s="968" t="s">
        <v>2965</v>
      </c>
      <c r="I443" s="984" t="s">
        <v>2978</v>
      </c>
      <c r="J443" s="21" t="s">
        <v>2979</v>
      </c>
      <c r="K443" s="4413">
        <f>G443+G444</f>
        <v>3000000</v>
      </c>
      <c r="L443" s="4413">
        <f>(F443+F444)-K443</f>
        <v>0</v>
      </c>
      <c r="M443" s="4472"/>
    </row>
    <row r="444" spans="1:13" ht="30" customHeight="1" x14ac:dyDescent="0.2">
      <c r="A444" s="4460"/>
      <c r="B444" s="4458"/>
      <c r="C444" s="4538"/>
      <c r="D444" s="1230">
        <v>45000000</v>
      </c>
      <c r="E444" s="1231">
        <v>0.05</v>
      </c>
      <c r="F444" s="1230">
        <f t="shared" si="32"/>
        <v>2250000</v>
      </c>
      <c r="G444" s="1230">
        <v>525000</v>
      </c>
      <c r="H444" s="1230" t="s">
        <v>3127</v>
      </c>
      <c r="I444" s="1233" t="s">
        <v>3141</v>
      </c>
      <c r="J444" s="21"/>
      <c r="K444" s="4415"/>
      <c r="L444" s="4415"/>
      <c r="M444" s="4473"/>
    </row>
    <row r="445" spans="1:13" ht="30" customHeight="1" x14ac:dyDescent="0.2">
      <c r="A445" s="1001">
        <v>288</v>
      </c>
      <c r="B445" s="1000" t="s">
        <v>138</v>
      </c>
      <c r="C445" s="982" t="s">
        <v>1289</v>
      </c>
      <c r="D445" s="968">
        <v>50000000</v>
      </c>
      <c r="E445" s="996">
        <v>4.4999999999999998E-2</v>
      </c>
      <c r="F445" s="968">
        <f t="shared" si="32"/>
        <v>2250000</v>
      </c>
      <c r="G445" s="968">
        <v>2250000</v>
      </c>
      <c r="H445" s="968" t="s">
        <v>2965</v>
      </c>
      <c r="I445" s="984" t="s">
        <v>2970</v>
      </c>
      <c r="J445" s="21" t="s">
        <v>2083</v>
      </c>
      <c r="K445" s="968">
        <f t="shared" ref="K445:K447" si="35">G445</f>
        <v>2250000</v>
      </c>
      <c r="L445" s="968">
        <f t="shared" si="33"/>
        <v>0</v>
      </c>
      <c r="M445" s="1000"/>
    </row>
    <row r="446" spans="1:13" ht="30" customHeight="1" x14ac:dyDescent="0.2">
      <c r="A446" s="1001">
        <v>289</v>
      </c>
      <c r="B446" s="1000" t="s">
        <v>637</v>
      </c>
      <c r="C446" s="982" t="s">
        <v>1299</v>
      </c>
      <c r="D446" s="1221">
        <v>25000000</v>
      </c>
      <c r="E446" s="1228">
        <v>5.3999999999999999E-2</v>
      </c>
      <c r="F446" s="1221">
        <f t="shared" si="32"/>
        <v>1350000</v>
      </c>
      <c r="G446" s="968">
        <v>1350000</v>
      </c>
      <c r="H446" s="968" t="s">
        <v>3004</v>
      </c>
      <c r="I446" s="984" t="s">
        <v>3042</v>
      </c>
      <c r="J446" s="18" t="s">
        <v>638</v>
      </c>
      <c r="K446" s="968">
        <f t="shared" si="35"/>
        <v>1350000</v>
      </c>
      <c r="L446" s="1253">
        <f t="shared" si="33"/>
        <v>0</v>
      </c>
      <c r="M446" s="1000"/>
    </row>
    <row r="447" spans="1:13" ht="30" customHeight="1" x14ac:dyDescent="0.2">
      <c r="A447" s="1001">
        <v>290</v>
      </c>
      <c r="B447" s="1000" t="s">
        <v>636</v>
      </c>
      <c r="C447" s="982" t="s">
        <v>1288</v>
      </c>
      <c r="D447" s="968">
        <v>800000000</v>
      </c>
      <c r="E447" s="996">
        <v>5.5E-2</v>
      </c>
      <c r="F447" s="968">
        <f t="shared" si="32"/>
        <v>44000000</v>
      </c>
      <c r="G447" s="968"/>
      <c r="H447" s="968"/>
      <c r="I447" s="984"/>
      <c r="J447" s="21" t="s">
        <v>2076</v>
      </c>
      <c r="K447" s="968">
        <f t="shared" si="35"/>
        <v>0</v>
      </c>
      <c r="L447" s="968">
        <f t="shared" si="33"/>
        <v>44000000</v>
      </c>
      <c r="M447" s="162" t="s">
        <v>623</v>
      </c>
    </row>
    <row r="448" spans="1:13" ht="30" customHeight="1" x14ac:dyDescent="0.2">
      <c r="A448" s="1001">
        <v>292</v>
      </c>
      <c r="B448" s="1000" t="s">
        <v>140</v>
      </c>
      <c r="C448" s="995" t="s">
        <v>1299</v>
      </c>
      <c r="D448" s="968">
        <v>100000000</v>
      </c>
      <c r="E448" s="996">
        <v>0.05</v>
      </c>
      <c r="F448" s="968">
        <f t="shared" si="32"/>
        <v>5000000</v>
      </c>
      <c r="G448" s="968">
        <v>5000000</v>
      </c>
      <c r="H448" s="968" t="s">
        <v>2897</v>
      </c>
      <c r="I448" s="984" t="s">
        <v>3011</v>
      </c>
      <c r="J448" s="65" t="s">
        <v>3012</v>
      </c>
      <c r="K448" s="968">
        <f>G448</f>
        <v>5000000</v>
      </c>
      <c r="L448" s="968">
        <f t="shared" si="33"/>
        <v>0</v>
      </c>
      <c r="M448" s="1000"/>
    </row>
    <row r="449" spans="1:13" ht="30" customHeight="1" x14ac:dyDescent="0.2">
      <c r="A449" s="1001">
        <v>293</v>
      </c>
      <c r="B449" s="1000" t="s">
        <v>141</v>
      </c>
      <c r="C449" s="982" t="s">
        <v>1299</v>
      </c>
      <c r="D449" s="968">
        <v>75000000</v>
      </c>
      <c r="E449" s="996">
        <v>0.04</v>
      </c>
      <c r="F449" s="968">
        <f>D449*E449</f>
        <v>3000000</v>
      </c>
      <c r="G449" s="968">
        <v>3000000</v>
      </c>
      <c r="H449" s="968" t="s">
        <v>3004</v>
      </c>
      <c r="I449" s="984" t="s">
        <v>3057</v>
      </c>
      <c r="J449" s="18" t="s">
        <v>2181</v>
      </c>
      <c r="K449" s="968">
        <f>G449</f>
        <v>3000000</v>
      </c>
      <c r="L449" s="968">
        <f t="shared" si="33"/>
        <v>0</v>
      </c>
      <c r="M449" s="1000"/>
    </row>
    <row r="450" spans="1:13" ht="30" customHeight="1" x14ac:dyDescent="0.2">
      <c r="A450" s="4459"/>
      <c r="B450" s="4457" t="s">
        <v>142</v>
      </c>
      <c r="C450" s="4715" t="s">
        <v>2778</v>
      </c>
      <c r="D450" s="4716"/>
      <c r="E450" s="4716"/>
      <c r="F450" s="4717"/>
      <c r="G450" s="1151">
        <v>79000000</v>
      </c>
      <c r="H450" s="1151" t="s">
        <v>2713</v>
      </c>
      <c r="I450" s="1161" t="s">
        <v>2779</v>
      </c>
      <c r="J450" s="18" t="s">
        <v>2780</v>
      </c>
      <c r="K450" s="4413">
        <f>G450+G451+G452+G453</f>
        <v>300000000</v>
      </c>
      <c r="L450" s="4413">
        <f>300000000-K450</f>
        <v>0</v>
      </c>
      <c r="M450" s="4599"/>
    </row>
    <row r="451" spans="1:13" ht="33.75" customHeight="1" x14ac:dyDescent="0.2">
      <c r="A451" s="4464"/>
      <c r="B451" s="4488"/>
      <c r="C451" s="4718"/>
      <c r="D451" s="4719"/>
      <c r="E451" s="4719"/>
      <c r="F451" s="4720"/>
      <c r="G451" s="1151">
        <v>19000000</v>
      </c>
      <c r="H451" s="1151" t="s">
        <v>2713</v>
      </c>
      <c r="I451" s="1161" t="s">
        <v>2781</v>
      </c>
      <c r="J451" s="18" t="s">
        <v>2780</v>
      </c>
      <c r="K451" s="4414"/>
      <c r="L451" s="4414"/>
      <c r="M451" s="4600"/>
    </row>
    <row r="452" spans="1:13" ht="33.75" customHeight="1" x14ac:dyDescent="0.2">
      <c r="A452" s="4464"/>
      <c r="B452" s="4488"/>
      <c r="C452" s="4718"/>
      <c r="D452" s="4719"/>
      <c r="E452" s="4719"/>
      <c r="F452" s="4720"/>
      <c r="G452" s="1253">
        <v>200000000</v>
      </c>
      <c r="H452" s="1253"/>
      <c r="I452" s="1262"/>
      <c r="J452" s="18"/>
      <c r="K452" s="4414"/>
      <c r="L452" s="4414"/>
      <c r="M452" s="4600"/>
    </row>
    <row r="453" spans="1:13" ht="33.75" customHeight="1" x14ac:dyDescent="0.2">
      <c r="A453" s="4464"/>
      <c r="B453" s="4488"/>
      <c r="C453" s="4721"/>
      <c r="D453" s="4722"/>
      <c r="E453" s="4722"/>
      <c r="F453" s="4723"/>
      <c r="G453" s="1253">
        <v>2000000</v>
      </c>
      <c r="H453" s="1253" t="s">
        <v>3227</v>
      </c>
      <c r="I453" s="1262" t="s">
        <v>3254</v>
      </c>
      <c r="J453" s="18" t="s">
        <v>2780</v>
      </c>
      <c r="K453" s="4415"/>
      <c r="L453" s="4415"/>
      <c r="M453" s="4607"/>
    </row>
    <row r="454" spans="1:13" ht="30" customHeight="1" x14ac:dyDescent="0.2">
      <c r="A454" s="4460"/>
      <c r="B454" s="4458"/>
      <c r="C454" s="982" t="s">
        <v>1299</v>
      </c>
      <c r="D454" s="968">
        <v>100000000</v>
      </c>
      <c r="E454" s="996">
        <v>0.05</v>
      </c>
      <c r="F454" s="968">
        <f t="shared" si="32"/>
        <v>5000000</v>
      </c>
      <c r="G454" s="4413">
        <v>5500000</v>
      </c>
      <c r="H454" s="4413" t="s">
        <v>3004</v>
      </c>
      <c r="I454" s="4555" t="s">
        <v>3059</v>
      </c>
      <c r="J454" s="4413" t="s">
        <v>2780</v>
      </c>
      <c r="K454" s="4413">
        <f>G454</f>
        <v>5500000</v>
      </c>
      <c r="L454" s="4413">
        <f>(F454+F455)-G454</f>
        <v>0</v>
      </c>
      <c r="M454" s="4571"/>
    </row>
    <row r="455" spans="1:13" ht="30" customHeight="1" x14ac:dyDescent="0.2">
      <c r="A455" s="1001">
        <v>295</v>
      </c>
      <c r="B455" s="1000" t="s">
        <v>707</v>
      </c>
      <c r="C455" s="982" t="s">
        <v>1299</v>
      </c>
      <c r="D455" s="968">
        <v>10000000</v>
      </c>
      <c r="E455" s="996">
        <v>0.05</v>
      </c>
      <c r="F455" s="968">
        <f>D455*E455</f>
        <v>500000</v>
      </c>
      <c r="G455" s="4415"/>
      <c r="H455" s="4415"/>
      <c r="I455" s="4557"/>
      <c r="J455" s="4415"/>
      <c r="K455" s="4415"/>
      <c r="L455" s="4415"/>
      <c r="M455" s="4572"/>
    </row>
    <row r="456" spans="1:13" ht="30" customHeight="1" x14ac:dyDescent="0.2">
      <c r="A456" s="1001">
        <v>296</v>
      </c>
      <c r="B456" s="1000" t="s">
        <v>143</v>
      </c>
      <c r="C456" s="982" t="s">
        <v>1306</v>
      </c>
      <c r="D456" s="968">
        <v>35000000</v>
      </c>
      <c r="E456" s="996">
        <v>0.04</v>
      </c>
      <c r="F456" s="968">
        <f t="shared" si="32"/>
        <v>1400000</v>
      </c>
      <c r="G456" s="968">
        <v>1400000</v>
      </c>
      <c r="H456" s="968" t="s">
        <v>3004</v>
      </c>
      <c r="I456" s="984" t="s">
        <v>3056</v>
      </c>
      <c r="J456" s="21" t="s">
        <v>2381</v>
      </c>
      <c r="K456" s="968">
        <f>G456</f>
        <v>1400000</v>
      </c>
      <c r="L456" s="968">
        <f t="shared" si="33"/>
        <v>0</v>
      </c>
      <c r="M456" s="1000"/>
    </row>
    <row r="457" spans="1:13" ht="30" customHeight="1" x14ac:dyDescent="0.2">
      <c r="A457" s="1001">
        <v>297</v>
      </c>
      <c r="B457" s="1000" t="s">
        <v>144</v>
      </c>
      <c r="C457" s="982"/>
      <c r="D457" s="4386" t="s">
        <v>3050</v>
      </c>
      <c r="E457" s="4654"/>
      <c r="F457" s="4655"/>
      <c r="G457" s="968">
        <v>50000000</v>
      </c>
      <c r="H457" s="968" t="s">
        <v>3004</v>
      </c>
      <c r="I457" s="984" t="s">
        <v>3048</v>
      </c>
      <c r="J457" s="983" t="s">
        <v>3049</v>
      </c>
      <c r="K457" s="968">
        <f>G457</f>
        <v>50000000</v>
      </c>
      <c r="L457" s="1253">
        <f>50000000-G457</f>
        <v>0</v>
      </c>
      <c r="M457" s="1000"/>
    </row>
    <row r="458" spans="1:13" ht="30" customHeight="1" x14ac:dyDescent="0.2">
      <c r="A458" s="1001">
        <v>298</v>
      </c>
      <c r="B458" s="1000" t="s">
        <v>145</v>
      </c>
      <c r="C458" s="982" t="s">
        <v>1134</v>
      </c>
      <c r="D458" s="968">
        <v>38000000</v>
      </c>
      <c r="E458" s="996">
        <v>5.1999999999999998E-2</v>
      </c>
      <c r="F458" s="968">
        <v>2000000</v>
      </c>
      <c r="G458" s="968">
        <v>2000000</v>
      </c>
      <c r="H458" s="968" t="s">
        <v>2897</v>
      </c>
      <c r="I458" s="984" t="s">
        <v>3015</v>
      </c>
      <c r="J458" s="21" t="s">
        <v>981</v>
      </c>
      <c r="K458" s="968">
        <f>G458</f>
        <v>2000000</v>
      </c>
      <c r="L458" s="968">
        <f t="shared" si="33"/>
        <v>0</v>
      </c>
      <c r="M458" s="1000"/>
    </row>
    <row r="459" spans="1:13" ht="30" customHeight="1" x14ac:dyDescent="0.2">
      <c r="A459" s="1001">
        <v>300</v>
      </c>
      <c r="B459" s="1002" t="s">
        <v>147</v>
      </c>
      <c r="C459" s="995" t="s">
        <v>890</v>
      </c>
      <c r="D459" s="983">
        <v>178000000</v>
      </c>
      <c r="E459" s="996">
        <v>5.8999999999999997E-2</v>
      </c>
      <c r="F459" s="983">
        <v>10500000</v>
      </c>
      <c r="G459" s="4725" t="s">
        <v>3120</v>
      </c>
      <c r="H459" s="4726"/>
      <c r="I459" s="4726"/>
      <c r="J459" s="4726"/>
      <c r="K459" s="4727"/>
      <c r="L459" s="1305"/>
      <c r="M459" s="1000"/>
    </row>
    <row r="460" spans="1:13" ht="30" customHeight="1" x14ac:dyDescent="0.2">
      <c r="A460" s="1001">
        <v>301</v>
      </c>
      <c r="B460" s="1000" t="s">
        <v>2347</v>
      </c>
      <c r="C460" s="982"/>
      <c r="D460" s="968">
        <v>10000000</v>
      </c>
      <c r="E460" s="965">
        <v>0.04</v>
      </c>
      <c r="F460" s="968">
        <f>D460*E460</f>
        <v>400000</v>
      </c>
      <c r="G460" s="968">
        <v>400000</v>
      </c>
      <c r="H460" s="968" t="s">
        <v>3127</v>
      </c>
      <c r="I460" s="984" t="s">
        <v>3153</v>
      </c>
      <c r="J460" s="984" t="s">
        <v>2348</v>
      </c>
      <c r="K460" s="968">
        <f>G460</f>
        <v>400000</v>
      </c>
      <c r="L460" s="968">
        <f t="shared" ref="L460:L493" si="36">F460-K460</f>
        <v>0</v>
      </c>
      <c r="M460" s="97"/>
    </row>
    <row r="461" spans="1:13" ht="30" customHeight="1" x14ac:dyDescent="0.2">
      <c r="A461" s="1001">
        <v>302</v>
      </c>
      <c r="B461" s="1000" t="s">
        <v>149</v>
      </c>
      <c r="C461" s="982" t="s">
        <v>1296</v>
      </c>
      <c r="D461" s="968">
        <v>60000000</v>
      </c>
      <c r="E461" s="996">
        <v>4.4999999999999998E-2</v>
      </c>
      <c r="F461" s="968">
        <f t="shared" si="32"/>
        <v>2700000</v>
      </c>
      <c r="G461" s="968">
        <v>2700000</v>
      </c>
      <c r="H461" s="968" t="s">
        <v>3144</v>
      </c>
      <c r="I461" s="984" t="s">
        <v>3178</v>
      </c>
      <c r="J461" s="21" t="s">
        <v>3179</v>
      </c>
      <c r="K461" s="968">
        <f>G461</f>
        <v>2700000</v>
      </c>
      <c r="L461" s="968">
        <f t="shared" si="36"/>
        <v>0</v>
      </c>
      <c r="M461" s="1000"/>
    </row>
    <row r="462" spans="1:13" ht="30" customHeight="1" x14ac:dyDescent="0.2">
      <c r="A462" s="4459">
        <v>303</v>
      </c>
      <c r="B462" s="4457" t="s">
        <v>150</v>
      </c>
      <c r="C462" s="4537" t="s">
        <v>1796</v>
      </c>
      <c r="D462" s="4413">
        <v>1816000000</v>
      </c>
      <c r="E462" s="4476">
        <f t="shared" ref="E462" si="37">F462/D462</f>
        <v>7.306167400881057E-2</v>
      </c>
      <c r="F462" s="4413">
        <v>132680000</v>
      </c>
      <c r="G462" s="1345">
        <v>50000000</v>
      </c>
      <c r="H462" s="1345" t="s">
        <v>3227</v>
      </c>
      <c r="I462" s="1353" t="s">
        <v>3239</v>
      </c>
      <c r="J462" s="21" t="s">
        <v>1084</v>
      </c>
      <c r="K462" s="4413">
        <f>G462+G463+G464</f>
        <v>132680000</v>
      </c>
      <c r="L462" s="4413">
        <f>F462-K462</f>
        <v>0</v>
      </c>
      <c r="M462" s="1386" t="s">
        <v>2436</v>
      </c>
    </row>
    <row r="463" spans="1:13" ht="30" customHeight="1" x14ac:dyDescent="0.2">
      <c r="A463" s="4464"/>
      <c r="B463" s="4488"/>
      <c r="C463" s="4540"/>
      <c r="D463" s="4414"/>
      <c r="E463" s="4516"/>
      <c r="F463" s="4414"/>
      <c r="G463" s="1345">
        <v>25000000</v>
      </c>
      <c r="H463" s="1345" t="s">
        <v>3214</v>
      </c>
      <c r="I463" s="1353" t="s">
        <v>3275</v>
      </c>
      <c r="J463" s="21" t="s">
        <v>1084</v>
      </c>
      <c r="K463" s="4414"/>
      <c r="L463" s="4414"/>
      <c r="M463" s="1386"/>
    </row>
    <row r="464" spans="1:13" ht="30" customHeight="1" x14ac:dyDescent="0.2">
      <c r="A464" s="4464"/>
      <c r="B464" s="4488"/>
      <c r="C464" s="4540"/>
      <c r="D464" s="4414"/>
      <c r="E464" s="4516"/>
      <c r="F464" s="4414"/>
      <c r="G464" s="1345">
        <v>57680000</v>
      </c>
      <c r="H464" s="1345" t="s">
        <v>3298</v>
      </c>
      <c r="I464" s="1353" t="s">
        <v>3364</v>
      </c>
      <c r="J464" s="21" t="s">
        <v>1084</v>
      </c>
      <c r="K464" s="4415"/>
      <c r="L464" s="4415"/>
      <c r="M464" s="1386"/>
    </row>
    <row r="465" spans="1:13" ht="30" customHeight="1" x14ac:dyDescent="0.2">
      <c r="A465" s="4464"/>
      <c r="B465" s="4488"/>
      <c r="C465" s="4540"/>
      <c r="D465" s="4415"/>
      <c r="E465" s="4477"/>
      <c r="F465" s="4415"/>
      <c r="G465" s="4724" t="s">
        <v>3335</v>
      </c>
      <c r="H465" s="4724"/>
      <c r="I465" s="4724"/>
      <c r="J465" s="4724"/>
      <c r="K465" s="4724"/>
      <c r="L465" s="1406"/>
      <c r="M465" s="1386"/>
    </row>
    <row r="466" spans="1:13" ht="30" customHeight="1" x14ac:dyDescent="0.2">
      <c r="A466" s="4460"/>
      <c r="B466" s="4458"/>
      <c r="C466" s="4538"/>
      <c r="D466" s="1406">
        <f>D462+30000000</f>
        <v>1846000000</v>
      </c>
      <c r="E466" s="1404">
        <f>F466/D466</f>
        <v>7.3174431202600212E-2</v>
      </c>
      <c r="F466" s="1407">
        <v>135080000</v>
      </c>
      <c r="G466" s="4724" t="s">
        <v>3316</v>
      </c>
      <c r="H466" s="4724"/>
      <c r="I466" s="4724"/>
      <c r="J466" s="4724"/>
      <c r="K466" s="4724"/>
      <c r="L466" s="1406"/>
      <c r="M466" s="1386"/>
    </row>
    <row r="467" spans="1:13" ht="30" customHeight="1" x14ac:dyDescent="0.2">
      <c r="A467" s="4459">
        <v>305</v>
      </c>
      <c r="B467" s="4457" t="s">
        <v>152</v>
      </c>
      <c r="C467" s="4537"/>
      <c r="D467" s="4413">
        <v>750000000</v>
      </c>
      <c r="E467" s="4608">
        <v>6.5000000000000002E-2</v>
      </c>
      <c r="F467" s="4322">
        <v>48000000</v>
      </c>
      <c r="G467" s="968">
        <v>4000000</v>
      </c>
      <c r="H467" s="968" t="s">
        <v>2211</v>
      </c>
      <c r="I467" s="989" t="s">
        <v>2627</v>
      </c>
      <c r="J467" s="21" t="s">
        <v>2173</v>
      </c>
      <c r="K467" s="4413">
        <f>G467+G468</f>
        <v>24000000</v>
      </c>
      <c r="L467" s="4413">
        <f t="shared" si="36"/>
        <v>24000000</v>
      </c>
      <c r="M467" s="345" t="s">
        <v>2687</v>
      </c>
    </row>
    <row r="468" spans="1:13" ht="30" customHeight="1" x14ac:dyDescent="0.2">
      <c r="A468" s="4464"/>
      <c r="B468" s="4488"/>
      <c r="C468" s="4540"/>
      <c r="D468" s="4415"/>
      <c r="E468" s="4608"/>
      <c r="F468" s="4322"/>
      <c r="G468" s="968">
        <v>20000000</v>
      </c>
      <c r="H468" s="968" t="s">
        <v>2705</v>
      </c>
      <c r="I468" s="989" t="s">
        <v>2720</v>
      </c>
      <c r="J468" s="21" t="s">
        <v>2394</v>
      </c>
      <c r="K468" s="4415"/>
      <c r="L468" s="4415"/>
      <c r="M468" s="711" t="s">
        <v>3282</v>
      </c>
    </row>
    <row r="469" spans="1:13" ht="30" customHeight="1" x14ac:dyDescent="0.2">
      <c r="A469" s="4464"/>
      <c r="B469" s="4488"/>
      <c r="C469" s="4540"/>
      <c r="D469" s="4413">
        <v>750000000</v>
      </c>
      <c r="E469" s="4476">
        <v>6.5000000000000002E-2</v>
      </c>
      <c r="F469" s="4413">
        <v>48000000</v>
      </c>
      <c r="G469" s="1407">
        <v>10000000</v>
      </c>
      <c r="H469" s="1407" t="s">
        <v>3305</v>
      </c>
      <c r="I469" s="1424" t="s">
        <v>3351</v>
      </c>
      <c r="J469" s="21" t="s">
        <v>2394</v>
      </c>
      <c r="K469" s="4413">
        <f>G469+G470+G471+G472</f>
        <v>22000000</v>
      </c>
      <c r="L469" s="4413">
        <f>F469-10000000-K469</f>
        <v>16000000</v>
      </c>
      <c r="M469" s="4643" t="s">
        <v>3350</v>
      </c>
    </row>
    <row r="470" spans="1:13" ht="30" customHeight="1" x14ac:dyDescent="0.2">
      <c r="A470" s="4464"/>
      <c r="B470" s="4488"/>
      <c r="C470" s="4540"/>
      <c r="D470" s="4414"/>
      <c r="E470" s="4516"/>
      <c r="F470" s="4414"/>
      <c r="G470" s="1407">
        <v>10000000</v>
      </c>
      <c r="H470" s="1407" t="s">
        <v>3305</v>
      </c>
      <c r="I470" s="1424" t="s">
        <v>3352</v>
      </c>
      <c r="J470" s="21" t="s">
        <v>2394</v>
      </c>
      <c r="K470" s="4414"/>
      <c r="L470" s="4414"/>
      <c r="M470" s="4647"/>
    </row>
    <row r="471" spans="1:13" ht="30" customHeight="1" x14ac:dyDescent="0.2">
      <c r="A471" s="4464"/>
      <c r="B471" s="4488"/>
      <c r="C471" s="4540"/>
      <c r="D471" s="4414"/>
      <c r="E471" s="4516"/>
      <c r="F471" s="4414"/>
      <c r="G471" s="1407">
        <v>2000000</v>
      </c>
      <c r="H471" s="1407" t="s">
        <v>3305</v>
      </c>
      <c r="I471" s="1424" t="s">
        <v>3353</v>
      </c>
      <c r="J471" s="21" t="s">
        <v>2173</v>
      </c>
      <c r="K471" s="4414"/>
      <c r="L471" s="4414"/>
      <c r="M471" s="4647"/>
    </row>
    <row r="472" spans="1:13" ht="30" customHeight="1" x14ac:dyDescent="0.2">
      <c r="A472" s="4460"/>
      <c r="B472" s="4458"/>
      <c r="C472" s="4538"/>
      <c r="D472" s="4415"/>
      <c r="E472" s="4477"/>
      <c r="F472" s="4415"/>
      <c r="G472" s="1407"/>
      <c r="H472" s="1407"/>
      <c r="I472" s="1424"/>
      <c r="J472" s="21"/>
      <c r="K472" s="4415"/>
      <c r="L472" s="4415"/>
      <c r="M472" s="4644"/>
    </row>
    <row r="473" spans="1:13" ht="30" customHeight="1" x14ac:dyDescent="0.2">
      <c r="A473" s="1001">
        <v>307</v>
      </c>
      <c r="B473" s="1000" t="s">
        <v>154</v>
      </c>
      <c r="C473" s="982" t="s">
        <v>1306</v>
      </c>
      <c r="D473" s="968">
        <v>260000000</v>
      </c>
      <c r="E473" s="996">
        <v>0.05</v>
      </c>
      <c r="F473" s="968">
        <f t="shared" si="32"/>
        <v>13000000</v>
      </c>
      <c r="G473" s="968">
        <v>13000000</v>
      </c>
      <c r="H473" s="968" t="s">
        <v>3083</v>
      </c>
      <c r="I473" s="984" t="s">
        <v>3100</v>
      </c>
      <c r="J473" s="21" t="s">
        <v>2409</v>
      </c>
      <c r="K473" s="968">
        <f>G473</f>
        <v>13000000</v>
      </c>
      <c r="L473" s="968">
        <f t="shared" si="36"/>
        <v>0</v>
      </c>
      <c r="M473" s="1000"/>
    </row>
    <row r="474" spans="1:13" ht="30" customHeight="1" x14ac:dyDescent="0.2">
      <c r="A474" s="962">
        <v>308</v>
      </c>
      <c r="B474" s="1002" t="s">
        <v>155</v>
      </c>
      <c r="C474" s="995" t="s">
        <v>1294</v>
      </c>
      <c r="D474" s="983">
        <v>300000000</v>
      </c>
      <c r="E474" s="996">
        <v>0.05</v>
      </c>
      <c r="F474" s="983">
        <f t="shared" si="32"/>
        <v>15000000</v>
      </c>
      <c r="G474" s="4413">
        <v>24000000</v>
      </c>
      <c r="H474" s="4413" t="s">
        <v>2897</v>
      </c>
      <c r="I474" s="4555" t="s">
        <v>2992</v>
      </c>
      <c r="J474" s="4553" t="s">
        <v>1873</v>
      </c>
      <c r="K474" s="4413">
        <f>G474</f>
        <v>24000000</v>
      </c>
      <c r="L474" s="4413">
        <f>(F474+F475)-K474</f>
        <v>0</v>
      </c>
      <c r="M474" s="4599"/>
    </row>
    <row r="475" spans="1:13" ht="30" customHeight="1" x14ac:dyDescent="0.2">
      <c r="A475" s="1001">
        <v>309</v>
      </c>
      <c r="B475" s="1002" t="s">
        <v>1874</v>
      </c>
      <c r="C475" s="995" t="s">
        <v>372</v>
      </c>
      <c r="D475" s="968">
        <v>180000000</v>
      </c>
      <c r="E475" s="965">
        <v>0.05</v>
      </c>
      <c r="F475" s="968">
        <f>D475*E475</f>
        <v>9000000</v>
      </c>
      <c r="G475" s="4415"/>
      <c r="H475" s="4415"/>
      <c r="I475" s="4557"/>
      <c r="J475" s="4554"/>
      <c r="K475" s="4415"/>
      <c r="L475" s="4415"/>
      <c r="M475" s="4607"/>
    </row>
    <row r="476" spans="1:13" ht="30" customHeight="1" x14ac:dyDescent="0.2">
      <c r="A476" s="962">
        <v>310</v>
      </c>
      <c r="B476" s="1000" t="s">
        <v>157</v>
      </c>
      <c r="C476" s="982" t="s">
        <v>392</v>
      </c>
      <c r="D476" s="968">
        <v>100000000</v>
      </c>
      <c r="E476" s="965">
        <v>0.05</v>
      </c>
      <c r="F476" s="968">
        <f t="shared" ref="F476:F492" si="38">D476*E476</f>
        <v>5000000</v>
      </c>
      <c r="G476" s="968">
        <v>5000000</v>
      </c>
      <c r="H476" s="968" t="s">
        <v>2656</v>
      </c>
      <c r="I476" s="993" t="s">
        <v>2659</v>
      </c>
      <c r="J476" s="21" t="s">
        <v>1533</v>
      </c>
      <c r="K476" s="968">
        <f>G476</f>
        <v>5000000</v>
      </c>
      <c r="L476" s="968">
        <f t="shared" si="36"/>
        <v>0</v>
      </c>
      <c r="M476" s="1000"/>
    </row>
    <row r="477" spans="1:13" ht="30" customHeight="1" x14ac:dyDescent="0.2">
      <c r="A477" s="1001">
        <v>311</v>
      </c>
      <c r="B477" s="1000" t="s">
        <v>158</v>
      </c>
      <c r="C477" s="982" t="s">
        <v>889</v>
      </c>
      <c r="D477" s="968">
        <v>55000000</v>
      </c>
      <c r="E477" s="996">
        <v>0.05</v>
      </c>
      <c r="F477" s="968">
        <f t="shared" si="38"/>
        <v>2750000</v>
      </c>
      <c r="G477" s="968">
        <v>2750000</v>
      </c>
      <c r="H477" s="968" t="s">
        <v>2689</v>
      </c>
      <c r="I477" s="985" t="s">
        <v>2750</v>
      </c>
      <c r="J477" s="985" t="s">
        <v>382</v>
      </c>
      <c r="K477" s="968">
        <f>G477</f>
        <v>2750000</v>
      </c>
      <c r="L477" s="968">
        <f t="shared" si="36"/>
        <v>0</v>
      </c>
      <c r="M477" s="160"/>
    </row>
    <row r="478" spans="1:13" ht="30" customHeight="1" x14ac:dyDescent="0.2">
      <c r="A478" s="962">
        <v>312</v>
      </c>
      <c r="B478" s="1000" t="s">
        <v>159</v>
      </c>
      <c r="C478" s="982"/>
      <c r="D478" s="974"/>
      <c r="E478" s="40"/>
      <c r="F478" s="974">
        <f t="shared" si="38"/>
        <v>0</v>
      </c>
      <c r="G478" s="968">
        <v>1000000</v>
      </c>
      <c r="H478" s="968" t="s">
        <v>3214</v>
      </c>
      <c r="I478" s="984" t="s">
        <v>3268</v>
      </c>
      <c r="J478" s="21" t="s">
        <v>3269</v>
      </c>
      <c r="K478" s="968">
        <f>G478</f>
        <v>1000000</v>
      </c>
      <c r="L478" s="974">
        <f t="shared" si="36"/>
        <v>-1000000</v>
      </c>
      <c r="M478" s="1000"/>
    </row>
    <row r="479" spans="1:13" ht="30" customHeight="1" x14ac:dyDescent="0.2">
      <c r="A479" s="1001">
        <v>313</v>
      </c>
      <c r="B479" s="19" t="s">
        <v>161</v>
      </c>
      <c r="C479" s="378"/>
      <c r="D479" s="983">
        <v>152000000</v>
      </c>
      <c r="E479" s="996">
        <v>0.05</v>
      </c>
      <c r="F479" s="968">
        <f>D479*E479</f>
        <v>7600000</v>
      </c>
      <c r="G479" s="968">
        <v>7600000</v>
      </c>
      <c r="H479" s="968" t="s">
        <v>2656</v>
      </c>
      <c r="I479" s="984" t="s">
        <v>2671</v>
      </c>
      <c r="J479" s="21" t="s">
        <v>1745</v>
      </c>
      <c r="K479" s="968">
        <f>G479</f>
        <v>7600000</v>
      </c>
      <c r="L479" s="968">
        <f t="shared" si="36"/>
        <v>0</v>
      </c>
      <c r="M479" s="1000"/>
    </row>
    <row r="480" spans="1:13" ht="30" customHeight="1" x14ac:dyDescent="0.2">
      <c r="A480" s="962">
        <v>314</v>
      </c>
      <c r="B480" s="961" t="s">
        <v>162</v>
      </c>
      <c r="C480" s="982"/>
      <c r="D480" s="968">
        <v>20000000</v>
      </c>
      <c r="E480" s="996">
        <v>0.04</v>
      </c>
      <c r="F480" s="968">
        <f t="shared" si="38"/>
        <v>800000</v>
      </c>
      <c r="G480" s="968"/>
      <c r="H480" s="968"/>
      <c r="I480" s="984"/>
      <c r="J480" s="21"/>
      <c r="K480" s="968"/>
      <c r="L480" s="968">
        <f t="shared" si="36"/>
        <v>800000</v>
      </c>
      <c r="M480" s="97" t="s">
        <v>728</v>
      </c>
    </row>
    <row r="481" spans="1:13" ht="30" customHeight="1" x14ac:dyDescent="0.2">
      <c r="A481" s="1005">
        <v>315</v>
      </c>
      <c r="B481" s="19" t="s">
        <v>163</v>
      </c>
      <c r="C481" s="1021" t="s">
        <v>1176</v>
      </c>
      <c r="D481" s="1011">
        <v>400000000</v>
      </c>
      <c r="E481" s="1015">
        <v>6.3E-2</v>
      </c>
      <c r="F481" s="1011">
        <v>25000000</v>
      </c>
      <c r="G481" s="1011">
        <v>25000000</v>
      </c>
      <c r="H481" s="1011" t="s">
        <v>2689</v>
      </c>
      <c r="I481" s="381" t="s">
        <v>2694</v>
      </c>
      <c r="J481" s="1020" t="s">
        <v>445</v>
      </c>
      <c r="K481" s="233">
        <f t="shared" ref="K481:K490" si="39">G481</f>
        <v>25000000</v>
      </c>
      <c r="L481" s="1011">
        <f t="shared" si="36"/>
        <v>0</v>
      </c>
      <c r="M481" s="1010"/>
    </row>
    <row r="482" spans="1:13" ht="30" customHeight="1" x14ac:dyDescent="0.2">
      <c r="A482" s="1001">
        <v>316</v>
      </c>
      <c r="B482" s="1004" t="s">
        <v>164</v>
      </c>
      <c r="C482" s="982"/>
      <c r="D482" s="1006">
        <v>35000000</v>
      </c>
      <c r="E482" s="1007">
        <v>0.04</v>
      </c>
      <c r="F482" s="1006">
        <f>D482*E482</f>
        <v>1400000</v>
      </c>
      <c r="G482" s="1006">
        <v>1400000</v>
      </c>
      <c r="H482" s="1006" t="s">
        <v>2713</v>
      </c>
      <c r="I482" s="1013" t="s">
        <v>2782</v>
      </c>
      <c r="J482" s="1012" t="s">
        <v>1724</v>
      </c>
      <c r="K482" s="1006">
        <f t="shared" si="39"/>
        <v>1400000</v>
      </c>
      <c r="L482" s="1006">
        <f t="shared" si="36"/>
        <v>0</v>
      </c>
      <c r="M482" s="1000"/>
    </row>
    <row r="483" spans="1:13" ht="30" customHeight="1" x14ac:dyDescent="0.2">
      <c r="A483" s="4459">
        <v>317</v>
      </c>
      <c r="B483" s="4457" t="s">
        <v>165</v>
      </c>
      <c r="C483" s="982" t="s">
        <v>359</v>
      </c>
      <c r="D483" s="1132">
        <v>100000000</v>
      </c>
      <c r="E483" s="1138">
        <v>0.05</v>
      </c>
      <c r="F483" s="1132">
        <f>D483*E483</f>
        <v>5000000</v>
      </c>
      <c r="G483" s="1132">
        <v>5000000</v>
      </c>
      <c r="H483" s="1132" t="s">
        <v>1916</v>
      </c>
      <c r="I483" s="1137" t="s">
        <v>2854</v>
      </c>
      <c r="J483" s="21" t="s">
        <v>2061</v>
      </c>
      <c r="K483" s="1132">
        <f t="shared" si="39"/>
        <v>5000000</v>
      </c>
      <c r="L483" s="1132">
        <f t="shared" si="36"/>
        <v>0</v>
      </c>
      <c r="M483" s="97" t="s">
        <v>2708</v>
      </c>
    </row>
    <row r="484" spans="1:13" ht="30" customHeight="1" x14ac:dyDescent="0.2">
      <c r="A484" s="4464"/>
      <c r="B484" s="4488"/>
      <c r="C484" s="1135" t="s">
        <v>1287</v>
      </c>
      <c r="D484" s="1132">
        <v>210000000</v>
      </c>
      <c r="E484" s="1138">
        <v>0.05</v>
      </c>
      <c r="F484" s="1132">
        <f>D484*E484</f>
        <v>10500000</v>
      </c>
      <c r="G484" s="1132">
        <v>17000000</v>
      </c>
      <c r="H484" s="1132" t="s">
        <v>2897</v>
      </c>
      <c r="I484" s="1137" t="s">
        <v>2995</v>
      </c>
      <c r="J484" s="21" t="s">
        <v>2996</v>
      </c>
      <c r="K484" s="1132">
        <f t="shared" si="39"/>
        <v>17000000</v>
      </c>
      <c r="L484" s="1230">
        <f>17000000-K484</f>
        <v>0</v>
      </c>
      <c r="M484" s="97" t="s">
        <v>2709</v>
      </c>
    </row>
    <row r="485" spans="1:13" ht="30" customHeight="1" x14ac:dyDescent="0.2">
      <c r="A485" s="4460"/>
      <c r="B485" s="4458"/>
      <c r="C485" s="1371"/>
      <c r="D485" s="1366"/>
      <c r="E485" s="1376"/>
      <c r="F485" s="1366"/>
      <c r="G485" s="1370">
        <v>15000000</v>
      </c>
      <c r="H485" s="1370" t="s">
        <v>3286</v>
      </c>
      <c r="I485" s="111" t="s">
        <v>3291</v>
      </c>
      <c r="J485" s="56" t="s">
        <v>2996</v>
      </c>
      <c r="K485" s="1370">
        <f t="shared" si="39"/>
        <v>15000000</v>
      </c>
      <c r="L485" s="1370"/>
      <c r="M485" s="97" t="s">
        <v>3292</v>
      </c>
    </row>
    <row r="486" spans="1:13" ht="30" customHeight="1" x14ac:dyDescent="0.2">
      <c r="A486" s="1001">
        <v>318</v>
      </c>
      <c r="B486" s="1000" t="s">
        <v>167</v>
      </c>
      <c r="C486" s="982"/>
      <c r="D486" s="1179">
        <v>80000000</v>
      </c>
      <c r="E486" s="1188">
        <v>0.05</v>
      </c>
      <c r="F486" s="1179">
        <f t="shared" si="38"/>
        <v>4000000</v>
      </c>
      <c r="G486" s="1179">
        <v>4000000</v>
      </c>
      <c r="H486" s="1179" t="s">
        <v>1916</v>
      </c>
      <c r="I486" s="1186" t="s">
        <v>2839</v>
      </c>
      <c r="J486" s="18" t="s">
        <v>1814</v>
      </c>
      <c r="K486" s="1179">
        <f t="shared" si="39"/>
        <v>4000000</v>
      </c>
      <c r="L486" s="1179">
        <f t="shared" si="36"/>
        <v>0</v>
      </c>
      <c r="M486" s="1000"/>
    </row>
    <row r="487" spans="1:13" ht="30" customHeight="1" x14ac:dyDescent="0.2">
      <c r="A487" s="1001">
        <v>319</v>
      </c>
      <c r="B487" s="1000" t="s">
        <v>168</v>
      </c>
      <c r="C487" s="982" t="s">
        <v>1287</v>
      </c>
      <c r="D487" s="968">
        <v>200000000</v>
      </c>
      <c r="E487" s="996">
        <v>5.5E-2</v>
      </c>
      <c r="F487" s="968">
        <f t="shared" si="38"/>
        <v>11000000</v>
      </c>
      <c r="G487" s="968">
        <v>10000000</v>
      </c>
      <c r="H487" s="968" t="s">
        <v>3127</v>
      </c>
      <c r="I487" s="989" t="s">
        <v>3135</v>
      </c>
      <c r="J487" s="21" t="s">
        <v>3136</v>
      </c>
      <c r="K487" s="968">
        <f t="shared" si="39"/>
        <v>10000000</v>
      </c>
      <c r="L487" s="968">
        <f t="shared" si="36"/>
        <v>1000000</v>
      </c>
      <c r="M487" s="97"/>
    </row>
    <row r="488" spans="1:13" ht="30" customHeight="1" x14ac:dyDescent="0.2">
      <c r="A488" s="1001">
        <v>320</v>
      </c>
      <c r="B488" s="1000" t="s">
        <v>169</v>
      </c>
      <c r="C488" s="982" t="s">
        <v>2278</v>
      </c>
      <c r="D488" s="968">
        <v>135000000</v>
      </c>
      <c r="E488" s="996">
        <v>0.06</v>
      </c>
      <c r="F488" s="968">
        <v>8000000</v>
      </c>
      <c r="G488" s="968">
        <v>8000000</v>
      </c>
      <c r="H488" s="968" t="s">
        <v>2965</v>
      </c>
      <c r="I488" s="984" t="s">
        <v>2969</v>
      </c>
      <c r="J488" s="21" t="s">
        <v>2078</v>
      </c>
      <c r="K488" s="968">
        <f t="shared" si="39"/>
        <v>8000000</v>
      </c>
      <c r="L488" s="1230">
        <f t="shared" si="36"/>
        <v>0</v>
      </c>
      <c r="M488" s="97"/>
    </row>
    <row r="489" spans="1:13" ht="30" customHeight="1" x14ac:dyDescent="0.2">
      <c r="A489" s="1001">
        <v>321</v>
      </c>
      <c r="B489" s="1000" t="s">
        <v>171</v>
      </c>
      <c r="C489" s="982"/>
      <c r="D489" s="968">
        <v>5000000</v>
      </c>
      <c r="E489" s="996">
        <v>0.04</v>
      </c>
      <c r="F489" s="968">
        <f t="shared" si="38"/>
        <v>200000</v>
      </c>
      <c r="G489" s="968">
        <v>200000</v>
      </c>
      <c r="H489" s="968" t="s">
        <v>3127</v>
      </c>
      <c r="I489" s="984" t="s">
        <v>3155</v>
      </c>
      <c r="J489" s="21" t="s">
        <v>2330</v>
      </c>
      <c r="K489" s="968">
        <f t="shared" si="39"/>
        <v>200000</v>
      </c>
      <c r="L489" s="968">
        <f t="shared" si="36"/>
        <v>0</v>
      </c>
      <c r="M489" s="1000"/>
    </row>
    <row r="490" spans="1:13" ht="30" customHeight="1" x14ac:dyDescent="0.2">
      <c r="A490" s="4459">
        <v>322</v>
      </c>
      <c r="B490" s="4457" t="s">
        <v>1378</v>
      </c>
      <c r="C490" s="4537" t="s">
        <v>1081</v>
      </c>
      <c r="D490" s="968">
        <v>10000000</v>
      </c>
      <c r="E490" s="996">
        <v>0.05</v>
      </c>
      <c r="F490" s="968">
        <f t="shared" si="38"/>
        <v>500000</v>
      </c>
      <c r="G490" s="968">
        <v>500000</v>
      </c>
      <c r="H490" s="968" t="s">
        <v>2656</v>
      </c>
      <c r="I490" s="993" t="s">
        <v>2662</v>
      </c>
      <c r="J490" s="993" t="s">
        <v>1376</v>
      </c>
      <c r="K490" s="968">
        <f t="shared" si="39"/>
        <v>500000</v>
      </c>
      <c r="L490" s="968">
        <f t="shared" si="36"/>
        <v>0</v>
      </c>
      <c r="M490" s="97" t="s">
        <v>2525</v>
      </c>
    </row>
    <row r="491" spans="1:13" ht="30" customHeight="1" x14ac:dyDescent="0.2">
      <c r="A491" s="4460"/>
      <c r="B491" s="4458"/>
      <c r="C491" s="4538"/>
      <c r="D491" s="968">
        <v>10000000</v>
      </c>
      <c r="E491" s="996">
        <v>0.05</v>
      </c>
      <c r="F491" s="968">
        <f t="shared" si="38"/>
        <v>500000</v>
      </c>
      <c r="G491" s="968"/>
      <c r="H491" s="968"/>
      <c r="I491" s="993"/>
      <c r="J491" s="993"/>
      <c r="K491" s="968"/>
      <c r="L491" s="968"/>
      <c r="M491" s="1000"/>
    </row>
    <row r="492" spans="1:13" ht="30" customHeight="1" x14ac:dyDescent="0.2">
      <c r="A492" s="1001">
        <v>323</v>
      </c>
      <c r="B492" s="1000" t="s">
        <v>172</v>
      </c>
      <c r="C492" s="982"/>
      <c r="D492" s="968">
        <v>60000000</v>
      </c>
      <c r="E492" s="996">
        <v>4.4999999999999998E-2</v>
      </c>
      <c r="F492" s="968">
        <f t="shared" si="38"/>
        <v>2700000</v>
      </c>
      <c r="G492" s="968"/>
      <c r="H492" s="968"/>
      <c r="I492" s="984"/>
      <c r="J492" s="984" t="s">
        <v>486</v>
      </c>
      <c r="K492" s="968">
        <f>G492</f>
        <v>0</v>
      </c>
      <c r="L492" s="968">
        <f t="shared" si="36"/>
        <v>2700000</v>
      </c>
      <c r="M492" s="1000"/>
    </row>
    <row r="493" spans="1:13" ht="30" customHeight="1" x14ac:dyDescent="0.2">
      <c r="A493" s="1001">
        <v>324</v>
      </c>
      <c r="B493" s="1000" t="s">
        <v>173</v>
      </c>
      <c r="C493" s="982" t="s">
        <v>889</v>
      </c>
      <c r="D493" s="968">
        <v>20000000</v>
      </c>
      <c r="E493" s="996">
        <v>0.05</v>
      </c>
      <c r="F493" s="968">
        <f>D493*E493</f>
        <v>1000000</v>
      </c>
      <c r="G493" s="968">
        <v>1000000</v>
      </c>
      <c r="H493" s="968" t="s">
        <v>2803</v>
      </c>
      <c r="I493" s="986">
        <v>344868</v>
      </c>
      <c r="J493" s="21" t="s">
        <v>1740</v>
      </c>
      <c r="K493" s="968">
        <f>G493</f>
        <v>1000000</v>
      </c>
      <c r="L493" s="968">
        <f t="shared" si="36"/>
        <v>0</v>
      </c>
      <c r="M493" s="1000"/>
    </row>
    <row r="494" spans="1:13" ht="30" customHeight="1" x14ac:dyDescent="0.2">
      <c r="A494" s="4459">
        <v>325</v>
      </c>
      <c r="B494" s="4457" t="s">
        <v>270</v>
      </c>
      <c r="C494" s="4537"/>
      <c r="D494" s="968">
        <v>300000000</v>
      </c>
      <c r="E494" s="996">
        <v>0.1</v>
      </c>
      <c r="F494" s="968">
        <v>30750000</v>
      </c>
      <c r="G494" s="4413">
        <v>40550000</v>
      </c>
      <c r="H494" s="4413" t="s">
        <v>2916</v>
      </c>
      <c r="I494" s="4545" t="s">
        <v>2926</v>
      </c>
      <c r="J494" s="4478" t="s">
        <v>2927</v>
      </c>
      <c r="K494" s="4413">
        <f>G494</f>
        <v>40550000</v>
      </c>
      <c r="L494" s="4413">
        <f>(F494+F495)-K494</f>
        <v>0</v>
      </c>
      <c r="M494" s="4537"/>
    </row>
    <row r="495" spans="1:13" ht="30" customHeight="1" x14ac:dyDescent="0.2">
      <c r="A495" s="4460"/>
      <c r="B495" s="4458"/>
      <c r="C495" s="4538"/>
      <c r="D495" s="968">
        <v>140000000</v>
      </c>
      <c r="E495" s="996">
        <v>7.0000000000000007E-2</v>
      </c>
      <c r="F495" s="968">
        <v>9800000</v>
      </c>
      <c r="G495" s="4415"/>
      <c r="H495" s="4415"/>
      <c r="I495" s="4546"/>
      <c r="J495" s="4479"/>
      <c r="K495" s="4415"/>
      <c r="L495" s="4415"/>
      <c r="M495" s="4538"/>
    </row>
    <row r="496" spans="1:13" ht="30" customHeight="1" x14ac:dyDescent="0.2">
      <c r="A496" s="4459">
        <v>326</v>
      </c>
      <c r="B496" s="4457" t="s">
        <v>176</v>
      </c>
      <c r="C496" s="4537"/>
      <c r="D496" s="4413">
        <v>500000000</v>
      </c>
      <c r="E496" s="4476">
        <v>0.05</v>
      </c>
      <c r="F496" s="4413">
        <f>D496*E496</f>
        <v>25000000</v>
      </c>
      <c r="G496" s="4593" t="s">
        <v>2826</v>
      </c>
      <c r="H496" s="4594"/>
      <c r="I496" s="4594"/>
      <c r="J496" s="4594"/>
      <c r="K496" s="4595"/>
      <c r="L496" s="1185">
        <f>F496-K496</f>
        <v>25000000</v>
      </c>
      <c r="M496" s="764"/>
    </row>
    <row r="497" spans="1:13" ht="30" customHeight="1" x14ac:dyDescent="0.2">
      <c r="A497" s="4464"/>
      <c r="B497" s="4488"/>
      <c r="C497" s="4540"/>
      <c r="D497" s="4414"/>
      <c r="E497" s="4516"/>
      <c r="F497" s="4414"/>
      <c r="G497" s="4593" t="s">
        <v>2827</v>
      </c>
      <c r="H497" s="4594"/>
      <c r="I497" s="4594"/>
      <c r="J497" s="4594"/>
      <c r="K497" s="4595"/>
      <c r="L497" s="1179"/>
      <c r="M497" s="1337"/>
    </row>
    <row r="498" spans="1:13" ht="30" customHeight="1" x14ac:dyDescent="0.2">
      <c r="A498" s="4464"/>
      <c r="B498" s="4488"/>
      <c r="C498" s="4540"/>
      <c r="D498" s="4414"/>
      <c r="E498" s="4516"/>
      <c r="F498" s="4414"/>
      <c r="G498" s="4593" t="s">
        <v>2828</v>
      </c>
      <c r="H498" s="4594"/>
      <c r="I498" s="4594"/>
      <c r="J498" s="4594"/>
      <c r="K498" s="4595"/>
      <c r="L498" s="1179"/>
      <c r="M498" s="1337"/>
    </row>
    <row r="499" spans="1:13" ht="30" customHeight="1" x14ac:dyDescent="0.2">
      <c r="A499" s="4464"/>
      <c r="B499" s="4488"/>
      <c r="C499" s="4540"/>
      <c r="D499" s="4414"/>
      <c r="E499" s="4516"/>
      <c r="F499" s="4414"/>
      <c r="G499" s="1179">
        <v>8000000</v>
      </c>
      <c r="H499" s="1179" t="s">
        <v>2875</v>
      </c>
      <c r="I499" s="1191" t="s">
        <v>2949</v>
      </c>
      <c r="J499" s="21" t="s">
        <v>2950</v>
      </c>
      <c r="K499" s="1179">
        <f>G499</f>
        <v>8000000</v>
      </c>
      <c r="L499" s="1179"/>
      <c r="M499" s="1337"/>
    </row>
    <row r="500" spans="1:13" ht="30" customHeight="1" x14ac:dyDescent="0.2">
      <c r="A500" s="4460"/>
      <c r="B500" s="4458"/>
      <c r="C500" s="4538"/>
      <c r="D500" s="4415"/>
      <c r="E500" s="4477"/>
      <c r="F500" s="4415"/>
      <c r="G500" s="1312">
        <v>200000000</v>
      </c>
      <c r="H500" s="1312" t="s">
        <v>3101</v>
      </c>
      <c r="I500" s="1328" t="s">
        <v>3124</v>
      </c>
      <c r="J500" s="21" t="s">
        <v>3125</v>
      </c>
      <c r="K500" s="1312">
        <f>G500</f>
        <v>200000000</v>
      </c>
      <c r="L500" s="1312"/>
      <c r="M500" s="711" t="s">
        <v>3126</v>
      </c>
    </row>
    <row r="501" spans="1:13" ht="30" customHeight="1" x14ac:dyDescent="0.2">
      <c r="A501" s="1001">
        <v>327</v>
      </c>
      <c r="B501" s="939" t="s">
        <v>1232</v>
      </c>
      <c r="C501" s="940"/>
      <c r="D501" s="941">
        <v>60000000</v>
      </c>
      <c r="E501" s="942">
        <v>0.05</v>
      </c>
      <c r="F501" s="941">
        <f t="shared" ref="F501:F504" si="40">D501*E501</f>
        <v>3000000</v>
      </c>
      <c r="G501" s="941">
        <v>3000000</v>
      </c>
      <c r="H501" s="941" t="s">
        <v>2508</v>
      </c>
      <c r="I501" s="943" t="s">
        <v>2509</v>
      </c>
      <c r="J501" s="944" t="s">
        <v>2510</v>
      </c>
      <c r="K501" s="941">
        <f>G501</f>
        <v>3000000</v>
      </c>
      <c r="L501" s="941">
        <f t="shared" ref="L501:L504" si="41">F501-K501</f>
        <v>0</v>
      </c>
      <c r="M501" s="97"/>
    </row>
    <row r="502" spans="1:13" ht="30" customHeight="1" x14ac:dyDescent="0.2">
      <c r="A502" s="1001">
        <v>328</v>
      </c>
      <c r="B502" s="4457" t="s">
        <v>2675</v>
      </c>
      <c r="C502" s="4537" t="s">
        <v>942</v>
      </c>
      <c r="D502" s="968">
        <v>726100000</v>
      </c>
      <c r="E502" s="996">
        <v>0.06</v>
      </c>
      <c r="F502" s="968">
        <f>D502*E502</f>
        <v>43566000</v>
      </c>
      <c r="G502" s="4725" t="s">
        <v>2678</v>
      </c>
      <c r="H502" s="4726"/>
      <c r="I502" s="4726"/>
      <c r="J502" s="4726"/>
      <c r="K502" s="4727"/>
      <c r="L502" s="968"/>
      <c r="M502" s="97"/>
    </row>
    <row r="503" spans="1:13" ht="30" customHeight="1" x14ac:dyDescent="0.2">
      <c r="A503" s="1107"/>
      <c r="B503" s="4488"/>
      <c r="C503" s="4540"/>
      <c r="D503" s="2651">
        <f>D502+18900000</f>
        <v>745000000</v>
      </c>
      <c r="E503" s="897">
        <v>0.06</v>
      </c>
      <c r="F503" s="2651">
        <f>D503*E503</f>
        <v>44700000</v>
      </c>
      <c r="G503" s="4469" t="s">
        <v>4668</v>
      </c>
      <c r="H503" s="4470"/>
      <c r="I503" s="4470"/>
      <c r="J503" s="4471"/>
      <c r="K503" s="1110"/>
      <c r="L503" s="1110"/>
      <c r="M503" s="1111"/>
    </row>
    <row r="504" spans="1:13" ht="30" customHeight="1" x14ac:dyDescent="0.2">
      <c r="A504" s="962">
        <v>329</v>
      </c>
      <c r="B504" s="1002" t="s">
        <v>181</v>
      </c>
      <c r="C504" s="378"/>
      <c r="D504" s="977"/>
      <c r="E504" s="40"/>
      <c r="F504" s="977">
        <f t="shared" si="40"/>
        <v>0</v>
      </c>
      <c r="G504" s="983"/>
      <c r="H504" s="983"/>
      <c r="I504" s="381"/>
      <c r="J504" s="999"/>
      <c r="K504" s="983"/>
      <c r="L504" s="977">
        <f t="shared" si="41"/>
        <v>0</v>
      </c>
      <c r="M504" s="980"/>
    </row>
    <row r="505" spans="1:13" ht="30" customHeight="1" x14ac:dyDescent="0.2">
      <c r="A505" s="1001">
        <v>330</v>
      </c>
      <c r="B505" s="1000" t="s">
        <v>1170</v>
      </c>
      <c r="C505" s="982" t="s">
        <v>1138</v>
      </c>
      <c r="D505" s="968">
        <v>30000000</v>
      </c>
      <c r="E505" s="965">
        <f>F505/D505</f>
        <v>0.05</v>
      </c>
      <c r="F505" s="968">
        <v>1500000</v>
      </c>
      <c r="G505" s="968">
        <v>1500000</v>
      </c>
      <c r="H505" s="968" t="s">
        <v>3214</v>
      </c>
      <c r="I505" s="984" t="s">
        <v>3271</v>
      </c>
      <c r="J505" s="21" t="s">
        <v>2449</v>
      </c>
      <c r="K505" s="968">
        <f>G505</f>
        <v>1500000</v>
      </c>
      <c r="L505" s="968">
        <f>F505-K505</f>
        <v>0</v>
      </c>
      <c r="M505" s="1000"/>
    </row>
    <row r="506" spans="1:13" ht="30" customHeight="1" x14ac:dyDescent="0.2">
      <c r="A506" s="4459">
        <v>331</v>
      </c>
      <c r="B506" s="4457" t="s">
        <v>339</v>
      </c>
      <c r="C506" s="4537" t="s">
        <v>371</v>
      </c>
      <c r="D506" s="4413">
        <v>280000000</v>
      </c>
      <c r="E506" s="4476">
        <v>0.06</v>
      </c>
      <c r="F506" s="4413">
        <f t="shared" ref="F506:F513" si="42">D506*E506</f>
        <v>16800000</v>
      </c>
      <c r="G506" s="4303" t="s">
        <v>2710</v>
      </c>
      <c r="H506" s="4324"/>
      <c r="I506" s="4324"/>
      <c r="J506" s="4355"/>
      <c r="K506" s="4322">
        <f>10000000+G507</f>
        <v>16800000</v>
      </c>
      <c r="L506" s="4322">
        <f>F506-K506</f>
        <v>0</v>
      </c>
      <c r="M506" s="4599"/>
    </row>
    <row r="507" spans="1:13" ht="30" customHeight="1" x14ac:dyDescent="0.2">
      <c r="A507" s="4464"/>
      <c r="B507" s="4488"/>
      <c r="C507" s="4540"/>
      <c r="D507" s="4415"/>
      <c r="E507" s="4477"/>
      <c r="F507" s="4415"/>
      <c r="G507" s="1169">
        <v>6800000</v>
      </c>
      <c r="H507" s="1169" t="s">
        <v>2803</v>
      </c>
      <c r="I507" s="1172" t="s">
        <v>2813</v>
      </c>
      <c r="J507" s="21" t="s">
        <v>2814</v>
      </c>
      <c r="K507" s="4322"/>
      <c r="L507" s="4322"/>
      <c r="M507" s="4600"/>
    </row>
    <row r="508" spans="1:13" ht="30" customHeight="1" x14ac:dyDescent="0.2">
      <c r="A508" s="4460"/>
      <c r="B508" s="4458"/>
      <c r="C508" s="4538"/>
      <c r="D508" s="1169">
        <v>290000000</v>
      </c>
      <c r="E508" s="1173">
        <v>0.06</v>
      </c>
      <c r="F508" s="1169">
        <f>D508*E508</f>
        <v>17400000</v>
      </c>
      <c r="G508" s="4593" t="s">
        <v>2812</v>
      </c>
      <c r="H508" s="4594"/>
      <c r="I508" s="4594"/>
      <c r="J508" s="4595"/>
      <c r="K508" s="1168"/>
      <c r="L508" s="1168"/>
      <c r="M508" s="4607"/>
    </row>
    <row r="509" spans="1:13" ht="30" customHeight="1" x14ac:dyDescent="0.2">
      <c r="A509" s="1001">
        <v>332</v>
      </c>
      <c r="B509" s="1000" t="s">
        <v>370</v>
      </c>
      <c r="C509" s="982" t="s">
        <v>371</v>
      </c>
      <c r="D509" s="968">
        <v>30000000</v>
      </c>
      <c r="E509" s="996">
        <v>0.05</v>
      </c>
      <c r="F509" s="968">
        <f t="shared" si="42"/>
        <v>1500000</v>
      </c>
      <c r="G509" s="968">
        <v>1500000</v>
      </c>
      <c r="H509" s="968" t="s">
        <v>2916</v>
      </c>
      <c r="I509" s="984" t="s">
        <v>2945</v>
      </c>
      <c r="J509" s="21" t="s">
        <v>1834</v>
      </c>
      <c r="K509" s="966">
        <f>G509</f>
        <v>1500000</v>
      </c>
      <c r="L509" s="966">
        <f>F509-K509</f>
        <v>0</v>
      </c>
      <c r="M509" s="1000"/>
    </row>
    <row r="510" spans="1:13" ht="30" customHeight="1" x14ac:dyDescent="0.2">
      <c r="A510" s="4459">
        <v>333</v>
      </c>
      <c r="B510" s="4457" t="s">
        <v>888</v>
      </c>
      <c r="C510" s="982" t="s">
        <v>889</v>
      </c>
      <c r="D510" s="968">
        <v>320000000</v>
      </c>
      <c r="E510" s="996">
        <v>0.05</v>
      </c>
      <c r="F510" s="968">
        <f t="shared" si="42"/>
        <v>16000000</v>
      </c>
      <c r="G510" s="4413">
        <v>21000000</v>
      </c>
      <c r="H510" s="4413" t="s">
        <v>2713</v>
      </c>
      <c r="I510" s="4621" t="s">
        <v>3065</v>
      </c>
      <c r="J510" s="4478" t="s">
        <v>1323</v>
      </c>
      <c r="K510" s="4322">
        <f>G510</f>
        <v>21000000</v>
      </c>
      <c r="L510" s="4322">
        <f>(F510+F511)-K510</f>
        <v>0</v>
      </c>
      <c r="M510" s="4599"/>
    </row>
    <row r="511" spans="1:13" ht="30" customHeight="1" x14ac:dyDescent="0.2">
      <c r="A511" s="4460"/>
      <c r="B511" s="4458"/>
      <c r="C511" s="982" t="s">
        <v>890</v>
      </c>
      <c r="D511" s="968">
        <v>100000000</v>
      </c>
      <c r="E511" s="996">
        <v>0.05</v>
      </c>
      <c r="F511" s="968">
        <f t="shared" si="42"/>
        <v>5000000</v>
      </c>
      <c r="G511" s="4415"/>
      <c r="H511" s="4415"/>
      <c r="I511" s="4622"/>
      <c r="J511" s="4479"/>
      <c r="K511" s="4322"/>
      <c r="L511" s="4322"/>
      <c r="M511" s="4607"/>
    </row>
    <row r="512" spans="1:13" ht="30" customHeight="1" x14ac:dyDescent="0.2">
      <c r="A512" s="1001">
        <v>334</v>
      </c>
      <c r="B512" s="961" t="s">
        <v>1264</v>
      </c>
      <c r="C512" s="982" t="s">
        <v>889</v>
      </c>
      <c r="D512" s="968">
        <v>100000000</v>
      </c>
      <c r="E512" s="996">
        <v>0.05</v>
      </c>
      <c r="F512" s="968">
        <f t="shared" si="42"/>
        <v>5000000</v>
      </c>
      <c r="G512" s="968">
        <v>5000000</v>
      </c>
      <c r="H512" s="968" t="s">
        <v>2713</v>
      </c>
      <c r="I512" s="984" t="s">
        <v>2787</v>
      </c>
      <c r="J512" s="21" t="s">
        <v>2788</v>
      </c>
      <c r="K512" s="968">
        <f>G512</f>
        <v>5000000</v>
      </c>
      <c r="L512" s="968">
        <f>F512-K512</f>
        <v>0</v>
      </c>
      <c r="M512" s="1000"/>
    </row>
    <row r="513" spans="1:18" ht="30" customHeight="1" x14ac:dyDescent="0.2">
      <c r="A513" s="4459">
        <v>335</v>
      </c>
      <c r="B513" s="4457" t="s">
        <v>1276</v>
      </c>
      <c r="C513" s="4537" t="s">
        <v>889</v>
      </c>
      <c r="D513" s="968">
        <v>10000000</v>
      </c>
      <c r="E513" s="996">
        <v>0.05</v>
      </c>
      <c r="F513" s="968">
        <f t="shared" si="42"/>
        <v>500000</v>
      </c>
      <c r="G513" s="968">
        <v>500000</v>
      </c>
      <c r="H513" s="968" t="s">
        <v>2689</v>
      </c>
      <c r="I513" s="984" t="s">
        <v>2746</v>
      </c>
      <c r="J513" s="21" t="s">
        <v>2747</v>
      </c>
      <c r="K513" s="968">
        <f>G513</f>
        <v>500000</v>
      </c>
      <c r="L513" s="968">
        <f>F513-K513</f>
        <v>0</v>
      </c>
      <c r="M513" s="1000"/>
    </row>
    <row r="514" spans="1:18" ht="30" customHeight="1" x14ac:dyDescent="0.2">
      <c r="A514" s="4460"/>
      <c r="B514" s="4458"/>
      <c r="C514" s="4538"/>
      <c r="D514" s="1407">
        <v>5000000</v>
      </c>
      <c r="E514" s="1433"/>
      <c r="F514" s="1407"/>
      <c r="G514" s="4593" t="s">
        <v>3317</v>
      </c>
      <c r="H514" s="4594"/>
      <c r="I514" s="4594"/>
      <c r="J514" s="4595"/>
      <c r="K514" s="1407"/>
      <c r="L514" s="1407"/>
      <c r="M514" s="1434"/>
    </row>
    <row r="515" spans="1:18" ht="30" customHeight="1" x14ac:dyDescent="0.2">
      <c r="A515" s="1001">
        <v>336</v>
      </c>
      <c r="B515" s="961" t="s">
        <v>2576</v>
      </c>
      <c r="C515" s="982" t="s">
        <v>889</v>
      </c>
      <c r="D515" s="1035">
        <v>210000000</v>
      </c>
      <c r="E515" s="1042">
        <v>0.05</v>
      </c>
      <c r="F515" s="1035">
        <f>D515*E515</f>
        <v>10500000</v>
      </c>
      <c r="G515" s="968">
        <v>10500000</v>
      </c>
      <c r="H515" s="968" t="s">
        <v>2532</v>
      </c>
      <c r="I515" s="989" t="s">
        <v>2542</v>
      </c>
      <c r="J515" s="21" t="s">
        <v>1317</v>
      </c>
      <c r="K515" s="968">
        <f>G515</f>
        <v>10500000</v>
      </c>
      <c r="L515" s="968">
        <f>F515-K515</f>
        <v>0</v>
      </c>
      <c r="M515" s="1000"/>
    </row>
    <row r="516" spans="1:18" ht="30" customHeight="1" x14ac:dyDescent="0.2">
      <c r="A516" s="1001">
        <v>337</v>
      </c>
      <c r="B516" s="961" t="s">
        <v>1304</v>
      </c>
      <c r="C516" s="982" t="s">
        <v>889</v>
      </c>
      <c r="D516" s="968">
        <v>80000000</v>
      </c>
      <c r="E516" s="996">
        <v>7.0000000000000007E-2</v>
      </c>
      <c r="F516" s="968">
        <f t="shared" ref="F516:F526" si="43">D516*E516</f>
        <v>5600000.0000000009</v>
      </c>
      <c r="G516" s="968">
        <v>5600000</v>
      </c>
      <c r="H516" s="968" t="s">
        <v>2656</v>
      </c>
      <c r="I516" s="984" t="s">
        <v>2673</v>
      </c>
      <c r="J516" s="21" t="s">
        <v>1574</v>
      </c>
      <c r="K516" s="968">
        <f>G516</f>
        <v>5600000</v>
      </c>
      <c r="L516" s="968">
        <f>G516-K516</f>
        <v>0</v>
      </c>
      <c r="M516" s="1000"/>
    </row>
    <row r="517" spans="1:18" ht="30" customHeight="1" x14ac:dyDescent="0.2">
      <c r="A517" s="4459">
        <v>338</v>
      </c>
      <c r="B517" s="4533" t="s">
        <v>1677</v>
      </c>
      <c r="C517" s="4525"/>
      <c r="D517" s="1409">
        <v>235500000</v>
      </c>
      <c r="E517" s="1433">
        <v>0.05</v>
      </c>
      <c r="F517" s="1407">
        <f t="shared" si="43"/>
        <v>11775000</v>
      </c>
      <c r="G517" s="1407"/>
      <c r="H517" s="233"/>
      <c r="I517" s="233"/>
      <c r="J517" s="233"/>
      <c r="K517" s="233"/>
      <c r="L517" s="4413">
        <f>(F517+F518)-K518</f>
        <v>32775000.000000004</v>
      </c>
      <c r="M517" s="4599"/>
    </row>
    <row r="518" spans="1:18" ht="30" customHeight="1" x14ac:dyDescent="0.2">
      <c r="A518" s="4464"/>
      <c r="B518" s="4708"/>
      <c r="C518" s="4787"/>
      <c r="D518" s="1407">
        <v>300000000</v>
      </c>
      <c r="E518" s="1433">
        <v>7.0000000000000007E-2</v>
      </c>
      <c r="F518" s="1407">
        <f t="shared" si="43"/>
        <v>21000000.000000004</v>
      </c>
      <c r="G518" s="1407"/>
      <c r="H518" s="1420"/>
      <c r="I518" s="1420"/>
      <c r="J518" s="1420"/>
      <c r="K518" s="1420"/>
      <c r="L518" s="4415"/>
      <c r="M518" s="4607"/>
    </row>
    <row r="519" spans="1:18" ht="30" customHeight="1" x14ac:dyDescent="0.2">
      <c r="A519" s="4464"/>
      <c r="B519" s="4708"/>
      <c r="C519" s="4787"/>
      <c r="D519" s="1407">
        <v>30000000</v>
      </c>
      <c r="E519" s="1433">
        <v>7.0000000000000007E-2</v>
      </c>
      <c r="F519" s="1407">
        <f t="shared" si="43"/>
        <v>2100000</v>
      </c>
      <c r="G519" s="4623" t="s">
        <v>1485</v>
      </c>
      <c r="H519" s="4624"/>
      <c r="I519" s="4624"/>
      <c r="J519" s="4624"/>
      <c r="K519" s="4624"/>
      <c r="L519" s="4625"/>
      <c r="M519" s="4675" t="s">
        <v>1488</v>
      </c>
    </row>
    <row r="520" spans="1:18" ht="30" customHeight="1" x14ac:dyDescent="0.2">
      <c r="A520" s="4464"/>
      <c r="B520" s="4708"/>
      <c r="C520" s="4787"/>
      <c r="D520" s="1420">
        <v>20000000</v>
      </c>
      <c r="E520" s="1403">
        <v>7.0000000000000007E-2</v>
      </c>
      <c r="F520" s="1420">
        <f>D520*E520</f>
        <v>1400000.0000000002</v>
      </c>
      <c r="G520" s="4657" t="s">
        <v>1487</v>
      </c>
      <c r="H520" s="4658"/>
      <c r="I520" s="4658"/>
      <c r="J520" s="4658"/>
      <c r="K520" s="4658"/>
      <c r="L520" s="4659"/>
      <c r="M520" s="4782"/>
    </row>
    <row r="521" spans="1:18" ht="30" customHeight="1" x14ac:dyDescent="0.2">
      <c r="A521" s="4464"/>
      <c r="B521" s="4708"/>
      <c r="C521" s="4787"/>
      <c r="D521" s="1420">
        <v>12000000</v>
      </c>
      <c r="E521" s="1403">
        <v>7.0000000000000007E-2</v>
      </c>
      <c r="F521" s="1420">
        <f>D521*E521</f>
        <v>840000.00000000012</v>
      </c>
      <c r="G521" s="4724" t="s">
        <v>1485</v>
      </c>
      <c r="H521" s="4724"/>
      <c r="I521" s="4724"/>
      <c r="J521" s="4724"/>
      <c r="K521" s="4724"/>
      <c r="L521" s="4724"/>
      <c r="M521" s="4782"/>
    </row>
    <row r="522" spans="1:18" ht="30" customHeight="1" x14ac:dyDescent="0.2">
      <c r="A522" s="4464"/>
      <c r="B522" s="4708"/>
      <c r="C522" s="4787"/>
      <c r="D522" s="1401">
        <f>SUM(D518:D521)</f>
        <v>362000000</v>
      </c>
      <c r="E522" s="1403">
        <v>7.0000000000000007E-2</v>
      </c>
      <c r="F522" s="1420">
        <f>D522*E522</f>
        <v>25340000.000000004</v>
      </c>
      <c r="G522" s="1436"/>
      <c r="H522" s="1436"/>
      <c r="I522" s="1455"/>
      <c r="J522" s="1436"/>
      <c r="K522" s="1426"/>
      <c r="L522" s="1436"/>
      <c r="M522" s="4782"/>
    </row>
    <row r="523" spans="1:18" ht="30" customHeight="1" x14ac:dyDescent="0.2">
      <c r="A523" s="4464"/>
      <c r="B523" s="4708"/>
      <c r="C523" s="4787"/>
      <c r="D523" s="4380">
        <f>D517+D522</f>
        <v>597500000</v>
      </c>
      <c r="E523" s="4707"/>
      <c r="F523" s="1401">
        <f>F517+F522</f>
        <v>37115000</v>
      </c>
      <c r="G523" s="1250">
        <v>37115000</v>
      </c>
      <c r="H523" s="1250" t="s">
        <v>2713</v>
      </c>
      <c r="I523" s="1273">
        <v>464437</v>
      </c>
      <c r="J523" s="1250" t="s">
        <v>1720</v>
      </c>
      <c r="K523" s="1272">
        <f>G523</f>
        <v>37115000</v>
      </c>
      <c r="L523" s="1250">
        <f>F523-K523</f>
        <v>0</v>
      </c>
      <c r="M523" s="4782"/>
    </row>
    <row r="524" spans="1:18" ht="30" customHeight="1" x14ac:dyDescent="0.2">
      <c r="A524" s="4464"/>
      <c r="B524" s="4708"/>
      <c r="C524" s="4787"/>
      <c r="D524" s="1401">
        <v>45000000</v>
      </c>
      <c r="E524" s="1408">
        <v>7.0000000000000007E-2</v>
      </c>
      <c r="F524" s="1401">
        <f>D524*E524</f>
        <v>3150000.0000000005</v>
      </c>
      <c r="G524" s="4623" t="s">
        <v>3312</v>
      </c>
      <c r="H524" s="4624"/>
      <c r="I524" s="4624"/>
      <c r="J524" s="4624"/>
      <c r="K524" s="4624"/>
      <c r="L524" s="4625"/>
      <c r="M524" s="4782"/>
    </row>
    <row r="525" spans="1:18" ht="30" customHeight="1" x14ac:dyDescent="0.2">
      <c r="A525" s="4460"/>
      <c r="B525" s="4534"/>
      <c r="C525" s="4526"/>
      <c r="D525" s="4380">
        <f>D523+D524</f>
        <v>642500000</v>
      </c>
      <c r="E525" s="4707"/>
      <c r="F525" s="1401">
        <f>F523+F524</f>
        <v>40265000</v>
      </c>
      <c r="G525" s="4623" t="s">
        <v>3315</v>
      </c>
      <c r="H525" s="4624"/>
      <c r="I525" s="4624"/>
      <c r="J525" s="4624"/>
      <c r="K525" s="4624"/>
      <c r="L525" s="4625"/>
      <c r="M525" s="4676"/>
    </row>
    <row r="526" spans="1:18" ht="30" customHeight="1" x14ac:dyDescent="0.2">
      <c r="A526" s="1024">
        <v>339</v>
      </c>
      <c r="B526" s="1018" t="s">
        <v>170</v>
      </c>
      <c r="C526" s="1009" t="s">
        <v>1306</v>
      </c>
      <c r="D526" s="1011">
        <v>200000000</v>
      </c>
      <c r="E526" s="1015">
        <v>7.0000000000000007E-2</v>
      </c>
      <c r="F526" s="1011">
        <f t="shared" si="43"/>
        <v>14000000.000000002</v>
      </c>
      <c r="G526" s="233"/>
      <c r="H526" s="233"/>
      <c r="I526" s="1388"/>
      <c r="J526" s="1389"/>
      <c r="K526" s="233"/>
      <c r="L526" s="387"/>
      <c r="M526" s="385"/>
      <c r="N526" s="386"/>
      <c r="O526" s="386"/>
      <c r="P526" s="386"/>
      <c r="Q526" s="386"/>
      <c r="R526" s="386"/>
    </row>
    <row r="527" spans="1:18" ht="30" customHeight="1" x14ac:dyDescent="0.2">
      <c r="A527" s="1024">
        <v>340</v>
      </c>
      <c r="B527" s="19" t="s">
        <v>67</v>
      </c>
      <c r="C527" s="378" t="s">
        <v>1138</v>
      </c>
      <c r="D527" s="968">
        <v>60000000</v>
      </c>
      <c r="E527" s="996">
        <v>0.05</v>
      </c>
      <c r="F527" s="968">
        <f>D527*E527</f>
        <v>3000000</v>
      </c>
      <c r="G527" s="1352">
        <v>3000000</v>
      </c>
      <c r="H527" s="1352" t="s">
        <v>3214</v>
      </c>
      <c r="I527" s="1358" t="s">
        <v>3273</v>
      </c>
      <c r="J527" s="1359" t="s">
        <v>1320</v>
      </c>
      <c r="K527" s="1352">
        <f>G527</f>
        <v>3000000</v>
      </c>
      <c r="L527" s="1342">
        <f>F527-K527</f>
        <v>0</v>
      </c>
      <c r="M527" s="1023" t="s">
        <v>3272</v>
      </c>
      <c r="N527" s="386"/>
      <c r="O527" s="386"/>
      <c r="P527" s="386"/>
      <c r="Q527" s="386"/>
      <c r="R527" s="386"/>
    </row>
    <row r="528" spans="1:18" ht="30" customHeight="1" x14ac:dyDescent="0.2">
      <c r="A528" s="963">
        <v>341</v>
      </c>
      <c r="B528" s="961" t="s">
        <v>1357</v>
      </c>
      <c r="C528" s="982"/>
      <c r="D528" s="1442">
        <v>75000000</v>
      </c>
      <c r="E528" s="1449">
        <v>4.4999999999999998E-2</v>
      </c>
      <c r="F528" s="1442">
        <v>3500000</v>
      </c>
      <c r="G528" s="968">
        <v>3500000</v>
      </c>
      <c r="H528" s="968" t="s">
        <v>2577</v>
      </c>
      <c r="I528" s="391">
        <v>276203</v>
      </c>
      <c r="J528" s="978" t="s">
        <v>1358</v>
      </c>
      <c r="K528" s="968">
        <f t="shared" ref="K528:K535" si="44">G528</f>
        <v>3500000</v>
      </c>
      <c r="L528" s="992">
        <f>G528-K528</f>
        <v>0</v>
      </c>
      <c r="M528" s="385"/>
      <c r="N528" s="386"/>
      <c r="O528" s="386"/>
      <c r="P528" s="386"/>
      <c r="Q528" s="386"/>
      <c r="R528" s="386"/>
    </row>
    <row r="529" spans="1:18" ht="30" customHeight="1" x14ac:dyDescent="0.2">
      <c r="A529" s="963">
        <v>342</v>
      </c>
      <c r="B529" s="961" t="s">
        <v>71</v>
      </c>
      <c r="C529" s="982" t="s">
        <v>2363</v>
      </c>
      <c r="D529" s="968">
        <v>110000000</v>
      </c>
      <c r="E529" s="996">
        <v>0.05</v>
      </c>
      <c r="F529" s="968">
        <f>D529*E529</f>
        <v>5500000</v>
      </c>
      <c r="G529" s="968">
        <v>5500000</v>
      </c>
      <c r="H529" s="968" t="s">
        <v>2674</v>
      </c>
      <c r="I529" s="391">
        <v>898166813</v>
      </c>
      <c r="J529" s="978" t="s">
        <v>1361</v>
      </c>
      <c r="K529" s="968">
        <f t="shared" si="44"/>
        <v>5500000</v>
      </c>
      <c r="L529" s="992">
        <f>F529-K529</f>
        <v>0</v>
      </c>
      <c r="M529" s="385"/>
      <c r="N529" s="386"/>
      <c r="O529" s="386"/>
      <c r="P529" s="386"/>
      <c r="Q529" s="386"/>
      <c r="R529" s="386"/>
    </row>
    <row r="530" spans="1:18" ht="30" customHeight="1" x14ac:dyDescent="0.2">
      <c r="A530" s="1029">
        <v>343</v>
      </c>
      <c r="B530" s="19" t="s">
        <v>1365</v>
      </c>
      <c r="C530" s="1393" t="s">
        <v>1796</v>
      </c>
      <c r="D530" s="1391">
        <v>8000000</v>
      </c>
      <c r="E530" s="1392">
        <v>0.04</v>
      </c>
      <c r="F530" s="1391">
        <f>D530*E530</f>
        <v>320000</v>
      </c>
      <c r="G530" s="1391">
        <v>320000</v>
      </c>
      <c r="H530" s="1391" t="s">
        <v>3298</v>
      </c>
      <c r="I530" s="1030">
        <v>123830514386</v>
      </c>
      <c r="J530" s="1391" t="s">
        <v>1366</v>
      </c>
      <c r="K530" s="1391">
        <f t="shared" si="44"/>
        <v>320000</v>
      </c>
      <c r="L530" s="1390">
        <f>F530-K530</f>
        <v>0</v>
      </c>
      <c r="M530" s="1014"/>
      <c r="N530" s="386"/>
      <c r="O530" s="386"/>
      <c r="P530" s="386"/>
      <c r="Q530" s="386"/>
      <c r="R530" s="386"/>
    </row>
    <row r="531" spans="1:18" ht="30" customHeight="1" x14ac:dyDescent="0.2">
      <c r="A531" s="963">
        <v>344</v>
      </c>
      <c r="B531" s="961" t="s">
        <v>1373</v>
      </c>
      <c r="C531" s="982"/>
      <c r="D531" s="974"/>
      <c r="E531" s="1008"/>
      <c r="F531" s="974"/>
      <c r="G531" s="968">
        <v>6500000</v>
      </c>
      <c r="H531" s="968" t="s">
        <v>2656</v>
      </c>
      <c r="I531" s="391">
        <v>897974206</v>
      </c>
      <c r="J531" s="978" t="s">
        <v>1374</v>
      </c>
      <c r="K531" s="968">
        <f t="shared" si="44"/>
        <v>6500000</v>
      </c>
      <c r="L531" s="991">
        <f>F531-K531</f>
        <v>-6500000</v>
      </c>
      <c r="M531" s="385"/>
      <c r="N531" s="386"/>
      <c r="O531" s="386"/>
      <c r="P531" s="386"/>
      <c r="Q531" s="386"/>
      <c r="R531" s="386"/>
    </row>
    <row r="532" spans="1:18" ht="30" customHeight="1" x14ac:dyDescent="0.2">
      <c r="A532" s="963">
        <v>345</v>
      </c>
      <c r="B532" s="961" t="s">
        <v>2080</v>
      </c>
      <c r="C532" s="982" t="s">
        <v>1299</v>
      </c>
      <c r="D532" s="968">
        <v>60000000</v>
      </c>
      <c r="E532" s="996">
        <v>7.0000000000000007E-2</v>
      </c>
      <c r="F532" s="968">
        <f>D532*E532</f>
        <v>4200000</v>
      </c>
      <c r="G532" s="968">
        <v>4200000</v>
      </c>
      <c r="H532" s="968" t="s">
        <v>3004</v>
      </c>
      <c r="I532" s="391">
        <v>659663694114</v>
      </c>
      <c r="J532" s="978" t="s">
        <v>2081</v>
      </c>
      <c r="K532" s="968">
        <f t="shared" si="44"/>
        <v>4200000</v>
      </c>
      <c r="L532" s="992">
        <f>G532-K532</f>
        <v>0</v>
      </c>
      <c r="M532" s="385"/>
      <c r="N532" s="386"/>
      <c r="O532" s="386"/>
      <c r="P532" s="386"/>
      <c r="Q532" s="386"/>
      <c r="R532" s="386"/>
    </row>
    <row r="533" spans="1:18" ht="30" customHeight="1" x14ac:dyDescent="0.2">
      <c r="A533" s="963">
        <v>346</v>
      </c>
      <c r="B533" s="961" t="s">
        <v>1380</v>
      </c>
      <c r="C533" s="982"/>
      <c r="D533" s="974"/>
      <c r="E533" s="40"/>
      <c r="F533" s="974"/>
      <c r="G533" s="968">
        <v>250000</v>
      </c>
      <c r="H533" s="968" t="s">
        <v>2656</v>
      </c>
      <c r="I533" s="391">
        <v>185609</v>
      </c>
      <c r="J533" s="978" t="s">
        <v>1381</v>
      </c>
      <c r="K533" s="968">
        <f t="shared" si="44"/>
        <v>250000</v>
      </c>
      <c r="L533" s="991">
        <f>F533-K533</f>
        <v>-250000</v>
      </c>
      <c r="M533" s="385"/>
      <c r="N533" s="386"/>
      <c r="O533" s="386"/>
      <c r="P533" s="386"/>
      <c r="Q533" s="386"/>
      <c r="R533" s="386"/>
    </row>
    <row r="534" spans="1:18" ht="30" customHeight="1" x14ac:dyDescent="0.2">
      <c r="A534" s="963">
        <v>347</v>
      </c>
      <c r="B534" s="961" t="s">
        <v>178</v>
      </c>
      <c r="C534" s="982"/>
      <c r="D534" s="968">
        <v>130000000</v>
      </c>
      <c r="E534" s="996">
        <v>0.05</v>
      </c>
      <c r="F534" s="968">
        <f>D534*E534</f>
        <v>6500000</v>
      </c>
      <c r="G534" s="968">
        <v>6500000</v>
      </c>
      <c r="H534" s="968" t="s">
        <v>2553</v>
      </c>
      <c r="I534" s="391">
        <v>869380</v>
      </c>
      <c r="J534" s="978" t="s">
        <v>1386</v>
      </c>
      <c r="K534" s="968">
        <f t="shared" si="44"/>
        <v>6500000</v>
      </c>
      <c r="L534" s="992">
        <f>F534-K534</f>
        <v>0</v>
      </c>
      <c r="M534" s="385"/>
      <c r="N534" s="386"/>
      <c r="O534" s="386"/>
      <c r="P534" s="386"/>
      <c r="Q534" s="386"/>
      <c r="R534" s="386"/>
    </row>
    <row r="535" spans="1:18" ht="30" customHeight="1" x14ac:dyDescent="0.2">
      <c r="A535" s="1019">
        <v>348</v>
      </c>
      <c r="B535" s="19" t="s">
        <v>1408</v>
      </c>
      <c r="C535" s="1021" t="s">
        <v>1306</v>
      </c>
      <c r="D535" s="1011">
        <v>50000000</v>
      </c>
      <c r="E535" s="1015">
        <v>0.04</v>
      </c>
      <c r="F535" s="1011">
        <f>D535*E535</f>
        <v>2000000</v>
      </c>
      <c r="G535" s="1011">
        <v>2000000</v>
      </c>
      <c r="H535" s="1011" t="s">
        <v>3127</v>
      </c>
      <c r="I535" s="1030">
        <v>123625417777</v>
      </c>
      <c r="J535" s="978" t="s">
        <v>1409</v>
      </c>
      <c r="K535" s="968">
        <f t="shared" si="44"/>
        <v>2000000</v>
      </c>
      <c r="L535" s="992">
        <f>F535-K535</f>
        <v>0</v>
      </c>
      <c r="M535" s="385"/>
      <c r="N535" s="386"/>
      <c r="O535" s="386"/>
      <c r="P535" s="386"/>
      <c r="Q535" s="386"/>
      <c r="R535" s="386"/>
    </row>
    <row r="536" spans="1:18" ht="30" customHeight="1" x14ac:dyDescent="0.2">
      <c r="A536" s="963">
        <v>349</v>
      </c>
      <c r="B536" s="961" t="s">
        <v>1526</v>
      </c>
      <c r="C536" s="982"/>
      <c r="D536" s="968">
        <v>80000000</v>
      </c>
      <c r="E536" s="1007">
        <v>0.04</v>
      </c>
      <c r="F536" s="968">
        <f>D536*E536</f>
        <v>3200000</v>
      </c>
      <c r="G536" s="968"/>
      <c r="H536" s="968"/>
      <c r="I536" s="391"/>
      <c r="J536" s="978"/>
      <c r="K536" s="968"/>
      <c r="L536" s="992">
        <f t="shared" ref="L536:L547" si="45">F536-K536</f>
        <v>3200000</v>
      </c>
      <c r="M536" s="385"/>
      <c r="N536" s="386"/>
      <c r="O536" s="386"/>
      <c r="P536" s="386"/>
      <c r="Q536" s="386"/>
      <c r="R536" s="386"/>
    </row>
    <row r="537" spans="1:18" ht="30" customHeight="1" x14ac:dyDescent="0.2">
      <c r="A537" s="963">
        <v>350</v>
      </c>
      <c r="B537" s="961" t="s">
        <v>1554</v>
      </c>
      <c r="C537" s="982"/>
      <c r="D537" s="968">
        <v>110000000</v>
      </c>
      <c r="E537" s="4783" t="s">
        <v>1556</v>
      </c>
      <c r="F537" s="4784"/>
      <c r="G537" s="968">
        <v>4400000</v>
      </c>
      <c r="H537" s="968" t="s">
        <v>1916</v>
      </c>
      <c r="I537" s="391">
        <v>123304494996</v>
      </c>
      <c r="J537" s="978" t="s">
        <v>2840</v>
      </c>
      <c r="K537" s="968">
        <f>G537</f>
        <v>4400000</v>
      </c>
      <c r="L537" s="991">
        <f t="shared" si="45"/>
        <v>-4400000</v>
      </c>
      <c r="M537" s="385"/>
      <c r="N537" s="386"/>
      <c r="O537" s="386"/>
      <c r="P537" s="386"/>
      <c r="Q537" s="386"/>
      <c r="R537" s="386"/>
    </row>
    <row r="538" spans="1:18" ht="30" customHeight="1" x14ac:dyDescent="0.2">
      <c r="A538" s="4459">
        <v>351</v>
      </c>
      <c r="B538" s="4457" t="s">
        <v>1558</v>
      </c>
      <c r="C538" s="4537" t="s">
        <v>1172</v>
      </c>
      <c r="D538" s="4413">
        <v>560000000</v>
      </c>
      <c r="E538" s="4476">
        <v>7.0000000000000007E-2</v>
      </c>
      <c r="F538" s="4413">
        <f>D538*E538</f>
        <v>39200000.000000007</v>
      </c>
      <c r="G538" s="968">
        <v>25000000</v>
      </c>
      <c r="H538" s="968" t="s">
        <v>2634</v>
      </c>
      <c r="I538" s="391">
        <v>55781</v>
      </c>
      <c r="J538" s="978" t="s">
        <v>1559</v>
      </c>
      <c r="K538" s="4413">
        <f>G538+G539</f>
        <v>39200000</v>
      </c>
      <c r="L538" s="4603">
        <f t="shared" si="45"/>
        <v>0</v>
      </c>
      <c r="M538" s="4675" t="s">
        <v>2626</v>
      </c>
      <c r="N538" s="386"/>
      <c r="O538" s="386"/>
      <c r="P538" s="386"/>
      <c r="Q538" s="386"/>
      <c r="R538" s="386"/>
    </row>
    <row r="539" spans="1:18" ht="30" customHeight="1" x14ac:dyDescent="0.2">
      <c r="A539" s="4464"/>
      <c r="B539" s="4488"/>
      <c r="C539" s="4540"/>
      <c r="D539" s="4415"/>
      <c r="E539" s="4477"/>
      <c r="F539" s="4415"/>
      <c r="G539" s="1179">
        <v>14200000</v>
      </c>
      <c r="H539" s="1179" t="s">
        <v>1916</v>
      </c>
      <c r="I539" s="1195">
        <v>105131036011856</v>
      </c>
      <c r="J539" s="1184" t="s">
        <v>2460</v>
      </c>
      <c r="K539" s="4415"/>
      <c r="L539" s="4604"/>
      <c r="M539" s="4782"/>
      <c r="N539" s="386"/>
      <c r="O539" s="386"/>
      <c r="P539" s="386"/>
      <c r="Q539" s="386"/>
      <c r="R539" s="386"/>
    </row>
    <row r="540" spans="1:18" ht="30" customHeight="1" x14ac:dyDescent="0.2">
      <c r="A540" s="4464"/>
      <c r="B540" s="4488"/>
      <c r="C540" s="4540"/>
      <c r="D540" s="4386"/>
      <c r="E540" s="4654"/>
      <c r="F540" s="4655"/>
      <c r="G540" s="1351">
        <v>560000</v>
      </c>
      <c r="H540" s="1351" t="s">
        <v>3227</v>
      </c>
      <c r="I540" s="1387">
        <v>1.4010526016289E+17</v>
      </c>
      <c r="J540" s="1351" t="s">
        <v>2460</v>
      </c>
      <c r="K540" s="1351"/>
      <c r="L540" s="1354"/>
      <c r="M540" s="4782"/>
      <c r="N540" s="386"/>
      <c r="O540" s="386"/>
      <c r="P540" s="386"/>
      <c r="Q540" s="386"/>
      <c r="R540" s="386"/>
    </row>
    <row r="541" spans="1:18" ht="30" customHeight="1" x14ac:dyDescent="0.2">
      <c r="A541" s="4460"/>
      <c r="B541" s="4458"/>
      <c r="C541" s="4538"/>
      <c r="D541" s="1151">
        <v>680000000</v>
      </c>
      <c r="E541" s="1154">
        <v>7.0000000000000007E-2</v>
      </c>
      <c r="F541" s="1151">
        <f>D541*E541</f>
        <v>47600000.000000007</v>
      </c>
      <c r="G541" s="4593" t="s">
        <v>2732</v>
      </c>
      <c r="H541" s="4594"/>
      <c r="I541" s="4594"/>
      <c r="J541" s="4594"/>
      <c r="K541" s="4595"/>
      <c r="L541" s="1163"/>
      <c r="M541" s="4676"/>
      <c r="N541" s="386"/>
      <c r="O541" s="386"/>
      <c r="P541" s="386"/>
      <c r="Q541" s="386"/>
      <c r="R541" s="386"/>
    </row>
    <row r="542" spans="1:18" ht="30" customHeight="1" x14ac:dyDescent="0.2">
      <c r="A542" s="963">
        <v>352</v>
      </c>
      <c r="B542" s="961" t="s">
        <v>1561</v>
      </c>
      <c r="C542" s="982"/>
      <c r="D542" s="1132">
        <v>50000000</v>
      </c>
      <c r="E542" s="1138">
        <v>7.0000000000000007E-2</v>
      </c>
      <c r="F542" s="1132">
        <f>D542*E542</f>
        <v>3500000.0000000005</v>
      </c>
      <c r="G542" s="1132">
        <v>3500000</v>
      </c>
      <c r="H542" s="1132" t="s">
        <v>1916</v>
      </c>
      <c r="I542" s="391">
        <v>105131004431527</v>
      </c>
      <c r="J542" s="21" t="s">
        <v>2857</v>
      </c>
      <c r="K542" s="1132">
        <f>G542</f>
        <v>3500000</v>
      </c>
      <c r="L542" s="1136">
        <f t="shared" si="45"/>
        <v>0</v>
      </c>
      <c r="M542" s="385"/>
      <c r="N542" s="386"/>
      <c r="O542" s="386"/>
      <c r="P542" s="386"/>
      <c r="Q542" s="386"/>
      <c r="R542" s="386"/>
    </row>
    <row r="543" spans="1:18" ht="30" customHeight="1" x14ac:dyDescent="0.2">
      <c r="A543" s="4459">
        <v>353</v>
      </c>
      <c r="B543" s="4457" t="s">
        <v>1565</v>
      </c>
      <c r="C543" s="1212" t="s">
        <v>1172</v>
      </c>
      <c r="D543" s="1179">
        <v>50000000</v>
      </c>
      <c r="E543" s="1188">
        <v>0.05</v>
      </c>
      <c r="F543" s="1179">
        <f>D543*E543</f>
        <v>2500000</v>
      </c>
      <c r="G543" s="1179">
        <v>2500000</v>
      </c>
      <c r="H543" s="1179" t="s">
        <v>1916</v>
      </c>
      <c r="I543" s="1195">
        <v>123307122994</v>
      </c>
      <c r="J543" s="1184" t="s">
        <v>2847</v>
      </c>
      <c r="K543" s="968">
        <f>G543</f>
        <v>2500000</v>
      </c>
      <c r="L543" s="992">
        <f t="shared" si="45"/>
        <v>0</v>
      </c>
      <c r="M543" s="385" t="s">
        <v>1566</v>
      </c>
      <c r="N543" s="386"/>
      <c r="O543" s="386"/>
      <c r="P543" s="386"/>
      <c r="Q543" s="386"/>
      <c r="R543" s="386"/>
    </row>
    <row r="544" spans="1:18" ht="30" customHeight="1" x14ac:dyDescent="0.2">
      <c r="A544" s="4464"/>
      <c r="B544" s="4488"/>
      <c r="C544" s="1213" t="s">
        <v>1299</v>
      </c>
      <c r="D544" s="1210">
        <v>20000000</v>
      </c>
      <c r="E544" s="1215"/>
      <c r="F544" s="1210"/>
      <c r="G544" s="4629" t="s">
        <v>2909</v>
      </c>
      <c r="H544" s="4630"/>
      <c r="I544" s="4630"/>
      <c r="J544" s="4630"/>
      <c r="K544" s="4631"/>
      <c r="L544" s="1214"/>
      <c r="M544" s="385"/>
      <c r="N544" s="386"/>
      <c r="O544" s="386"/>
      <c r="P544" s="386"/>
      <c r="Q544" s="386"/>
      <c r="R544" s="386"/>
    </row>
    <row r="545" spans="1:18" ht="30" customHeight="1" x14ac:dyDescent="0.2">
      <c r="A545" s="4460"/>
      <c r="B545" s="4458"/>
      <c r="C545" s="1281"/>
      <c r="D545" s="1276">
        <v>70000000</v>
      </c>
      <c r="E545" s="1291">
        <v>0.05</v>
      </c>
      <c r="F545" s="1276">
        <f>D545*E545</f>
        <v>3500000</v>
      </c>
      <c r="G545" s="4629" t="s">
        <v>2685</v>
      </c>
      <c r="H545" s="4630"/>
      <c r="I545" s="4630"/>
      <c r="J545" s="4630"/>
      <c r="K545" s="4631"/>
      <c r="L545" s="1288"/>
      <c r="M545" s="385"/>
      <c r="N545" s="386"/>
      <c r="O545" s="386"/>
      <c r="P545" s="386"/>
      <c r="Q545" s="386"/>
      <c r="R545" s="386"/>
    </row>
    <row r="546" spans="1:18" ht="30" customHeight="1" x14ac:dyDescent="0.2">
      <c r="A546" s="963">
        <v>355</v>
      </c>
      <c r="B546" s="961" t="s">
        <v>1582</v>
      </c>
      <c r="C546" s="982" t="s">
        <v>2644</v>
      </c>
      <c r="D546" s="1092">
        <v>115000000</v>
      </c>
      <c r="E546" s="1101">
        <v>0.05</v>
      </c>
      <c r="F546" s="1092">
        <f>D546*E546</f>
        <v>5750000</v>
      </c>
      <c r="G546" s="1092">
        <v>6500000</v>
      </c>
      <c r="H546" s="1092" t="s">
        <v>2689</v>
      </c>
      <c r="I546" s="391">
        <v>464429</v>
      </c>
      <c r="J546" s="473" t="s">
        <v>1583</v>
      </c>
      <c r="K546" s="1092">
        <f>G546</f>
        <v>6500000</v>
      </c>
      <c r="L546" s="1100">
        <f t="shared" si="45"/>
        <v>-750000</v>
      </c>
      <c r="M546" s="385" t="s">
        <v>2698</v>
      </c>
      <c r="N546" s="386"/>
      <c r="O546" s="386"/>
      <c r="P546" s="386"/>
      <c r="Q546" s="386"/>
      <c r="R546" s="386"/>
    </row>
    <row r="547" spans="1:18" ht="30" customHeight="1" x14ac:dyDescent="0.2">
      <c r="A547" s="963">
        <v>356</v>
      </c>
      <c r="B547" s="961" t="s">
        <v>1590</v>
      </c>
      <c r="C547" s="982"/>
      <c r="D547" s="974"/>
      <c r="E547" s="40"/>
      <c r="F547" s="974"/>
      <c r="G547" s="968">
        <v>2800000</v>
      </c>
      <c r="H547" s="968" t="s">
        <v>2553</v>
      </c>
      <c r="I547" s="391">
        <v>79373</v>
      </c>
      <c r="J547" s="473" t="s">
        <v>1591</v>
      </c>
      <c r="K547" s="968">
        <f>G547</f>
        <v>2800000</v>
      </c>
      <c r="L547" s="991">
        <f t="shared" si="45"/>
        <v>-2800000</v>
      </c>
      <c r="M547" s="385"/>
      <c r="N547" s="386"/>
      <c r="O547" s="386"/>
      <c r="P547" s="386"/>
      <c r="Q547" s="386"/>
      <c r="R547" s="386"/>
    </row>
    <row r="548" spans="1:18" ht="30" customHeight="1" x14ac:dyDescent="0.2">
      <c r="A548" s="963">
        <v>357</v>
      </c>
      <c r="B548" s="961" t="s">
        <v>1592</v>
      </c>
      <c r="C548" s="982"/>
      <c r="D548" s="968">
        <v>70000000</v>
      </c>
      <c r="E548" s="40"/>
      <c r="F548" s="974"/>
      <c r="G548" s="968"/>
      <c r="H548" s="968"/>
      <c r="I548" s="391"/>
      <c r="J548" s="473"/>
      <c r="K548" s="968"/>
      <c r="L548" s="991"/>
      <c r="M548" s="385" t="s">
        <v>1593</v>
      </c>
      <c r="N548" s="386"/>
      <c r="O548" s="386"/>
      <c r="P548" s="386"/>
      <c r="Q548" s="386"/>
      <c r="R548" s="386"/>
    </row>
    <row r="549" spans="1:18" ht="30" customHeight="1" x14ac:dyDescent="0.2">
      <c r="A549" s="4459">
        <v>358</v>
      </c>
      <c r="B549" s="4457" t="s">
        <v>1597</v>
      </c>
      <c r="C549" s="4537"/>
      <c r="D549" s="4506"/>
      <c r="E549" s="4512"/>
      <c r="F549" s="4506"/>
      <c r="G549" s="968">
        <v>6000000</v>
      </c>
      <c r="H549" s="968" t="s">
        <v>2577</v>
      </c>
      <c r="I549" s="391">
        <v>896821844</v>
      </c>
      <c r="J549" s="473" t="s">
        <v>1598</v>
      </c>
      <c r="K549" s="968">
        <f t="shared" ref="K549:K568" si="46">G549</f>
        <v>6000000</v>
      </c>
      <c r="L549" s="991">
        <f t="shared" ref="L549:L568" si="47">F549-K549</f>
        <v>-6000000</v>
      </c>
      <c r="M549" s="385"/>
      <c r="N549" s="386"/>
      <c r="O549" s="386"/>
      <c r="P549" s="386"/>
      <c r="Q549" s="386"/>
      <c r="R549" s="386"/>
    </row>
    <row r="550" spans="1:18" ht="30" customHeight="1" x14ac:dyDescent="0.2">
      <c r="A550" s="4460"/>
      <c r="B550" s="4458"/>
      <c r="C550" s="4538"/>
      <c r="D550" s="4508"/>
      <c r="E550" s="4514"/>
      <c r="F550" s="4508"/>
      <c r="G550" s="1092">
        <v>20000000</v>
      </c>
      <c r="H550" s="1092" t="s">
        <v>2634</v>
      </c>
      <c r="I550" s="391">
        <v>897741956</v>
      </c>
      <c r="J550" s="473" t="s">
        <v>1598</v>
      </c>
      <c r="K550" s="1094"/>
      <c r="L550" s="1114"/>
      <c r="M550" s="1115" t="s">
        <v>2079</v>
      </c>
      <c r="N550" s="386"/>
      <c r="O550" s="386"/>
      <c r="P550" s="386"/>
      <c r="Q550" s="386"/>
      <c r="R550" s="386"/>
    </row>
    <row r="551" spans="1:18" ht="30" customHeight="1" x14ac:dyDescent="0.2">
      <c r="A551" s="4459">
        <v>359</v>
      </c>
      <c r="B551" s="4457" t="s">
        <v>1599</v>
      </c>
      <c r="C551" s="4537"/>
      <c r="D551" s="4506"/>
      <c r="E551" s="4512"/>
      <c r="F551" s="4506"/>
      <c r="G551" s="968"/>
      <c r="H551" s="968"/>
      <c r="I551" s="391"/>
      <c r="J551" s="473" t="s">
        <v>1600</v>
      </c>
      <c r="K551" s="4413">
        <f>G551+G552</f>
        <v>0</v>
      </c>
      <c r="L551" s="4605">
        <f t="shared" si="47"/>
        <v>0</v>
      </c>
      <c r="M551" s="4603"/>
      <c r="N551" s="386"/>
      <c r="O551" s="386"/>
      <c r="P551" s="386"/>
      <c r="Q551" s="386"/>
      <c r="R551" s="386"/>
    </row>
    <row r="552" spans="1:18" ht="30" customHeight="1" x14ac:dyDescent="0.2">
      <c r="A552" s="4460"/>
      <c r="B552" s="4458"/>
      <c r="C552" s="4538"/>
      <c r="D552" s="4508"/>
      <c r="E552" s="4514"/>
      <c r="F552" s="4508"/>
      <c r="G552" s="968"/>
      <c r="H552" s="968"/>
      <c r="I552" s="391"/>
      <c r="J552" s="473" t="s">
        <v>1600</v>
      </c>
      <c r="K552" s="4415"/>
      <c r="L552" s="4606"/>
      <c r="M552" s="4604"/>
      <c r="N552" s="386"/>
      <c r="O552" s="386"/>
      <c r="P552" s="386"/>
      <c r="Q552" s="386"/>
      <c r="R552" s="386"/>
    </row>
    <row r="553" spans="1:18" ht="30" customHeight="1" x14ac:dyDescent="0.2">
      <c r="A553" s="4459">
        <v>360</v>
      </c>
      <c r="B553" s="4457" t="s">
        <v>1614</v>
      </c>
      <c r="C553" s="4537" t="s">
        <v>889</v>
      </c>
      <c r="D553" s="1446">
        <v>290000000</v>
      </c>
      <c r="E553" s="1449">
        <v>0.05</v>
      </c>
      <c r="F553" s="1446">
        <f>D553*E553</f>
        <v>14500000</v>
      </c>
      <c r="G553" s="968">
        <v>10000000</v>
      </c>
      <c r="H553" s="968" t="s">
        <v>2577</v>
      </c>
      <c r="I553" s="391">
        <v>896674291</v>
      </c>
      <c r="J553" s="473" t="s">
        <v>2587</v>
      </c>
      <c r="K553" s="4413">
        <f>G553+G554</f>
        <v>27100000</v>
      </c>
      <c r="L553" s="4603">
        <f t="shared" si="47"/>
        <v>-12600000</v>
      </c>
      <c r="M553" s="4603"/>
      <c r="N553" s="386"/>
      <c r="O553" s="386"/>
      <c r="P553" s="386"/>
      <c r="Q553" s="386"/>
      <c r="R553" s="386"/>
    </row>
    <row r="554" spans="1:18" ht="30" customHeight="1" x14ac:dyDescent="0.2">
      <c r="A554" s="4460"/>
      <c r="B554" s="4458"/>
      <c r="C554" s="4538"/>
      <c r="D554" s="1446">
        <v>210000000</v>
      </c>
      <c r="E554" s="1449">
        <v>0.06</v>
      </c>
      <c r="F554" s="1446">
        <f>D554*E554</f>
        <v>12600000</v>
      </c>
      <c r="G554" s="1253">
        <v>17100000</v>
      </c>
      <c r="H554" s="1253" t="s">
        <v>2713</v>
      </c>
      <c r="I554" s="1271">
        <v>464446</v>
      </c>
      <c r="J554" s="473" t="s">
        <v>1611</v>
      </c>
      <c r="K554" s="4415"/>
      <c r="L554" s="4604"/>
      <c r="M554" s="4604"/>
      <c r="N554" s="386"/>
      <c r="O554" s="386"/>
      <c r="P554" s="386"/>
      <c r="Q554" s="386"/>
      <c r="R554" s="386"/>
    </row>
    <row r="555" spans="1:18" ht="30" customHeight="1" x14ac:dyDescent="0.2">
      <c r="A555" s="4459">
        <v>361</v>
      </c>
      <c r="B555" s="4457" t="s">
        <v>1612</v>
      </c>
      <c r="C555" s="4537"/>
      <c r="D555" s="4413">
        <v>3045000000</v>
      </c>
      <c r="E555" s="4476"/>
      <c r="F555" s="4413">
        <v>103600000</v>
      </c>
      <c r="G555" s="1051">
        <v>5000000</v>
      </c>
      <c r="H555" s="1051" t="s">
        <v>2577</v>
      </c>
      <c r="I555" s="391">
        <v>151165</v>
      </c>
      <c r="J555" s="473" t="s">
        <v>3152</v>
      </c>
      <c r="K555" s="4413">
        <f>G555+G556+G557+G558+G559+G560+G561+G562+G563+G564+G565</f>
        <v>84000000</v>
      </c>
      <c r="L555" s="4603">
        <f>F555-10000000-K555</f>
        <v>9600000</v>
      </c>
      <c r="M555" s="1058" t="s">
        <v>2588</v>
      </c>
      <c r="N555" s="386"/>
      <c r="O555" s="386"/>
      <c r="P555" s="386"/>
      <c r="Q555" s="386"/>
      <c r="R555" s="386"/>
    </row>
    <row r="556" spans="1:18" ht="30" customHeight="1" x14ac:dyDescent="0.2">
      <c r="A556" s="4464"/>
      <c r="B556" s="4488"/>
      <c r="C556" s="4540"/>
      <c r="D556" s="4414"/>
      <c r="E556" s="4516"/>
      <c r="F556" s="4414"/>
      <c r="G556" s="1051">
        <v>2000000</v>
      </c>
      <c r="H556" s="1051" t="s">
        <v>2689</v>
      </c>
      <c r="I556" s="391">
        <v>422985</v>
      </c>
      <c r="J556" s="473" t="s">
        <v>3152</v>
      </c>
      <c r="K556" s="4414"/>
      <c r="L556" s="4609"/>
      <c r="M556" s="1207" t="s">
        <v>2879</v>
      </c>
      <c r="N556" s="386"/>
      <c r="O556" s="386"/>
      <c r="P556" s="386"/>
      <c r="Q556" s="386"/>
      <c r="R556" s="386"/>
    </row>
    <row r="557" spans="1:18" ht="30" customHeight="1" x14ac:dyDescent="0.2">
      <c r="A557" s="4464"/>
      <c r="B557" s="4488"/>
      <c r="C557" s="4540"/>
      <c r="D557" s="4414"/>
      <c r="E557" s="4516"/>
      <c r="F557" s="4414"/>
      <c r="G557" s="1051">
        <v>5000000</v>
      </c>
      <c r="H557" s="1051" t="s">
        <v>2875</v>
      </c>
      <c r="I557" s="391">
        <v>182287</v>
      </c>
      <c r="J557" s="473" t="s">
        <v>3152</v>
      </c>
      <c r="K557" s="4414"/>
      <c r="L557" s="4609"/>
      <c r="M557" s="849"/>
      <c r="N557" s="386"/>
      <c r="O557" s="386"/>
      <c r="P557" s="386"/>
      <c r="Q557" s="386"/>
      <c r="R557" s="386"/>
    </row>
    <row r="558" spans="1:18" ht="30" customHeight="1" x14ac:dyDescent="0.2">
      <c r="A558" s="4464"/>
      <c r="B558" s="4488"/>
      <c r="C558" s="4540"/>
      <c r="D558" s="4414"/>
      <c r="E558" s="4516"/>
      <c r="F558" s="4414"/>
      <c r="G558" s="1051">
        <v>50000000</v>
      </c>
      <c r="H558" s="1051"/>
      <c r="I558" s="391"/>
      <c r="J558" s="473"/>
      <c r="K558" s="4414"/>
      <c r="L558" s="4609"/>
      <c r="M558" s="849"/>
      <c r="N558" s="386"/>
      <c r="O558" s="386"/>
      <c r="P558" s="386"/>
      <c r="Q558" s="386"/>
      <c r="R558" s="386"/>
    </row>
    <row r="559" spans="1:18" ht="30" customHeight="1" x14ac:dyDescent="0.2">
      <c r="A559" s="4464"/>
      <c r="B559" s="4488"/>
      <c r="C559" s="4540"/>
      <c r="D559" s="4414"/>
      <c r="E559" s="4516"/>
      <c r="F559" s="4414"/>
      <c r="G559" s="1051">
        <v>10000000</v>
      </c>
      <c r="H559" s="1051" t="s">
        <v>3083</v>
      </c>
      <c r="I559" s="391">
        <v>123540640718</v>
      </c>
      <c r="J559" s="473" t="s">
        <v>3152</v>
      </c>
      <c r="K559" s="4414"/>
      <c r="L559" s="4609"/>
      <c r="M559" s="849"/>
      <c r="N559" s="386"/>
      <c r="O559" s="386"/>
      <c r="P559" s="386"/>
      <c r="Q559" s="386"/>
      <c r="R559" s="386"/>
    </row>
    <row r="560" spans="1:18" ht="30" customHeight="1" x14ac:dyDescent="0.2">
      <c r="A560" s="4464"/>
      <c r="B560" s="4488"/>
      <c r="C560" s="4540"/>
      <c r="D560" s="4414"/>
      <c r="E560" s="4516"/>
      <c r="F560" s="4414"/>
      <c r="G560" s="1051">
        <v>6000000</v>
      </c>
      <c r="H560" s="1051" t="s">
        <v>3127</v>
      </c>
      <c r="I560" s="391">
        <v>12175613886</v>
      </c>
      <c r="J560" s="473" t="s">
        <v>3152</v>
      </c>
      <c r="K560" s="4414"/>
      <c r="L560" s="4609"/>
      <c r="M560" s="849"/>
      <c r="N560" s="386"/>
      <c r="O560" s="386"/>
      <c r="P560" s="386"/>
      <c r="Q560" s="386"/>
      <c r="R560" s="386"/>
    </row>
    <row r="561" spans="1:18" ht="30" customHeight="1" x14ac:dyDescent="0.2">
      <c r="A561" s="4460"/>
      <c r="B561" s="4488"/>
      <c r="C561" s="4540"/>
      <c r="D561" s="4414"/>
      <c r="E561" s="4516"/>
      <c r="F561" s="4414"/>
      <c r="G561" s="1051">
        <v>1000000</v>
      </c>
      <c r="H561" s="1051" t="s">
        <v>3214</v>
      </c>
      <c r="I561" s="391">
        <v>93940</v>
      </c>
      <c r="J561" s="473" t="s">
        <v>3152</v>
      </c>
      <c r="K561" s="4414"/>
      <c r="L561" s="4609"/>
      <c r="M561" s="849"/>
      <c r="N561" s="386"/>
      <c r="O561" s="386"/>
      <c r="P561" s="386"/>
      <c r="Q561" s="386"/>
      <c r="R561" s="386"/>
    </row>
    <row r="562" spans="1:18" ht="30" customHeight="1" x14ac:dyDescent="0.2">
      <c r="A562" s="1402"/>
      <c r="B562" s="4488"/>
      <c r="C562" s="4540"/>
      <c r="D562" s="4414"/>
      <c r="E562" s="4516"/>
      <c r="F562" s="4414"/>
      <c r="G562" s="1407">
        <v>1000000</v>
      </c>
      <c r="H562" s="1407" t="s">
        <v>3298</v>
      </c>
      <c r="I562" s="1439">
        <v>843434</v>
      </c>
      <c r="J562" s="473" t="s">
        <v>3152</v>
      </c>
      <c r="K562" s="4414"/>
      <c r="L562" s="4609"/>
      <c r="M562" s="849"/>
      <c r="N562" s="386"/>
      <c r="O562" s="386"/>
      <c r="P562" s="386"/>
      <c r="Q562" s="386"/>
      <c r="R562" s="386"/>
    </row>
    <row r="563" spans="1:18" ht="30" customHeight="1" x14ac:dyDescent="0.2">
      <c r="A563" s="1402"/>
      <c r="B563" s="4488"/>
      <c r="C563" s="4540"/>
      <c r="D563" s="4414"/>
      <c r="E563" s="4516"/>
      <c r="F563" s="4414"/>
      <c r="G563" s="1407">
        <v>4000000</v>
      </c>
      <c r="H563" s="1407" t="s">
        <v>3326</v>
      </c>
      <c r="I563" s="1439">
        <v>123857564687</v>
      </c>
      <c r="J563" s="473" t="s">
        <v>3152</v>
      </c>
      <c r="K563" s="4414"/>
      <c r="L563" s="4609"/>
      <c r="M563" s="849"/>
      <c r="N563" s="386"/>
      <c r="O563" s="386"/>
      <c r="P563" s="386"/>
      <c r="Q563" s="386"/>
      <c r="R563" s="386"/>
    </row>
    <row r="564" spans="1:18" ht="30" customHeight="1" x14ac:dyDescent="0.2">
      <c r="A564" s="1402"/>
      <c r="B564" s="4488"/>
      <c r="C564" s="4540"/>
      <c r="D564" s="4414"/>
      <c r="E564" s="4516"/>
      <c r="F564" s="4414"/>
      <c r="G564" s="1407"/>
      <c r="H564" s="1407"/>
      <c r="I564" s="1439"/>
      <c r="J564" s="473"/>
      <c r="K564" s="4414"/>
      <c r="L564" s="4609"/>
      <c r="M564" s="849"/>
      <c r="N564" s="386"/>
      <c r="O564" s="386"/>
      <c r="P564" s="386"/>
      <c r="Q564" s="386"/>
      <c r="R564" s="386"/>
    </row>
    <row r="565" spans="1:18" ht="30" customHeight="1" x14ac:dyDescent="0.2">
      <c r="A565" s="1402"/>
      <c r="B565" s="4458"/>
      <c r="C565" s="4538"/>
      <c r="D565" s="4415"/>
      <c r="E565" s="4477"/>
      <c r="F565" s="4415"/>
      <c r="G565" s="1407"/>
      <c r="H565" s="1407"/>
      <c r="I565" s="1439"/>
      <c r="J565" s="473"/>
      <c r="K565" s="4415"/>
      <c r="L565" s="4604"/>
      <c r="M565" s="899"/>
      <c r="N565" s="386"/>
      <c r="O565" s="386"/>
      <c r="P565" s="386"/>
      <c r="Q565" s="386"/>
      <c r="R565" s="386"/>
    </row>
    <row r="566" spans="1:18" ht="30" customHeight="1" x14ac:dyDescent="0.2">
      <c r="A566" s="963">
        <v>362</v>
      </c>
      <c r="B566" s="961" t="s">
        <v>1619</v>
      </c>
      <c r="C566" s="982" t="s">
        <v>1652</v>
      </c>
      <c r="D566" s="968">
        <v>300000000</v>
      </c>
      <c r="E566" s="996">
        <v>4.4999999999999998E-2</v>
      </c>
      <c r="F566" s="968">
        <f>D566*E566</f>
        <v>13500000</v>
      </c>
      <c r="G566" s="968">
        <v>13500000</v>
      </c>
      <c r="H566" s="968" t="s">
        <v>2656</v>
      </c>
      <c r="I566" s="391">
        <v>1.4010507054200001E+19</v>
      </c>
      <c r="J566" s="473" t="s">
        <v>1620</v>
      </c>
      <c r="K566" s="968">
        <f t="shared" si="46"/>
        <v>13500000</v>
      </c>
      <c r="L566" s="992">
        <f t="shared" si="47"/>
        <v>0</v>
      </c>
      <c r="M566" s="385"/>
      <c r="N566" s="386"/>
      <c r="O566" s="386"/>
      <c r="P566" s="386"/>
      <c r="Q566" s="386"/>
      <c r="R566" s="386"/>
    </row>
    <row r="567" spans="1:18" ht="30" customHeight="1" x14ac:dyDescent="0.2">
      <c r="A567" s="963">
        <v>363</v>
      </c>
      <c r="B567" s="961" t="s">
        <v>1641</v>
      </c>
      <c r="C567" s="982"/>
      <c r="D567" s="1155"/>
      <c r="E567" s="40"/>
      <c r="F567" s="1155"/>
      <c r="G567" s="968">
        <v>1193000</v>
      </c>
      <c r="H567" s="968" t="s">
        <v>2689</v>
      </c>
      <c r="I567" s="391">
        <v>349323</v>
      </c>
      <c r="J567" s="473" t="s">
        <v>1621</v>
      </c>
      <c r="K567" s="968">
        <f t="shared" si="46"/>
        <v>1193000</v>
      </c>
      <c r="L567" s="992">
        <f t="shared" si="47"/>
        <v>-1193000</v>
      </c>
      <c r="M567" s="385"/>
      <c r="N567" s="386"/>
      <c r="O567" s="386"/>
      <c r="P567" s="386"/>
      <c r="Q567" s="386"/>
      <c r="R567" s="386"/>
    </row>
    <row r="568" spans="1:18" ht="30" customHeight="1" x14ac:dyDescent="0.2">
      <c r="A568" s="963">
        <v>364</v>
      </c>
      <c r="B568" s="961" t="s">
        <v>1637</v>
      </c>
      <c r="C568" s="982"/>
      <c r="D568" s="974"/>
      <c r="E568" s="40"/>
      <c r="F568" s="974"/>
      <c r="G568" s="968">
        <v>6600000</v>
      </c>
      <c r="H568" s="968" t="s">
        <v>2713</v>
      </c>
      <c r="I568" s="391">
        <v>1.4010511054200001E+19</v>
      </c>
      <c r="J568" s="473" t="s">
        <v>2776</v>
      </c>
      <c r="K568" s="968">
        <f t="shared" si="46"/>
        <v>6600000</v>
      </c>
      <c r="L568" s="991">
        <f t="shared" si="47"/>
        <v>-6600000</v>
      </c>
      <c r="M568" s="385"/>
      <c r="N568" s="386"/>
      <c r="O568" s="386"/>
      <c r="P568" s="386"/>
      <c r="Q568" s="386"/>
      <c r="R568" s="386"/>
    </row>
    <row r="569" spans="1:18" ht="30" customHeight="1" x14ac:dyDescent="0.2">
      <c r="A569" s="4459">
        <v>365</v>
      </c>
      <c r="B569" s="4457" t="s">
        <v>1639</v>
      </c>
      <c r="C569" s="4537" t="s">
        <v>1718</v>
      </c>
      <c r="D569" s="1151">
        <v>300000000</v>
      </c>
      <c r="E569" s="1164">
        <v>0.05</v>
      </c>
      <c r="F569" s="1151">
        <f>D569*E569</f>
        <v>15000000</v>
      </c>
      <c r="G569" s="1151">
        <v>25000000</v>
      </c>
      <c r="H569" s="1151" t="s">
        <v>2689</v>
      </c>
      <c r="I569" s="473">
        <v>1.4010510054200199E+19</v>
      </c>
      <c r="J569" s="473" t="s">
        <v>1640</v>
      </c>
      <c r="K569" s="4413">
        <f>G569+G570</f>
        <v>65000000</v>
      </c>
      <c r="L569" s="4603">
        <f>(15000000+50000000)-K569</f>
        <v>0</v>
      </c>
      <c r="M569" s="4603"/>
      <c r="N569" s="386"/>
      <c r="O569" s="386"/>
      <c r="P569" s="386"/>
      <c r="Q569" s="386"/>
      <c r="R569" s="386"/>
    </row>
    <row r="570" spans="1:18" ht="30" customHeight="1" x14ac:dyDescent="0.2">
      <c r="A570" s="4464"/>
      <c r="B570" s="4488"/>
      <c r="C570" s="4540"/>
      <c r="D570" s="4303" t="s">
        <v>2740</v>
      </c>
      <c r="E570" s="4324"/>
      <c r="F570" s="4355"/>
      <c r="G570" s="1151">
        <v>40000000</v>
      </c>
      <c r="H570" s="1151" t="s">
        <v>2803</v>
      </c>
      <c r="I570" s="391">
        <v>23223</v>
      </c>
      <c r="J570" s="473" t="s">
        <v>2808</v>
      </c>
      <c r="K570" s="4415"/>
      <c r="L570" s="4604"/>
      <c r="M570" s="4609"/>
      <c r="N570" s="386"/>
      <c r="O570" s="386"/>
      <c r="P570" s="386"/>
      <c r="Q570" s="386"/>
      <c r="R570" s="386"/>
    </row>
    <row r="571" spans="1:18" ht="30" customHeight="1" x14ac:dyDescent="0.2">
      <c r="A571" s="4460"/>
      <c r="B571" s="4458"/>
      <c r="C571" s="4538"/>
      <c r="D571" s="1151">
        <v>250000000</v>
      </c>
      <c r="E571" s="1164">
        <v>0.05</v>
      </c>
      <c r="F571" s="1151">
        <f>D571*E571</f>
        <v>12500000</v>
      </c>
      <c r="G571" s="4593" t="s">
        <v>2741</v>
      </c>
      <c r="H571" s="4594"/>
      <c r="I571" s="4594"/>
      <c r="J571" s="4594"/>
      <c r="K571" s="4595"/>
      <c r="L571" s="1163"/>
      <c r="M571" s="4604"/>
      <c r="N571" s="386"/>
      <c r="O571" s="386"/>
      <c r="P571" s="386"/>
      <c r="Q571" s="386"/>
      <c r="R571" s="386"/>
    </row>
    <row r="572" spans="1:18" ht="30" customHeight="1" x14ac:dyDescent="0.2">
      <c r="A572" s="963">
        <v>366</v>
      </c>
      <c r="B572" s="961" t="s">
        <v>1719</v>
      </c>
      <c r="C572" s="982" t="s">
        <v>1107</v>
      </c>
      <c r="D572" s="968">
        <v>70000000</v>
      </c>
      <c r="E572" s="996">
        <v>6.3E-2</v>
      </c>
      <c r="F572" s="968">
        <v>4400000</v>
      </c>
      <c r="G572" s="968">
        <v>4400000</v>
      </c>
      <c r="H572" s="968" t="s">
        <v>3214</v>
      </c>
      <c r="I572" s="391">
        <v>1.40105270162936E+17</v>
      </c>
      <c r="J572" s="473" t="s">
        <v>1703</v>
      </c>
      <c r="K572" s="968">
        <f>G572</f>
        <v>4400000</v>
      </c>
      <c r="L572" s="992">
        <f t="shared" ref="L572:L580" si="48">F572-K572</f>
        <v>0</v>
      </c>
      <c r="M572" s="385"/>
      <c r="N572" s="386"/>
      <c r="O572" s="386"/>
      <c r="P572" s="386"/>
      <c r="Q572" s="386"/>
      <c r="R572" s="386"/>
    </row>
    <row r="573" spans="1:18" ht="30" customHeight="1" x14ac:dyDescent="0.2">
      <c r="A573" s="963">
        <v>367</v>
      </c>
      <c r="B573" s="961" t="s">
        <v>1666</v>
      </c>
      <c r="C573" s="982"/>
      <c r="D573" s="974"/>
      <c r="E573" s="40"/>
      <c r="F573" s="974">
        <f>D573*E573</f>
        <v>0</v>
      </c>
      <c r="G573" s="968">
        <v>1250000</v>
      </c>
      <c r="H573" s="968" t="s">
        <v>2705</v>
      </c>
      <c r="I573" s="391">
        <v>895142</v>
      </c>
      <c r="J573" s="473" t="s">
        <v>1667</v>
      </c>
      <c r="K573" s="968">
        <f>G573</f>
        <v>1250000</v>
      </c>
      <c r="L573" s="991">
        <f t="shared" si="48"/>
        <v>-1250000</v>
      </c>
      <c r="M573" s="385"/>
      <c r="N573" s="386"/>
      <c r="O573" s="386"/>
      <c r="P573" s="386"/>
      <c r="Q573" s="386"/>
      <c r="R573" s="386"/>
    </row>
    <row r="574" spans="1:18" ht="30" customHeight="1" x14ac:dyDescent="0.2">
      <c r="A574" s="4459">
        <v>368</v>
      </c>
      <c r="B574" s="4457" t="s">
        <v>1793</v>
      </c>
      <c r="C574" s="4537"/>
      <c r="D574" s="4413">
        <v>800000000</v>
      </c>
      <c r="E574" s="4476">
        <v>7.0000000000000007E-2</v>
      </c>
      <c r="F574" s="4413">
        <f>D574*E574</f>
        <v>56000000.000000007</v>
      </c>
      <c r="G574" s="968">
        <v>25000000</v>
      </c>
      <c r="H574" s="968" t="s">
        <v>2577</v>
      </c>
      <c r="I574" s="391">
        <v>1.4010504016274099E+17</v>
      </c>
      <c r="J574" s="473" t="s">
        <v>2579</v>
      </c>
      <c r="K574" s="4413">
        <f>G574+G575+G576</f>
        <v>56000000</v>
      </c>
      <c r="L574" s="4603">
        <f t="shared" si="48"/>
        <v>0</v>
      </c>
      <c r="M574" s="4603"/>
      <c r="N574" s="386"/>
      <c r="O574" s="386"/>
      <c r="P574" s="386"/>
      <c r="Q574" s="386"/>
      <c r="R574" s="386"/>
    </row>
    <row r="575" spans="1:18" ht="30" customHeight="1" x14ac:dyDescent="0.2">
      <c r="A575" s="4464"/>
      <c r="B575" s="4488"/>
      <c r="C575" s="4540"/>
      <c r="D575" s="4414"/>
      <c r="E575" s="4516"/>
      <c r="F575" s="4414"/>
      <c r="G575" s="1132">
        <v>20000000</v>
      </c>
      <c r="H575" s="1132" t="s">
        <v>2705</v>
      </c>
      <c r="I575" s="391">
        <v>1.4010509015269901E+18</v>
      </c>
      <c r="J575" s="473" t="s">
        <v>2579</v>
      </c>
      <c r="K575" s="4414"/>
      <c r="L575" s="4609"/>
      <c r="M575" s="4609"/>
      <c r="N575" s="386"/>
      <c r="O575" s="386"/>
      <c r="P575" s="386"/>
      <c r="Q575" s="386"/>
      <c r="R575" s="386"/>
    </row>
    <row r="576" spans="1:18" ht="30" customHeight="1" x14ac:dyDescent="0.2">
      <c r="A576" s="4464"/>
      <c r="B576" s="4488"/>
      <c r="C576" s="4540"/>
      <c r="D576" s="4415"/>
      <c r="E576" s="4477"/>
      <c r="F576" s="4415"/>
      <c r="G576" s="1132">
        <v>11000000</v>
      </c>
      <c r="H576" s="1132" t="s">
        <v>2706</v>
      </c>
      <c r="I576" s="391">
        <v>772288</v>
      </c>
      <c r="J576" s="473" t="s">
        <v>2707</v>
      </c>
      <c r="K576" s="4415"/>
      <c r="L576" s="4604"/>
      <c r="M576" s="4604"/>
      <c r="N576" s="386"/>
      <c r="O576" s="386"/>
      <c r="P576" s="386"/>
      <c r="Q576" s="386"/>
      <c r="R576" s="386"/>
    </row>
    <row r="577" spans="1:18" ht="30" customHeight="1" x14ac:dyDescent="0.2">
      <c r="A577" s="4460"/>
      <c r="B577" s="4458"/>
      <c r="C577" s="4538"/>
      <c r="D577" s="1469">
        <v>800000000</v>
      </c>
      <c r="E577" s="1466">
        <v>7.0000000000000007E-2</v>
      </c>
      <c r="F577" s="1469">
        <f>D577*E577</f>
        <v>56000000.000000007</v>
      </c>
      <c r="G577" s="1469">
        <v>16000000</v>
      </c>
      <c r="H577" s="1469" t="s">
        <v>3298</v>
      </c>
      <c r="I577" s="1527">
        <v>464418</v>
      </c>
      <c r="J577" s="473" t="s">
        <v>2579</v>
      </c>
      <c r="K577" s="1469">
        <f>G577</f>
        <v>16000000</v>
      </c>
      <c r="L577" s="1505">
        <f>F577-K577</f>
        <v>40000000.000000007</v>
      </c>
      <c r="M577" s="1502" t="s">
        <v>3169</v>
      </c>
      <c r="N577" s="386"/>
      <c r="O577" s="386"/>
      <c r="P577" s="386"/>
      <c r="Q577" s="386"/>
      <c r="R577" s="386"/>
    </row>
    <row r="578" spans="1:18" ht="30" customHeight="1" x14ac:dyDescent="0.2">
      <c r="A578" s="963">
        <v>369</v>
      </c>
      <c r="B578" s="961" t="s">
        <v>1676</v>
      </c>
      <c r="C578" s="982" t="s">
        <v>1652</v>
      </c>
      <c r="D578" s="968">
        <v>250000000</v>
      </c>
      <c r="E578" s="996">
        <v>0.05</v>
      </c>
      <c r="F578" s="968">
        <f>D578*E578</f>
        <v>12500000</v>
      </c>
      <c r="G578" s="968">
        <v>12500000</v>
      </c>
      <c r="H578" s="968" t="s">
        <v>2634</v>
      </c>
      <c r="I578" s="391">
        <v>55550</v>
      </c>
      <c r="J578" s="473" t="s">
        <v>2655</v>
      </c>
      <c r="K578" s="968">
        <f>G578</f>
        <v>12500000</v>
      </c>
      <c r="L578" s="992">
        <f t="shared" si="48"/>
        <v>0</v>
      </c>
      <c r="M578" s="385"/>
      <c r="N578" s="386"/>
      <c r="O578" s="386"/>
      <c r="P578" s="386"/>
      <c r="Q578" s="386"/>
      <c r="R578" s="386"/>
    </row>
    <row r="579" spans="1:18" ht="30" customHeight="1" x14ac:dyDescent="0.2">
      <c r="A579" s="1954">
        <v>370</v>
      </c>
      <c r="B579" s="19" t="s">
        <v>1696</v>
      </c>
      <c r="C579" s="1960"/>
      <c r="D579" s="1953">
        <v>200000000</v>
      </c>
      <c r="E579" s="1959">
        <v>0.05</v>
      </c>
      <c r="F579" s="1953">
        <f>D579*E579</f>
        <v>10000000</v>
      </c>
      <c r="G579" s="1953"/>
      <c r="H579" s="1953"/>
      <c r="I579" s="1030"/>
      <c r="J579" s="1030" t="s">
        <v>1697</v>
      </c>
      <c r="K579" s="1953">
        <f t="shared" ref="K579:K587" si="49">G579</f>
        <v>0</v>
      </c>
      <c r="L579" s="1952">
        <f t="shared" si="48"/>
        <v>10000000</v>
      </c>
      <c r="M579" s="1957"/>
      <c r="N579" s="386"/>
      <c r="O579" s="386"/>
      <c r="P579" s="386"/>
      <c r="Q579" s="386"/>
      <c r="R579" s="386"/>
    </row>
    <row r="580" spans="1:18" ht="30" customHeight="1" x14ac:dyDescent="0.2">
      <c r="A580" s="963">
        <v>371</v>
      </c>
      <c r="B580" s="961" t="s">
        <v>1698</v>
      </c>
      <c r="C580" s="982" t="s">
        <v>942</v>
      </c>
      <c r="D580" s="968">
        <v>50000000</v>
      </c>
      <c r="E580" s="1955">
        <v>0.04</v>
      </c>
      <c r="F580" s="968">
        <f>D580*E580</f>
        <v>2000000</v>
      </c>
      <c r="G580" s="968">
        <v>2000000</v>
      </c>
      <c r="H580" s="968" t="s">
        <v>2656</v>
      </c>
      <c r="I580" s="391">
        <v>659051583680</v>
      </c>
      <c r="J580" s="473" t="s">
        <v>1699</v>
      </c>
      <c r="K580" s="968">
        <f t="shared" si="49"/>
        <v>2000000</v>
      </c>
      <c r="L580" s="992">
        <f t="shared" si="48"/>
        <v>0</v>
      </c>
      <c r="M580" s="385"/>
      <c r="N580" s="386"/>
      <c r="O580" s="386"/>
      <c r="P580" s="386"/>
      <c r="Q580" s="386"/>
      <c r="R580" s="386"/>
    </row>
    <row r="581" spans="1:18" ht="30" customHeight="1" x14ac:dyDescent="0.2">
      <c r="A581" s="963">
        <v>372</v>
      </c>
      <c r="B581" s="961" t="s">
        <v>1706</v>
      </c>
      <c r="C581" s="982"/>
      <c r="D581" s="974"/>
      <c r="E581" s="40"/>
      <c r="F581" s="974"/>
      <c r="G581" s="968"/>
      <c r="H581" s="968"/>
      <c r="I581" s="391"/>
      <c r="J581" s="473" t="s">
        <v>830</v>
      </c>
      <c r="K581" s="968">
        <f t="shared" si="49"/>
        <v>0</v>
      </c>
      <c r="L581" s="991"/>
      <c r="M581" s="385"/>
      <c r="N581" s="386"/>
      <c r="O581" s="386"/>
      <c r="P581" s="386"/>
      <c r="Q581" s="386"/>
      <c r="R581" s="386"/>
    </row>
    <row r="582" spans="1:18" ht="30" customHeight="1" x14ac:dyDescent="0.2">
      <c r="A582" s="4459">
        <v>373</v>
      </c>
      <c r="B582" s="4457" t="s">
        <v>1725</v>
      </c>
      <c r="C582" s="4537"/>
      <c r="D582" s="968">
        <v>10000000</v>
      </c>
      <c r="E582" s="996">
        <v>0.05</v>
      </c>
      <c r="F582" s="968">
        <f>D582*E582</f>
        <v>500000</v>
      </c>
      <c r="G582" s="968">
        <v>500000</v>
      </c>
      <c r="H582" s="968" t="s">
        <v>2689</v>
      </c>
      <c r="I582" s="391">
        <v>611644</v>
      </c>
      <c r="J582" s="473" t="s">
        <v>1726</v>
      </c>
      <c r="K582" s="968">
        <f t="shared" si="49"/>
        <v>500000</v>
      </c>
      <c r="L582" s="992">
        <f t="shared" ref="L582:L589" si="50">F582-K582</f>
        <v>0</v>
      </c>
      <c r="M582" s="385"/>
      <c r="N582" s="386"/>
      <c r="O582" s="386"/>
      <c r="P582" s="386"/>
      <c r="Q582" s="386"/>
      <c r="R582" s="386"/>
    </row>
    <row r="583" spans="1:18" ht="30" customHeight="1" x14ac:dyDescent="0.2">
      <c r="A583" s="4460"/>
      <c r="B583" s="4458"/>
      <c r="C583" s="4538"/>
      <c r="D583" s="1151">
        <v>20000000</v>
      </c>
      <c r="E583" s="1164"/>
      <c r="F583" s="1151"/>
      <c r="G583" s="4593" t="s">
        <v>2771</v>
      </c>
      <c r="H583" s="4594"/>
      <c r="I583" s="4594"/>
      <c r="J583" s="4594"/>
      <c r="K583" s="4595"/>
      <c r="L583" s="1163"/>
      <c r="M583" s="385"/>
      <c r="N583" s="386"/>
      <c r="O583" s="386"/>
      <c r="P583" s="386"/>
      <c r="Q583" s="386"/>
      <c r="R583" s="386"/>
    </row>
    <row r="584" spans="1:18" ht="30" customHeight="1" x14ac:dyDescent="0.2">
      <c r="A584" s="963">
        <v>374</v>
      </c>
      <c r="B584" s="961" t="s">
        <v>1727</v>
      </c>
      <c r="C584" s="982"/>
      <c r="D584" s="974"/>
      <c r="E584" s="40"/>
      <c r="F584" s="974"/>
      <c r="G584" s="968"/>
      <c r="H584" s="968"/>
      <c r="I584" s="391"/>
      <c r="J584" s="473" t="s">
        <v>1728</v>
      </c>
      <c r="K584" s="968">
        <f t="shared" si="49"/>
        <v>0</v>
      </c>
      <c r="L584" s="991">
        <f t="shared" si="50"/>
        <v>0</v>
      </c>
      <c r="M584" s="385"/>
      <c r="N584" s="386"/>
      <c r="O584" s="386"/>
      <c r="P584" s="386"/>
      <c r="Q584" s="386"/>
      <c r="R584" s="386"/>
    </row>
    <row r="585" spans="1:18" ht="30" customHeight="1" x14ac:dyDescent="0.2">
      <c r="A585" s="963">
        <v>375</v>
      </c>
      <c r="B585" s="961" t="s">
        <v>1735</v>
      </c>
      <c r="C585" s="982"/>
      <c r="D585" s="968">
        <v>100000000</v>
      </c>
      <c r="E585" s="996">
        <v>0.05</v>
      </c>
      <c r="F585" s="968">
        <f>D585*E585</f>
        <v>5000000</v>
      </c>
      <c r="G585" s="968">
        <v>5000000</v>
      </c>
      <c r="H585" s="968" t="s">
        <v>2634</v>
      </c>
      <c r="I585" s="391">
        <v>897597124</v>
      </c>
      <c r="J585" s="473" t="s">
        <v>1736</v>
      </c>
      <c r="K585" s="968">
        <f t="shared" si="49"/>
        <v>5000000</v>
      </c>
      <c r="L585" s="992">
        <f t="shared" si="50"/>
        <v>0</v>
      </c>
      <c r="M585" s="385"/>
      <c r="N585" s="386"/>
      <c r="O585" s="386"/>
      <c r="P585" s="386"/>
      <c r="Q585" s="386"/>
      <c r="R585" s="386"/>
    </row>
    <row r="586" spans="1:18" ht="30" customHeight="1" x14ac:dyDescent="0.2">
      <c r="A586" s="963">
        <v>376</v>
      </c>
      <c r="B586" s="961" t="s">
        <v>1741</v>
      </c>
      <c r="C586" s="982"/>
      <c r="D586" s="974"/>
      <c r="E586" s="40"/>
      <c r="F586" s="974"/>
      <c r="G586" s="968">
        <v>3000000</v>
      </c>
      <c r="H586" s="968" t="s">
        <v>2803</v>
      </c>
      <c r="I586" s="391">
        <v>343155</v>
      </c>
      <c r="J586" s="473" t="s">
        <v>1743</v>
      </c>
      <c r="K586" s="968">
        <f t="shared" si="49"/>
        <v>3000000</v>
      </c>
      <c r="L586" s="991">
        <f t="shared" si="50"/>
        <v>-3000000</v>
      </c>
      <c r="M586" s="385"/>
      <c r="N586" s="386"/>
      <c r="O586" s="386"/>
      <c r="P586" s="386"/>
      <c r="Q586" s="386"/>
      <c r="R586" s="386"/>
    </row>
    <row r="587" spans="1:18" ht="30" customHeight="1" x14ac:dyDescent="0.2">
      <c r="A587" s="963">
        <v>377</v>
      </c>
      <c r="B587" s="961" t="s">
        <v>1752</v>
      </c>
      <c r="C587" s="982" t="s">
        <v>1652</v>
      </c>
      <c r="D587" s="968">
        <v>153000000</v>
      </c>
      <c r="E587" s="996">
        <v>7.0000000000000007E-2</v>
      </c>
      <c r="F587" s="968">
        <f>D587*E587</f>
        <v>10710000.000000002</v>
      </c>
      <c r="G587" s="968">
        <v>10710000</v>
      </c>
      <c r="H587" s="968" t="s">
        <v>2689</v>
      </c>
      <c r="I587" s="391">
        <v>464434</v>
      </c>
      <c r="J587" s="473" t="s">
        <v>1952</v>
      </c>
      <c r="K587" s="968">
        <f t="shared" si="49"/>
        <v>10710000</v>
      </c>
      <c r="L587" s="992">
        <f t="shared" si="50"/>
        <v>0</v>
      </c>
      <c r="M587" s="385"/>
      <c r="N587" s="386"/>
      <c r="O587" s="386"/>
      <c r="P587" s="386"/>
      <c r="Q587" s="386"/>
      <c r="R587" s="386"/>
    </row>
    <row r="588" spans="1:18" ht="30" customHeight="1" x14ac:dyDescent="0.2">
      <c r="A588" s="963">
        <v>378</v>
      </c>
      <c r="B588" s="961" t="s">
        <v>1790</v>
      </c>
      <c r="C588" s="982" t="s">
        <v>889</v>
      </c>
      <c r="D588" s="968">
        <v>300000000</v>
      </c>
      <c r="E588" s="996">
        <v>5.0999999999999997E-2</v>
      </c>
      <c r="F588" s="968">
        <v>15500000</v>
      </c>
      <c r="G588" s="968">
        <v>15500000</v>
      </c>
      <c r="H588" s="968" t="s">
        <v>2713</v>
      </c>
      <c r="I588" s="391">
        <v>464445</v>
      </c>
      <c r="J588" s="473" t="s">
        <v>3062</v>
      </c>
      <c r="K588" s="968">
        <f>G588</f>
        <v>15500000</v>
      </c>
      <c r="L588" s="992">
        <f t="shared" si="50"/>
        <v>0</v>
      </c>
      <c r="M588" s="385"/>
      <c r="N588" s="386"/>
      <c r="O588" s="386"/>
      <c r="P588" s="386"/>
      <c r="Q588" s="386"/>
      <c r="R588" s="386"/>
    </row>
    <row r="589" spans="1:18" ht="30" customHeight="1" x14ac:dyDescent="0.2">
      <c r="A589" s="4459">
        <v>379</v>
      </c>
      <c r="B589" s="4457" t="s">
        <v>1753</v>
      </c>
      <c r="C589" s="4537" t="s">
        <v>372</v>
      </c>
      <c r="D589" s="4413">
        <v>50000000</v>
      </c>
      <c r="E589" s="4476">
        <v>0.04</v>
      </c>
      <c r="F589" s="4413">
        <f>D589*E589</f>
        <v>2000000</v>
      </c>
      <c r="G589" s="4413">
        <v>2000000</v>
      </c>
      <c r="H589" s="4413" t="s">
        <v>2803</v>
      </c>
      <c r="I589" s="4789">
        <v>904832</v>
      </c>
      <c r="J589" s="4789" t="s">
        <v>1836</v>
      </c>
      <c r="K589" s="4413">
        <f>G589+G590</f>
        <v>2000000</v>
      </c>
      <c r="L589" s="4603">
        <f t="shared" si="50"/>
        <v>0</v>
      </c>
      <c r="M589" s="4603"/>
      <c r="N589" s="386"/>
      <c r="O589" s="386"/>
      <c r="P589" s="386"/>
      <c r="Q589" s="386"/>
      <c r="R589" s="386"/>
    </row>
    <row r="590" spans="1:18" ht="30" customHeight="1" x14ac:dyDescent="0.2">
      <c r="A590" s="4460"/>
      <c r="B590" s="4458"/>
      <c r="C590" s="4538"/>
      <c r="D590" s="4415"/>
      <c r="E590" s="4477"/>
      <c r="F590" s="4415"/>
      <c r="G590" s="4415"/>
      <c r="H590" s="4415"/>
      <c r="I590" s="4790"/>
      <c r="J590" s="4790"/>
      <c r="K590" s="4415"/>
      <c r="L590" s="4604"/>
      <c r="M590" s="4604"/>
      <c r="N590" s="386"/>
      <c r="O590" s="386"/>
      <c r="P590" s="386"/>
      <c r="Q590" s="386"/>
      <c r="R590" s="386"/>
    </row>
    <row r="591" spans="1:18" ht="30" customHeight="1" x14ac:dyDescent="0.2">
      <c r="A591" s="963">
        <v>380</v>
      </c>
      <c r="B591" s="961" t="s">
        <v>1795</v>
      </c>
      <c r="C591" s="982" t="s">
        <v>1100</v>
      </c>
      <c r="D591" s="968">
        <v>10000000</v>
      </c>
      <c r="E591" s="996">
        <v>0.05</v>
      </c>
      <c r="F591" s="968">
        <f>D591*E591</f>
        <v>500000</v>
      </c>
      <c r="G591" s="968"/>
      <c r="H591" s="968"/>
      <c r="I591" s="391"/>
      <c r="J591" s="473" t="s">
        <v>1870</v>
      </c>
      <c r="K591" s="968">
        <f>G591</f>
        <v>0</v>
      </c>
      <c r="L591" s="992">
        <f>F591-K591</f>
        <v>500000</v>
      </c>
      <c r="M591" s="385" t="s">
        <v>1871</v>
      </c>
      <c r="N591" s="386"/>
      <c r="O591" s="386"/>
      <c r="P591" s="386"/>
      <c r="Q591" s="386"/>
      <c r="R591" s="386"/>
    </row>
    <row r="592" spans="1:18" ht="30" customHeight="1" x14ac:dyDescent="0.2">
      <c r="A592" s="963">
        <v>381</v>
      </c>
      <c r="B592" s="961" t="s">
        <v>1797</v>
      </c>
      <c r="C592" s="982" t="s">
        <v>889</v>
      </c>
      <c r="D592" s="968">
        <v>50000000</v>
      </c>
      <c r="E592" s="996">
        <v>0.05</v>
      </c>
      <c r="F592" s="968">
        <f>D592*E592</f>
        <v>2500000</v>
      </c>
      <c r="G592" s="968">
        <v>2500000</v>
      </c>
      <c r="H592" s="968" t="s">
        <v>2577</v>
      </c>
      <c r="I592" s="391">
        <v>546167</v>
      </c>
      <c r="J592" s="473" t="s">
        <v>2584</v>
      </c>
      <c r="K592" s="968">
        <f>G592</f>
        <v>2500000</v>
      </c>
      <c r="L592" s="992">
        <f>F592-K592</f>
        <v>0</v>
      </c>
      <c r="M592" s="385"/>
      <c r="N592" s="386"/>
      <c r="O592" s="386"/>
      <c r="P592" s="386"/>
      <c r="Q592" s="386"/>
      <c r="R592" s="386"/>
    </row>
    <row r="593" spans="1:18" ht="30" customHeight="1" x14ac:dyDescent="0.2">
      <c r="A593" s="963">
        <v>382</v>
      </c>
      <c r="B593" s="961" t="s">
        <v>1812</v>
      </c>
      <c r="C593" s="982" t="s">
        <v>262</v>
      </c>
      <c r="D593" s="968">
        <v>150000000</v>
      </c>
      <c r="E593" s="996"/>
      <c r="F593" s="968"/>
      <c r="G593" s="968"/>
      <c r="H593" s="968"/>
      <c r="I593" s="391"/>
      <c r="J593" s="473"/>
      <c r="K593" s="968"/>
      <c r="L593" s="992"/>
      <c r="M593" s="385"/>
      <c r="N593" s="386"/>
      <c r="O593" s="386"/>
      <c r="P593" s="386"/>
      <c r="Q593" s="386"/>
      <c r="R593" s="386"/>
    </row>
    <row r="594" spans="1:18" ht="30" customHeight="1" x14ac:dyDescent="0.2">
      <c r="A594" s="963">
        <v>383</v>
      </c>
      <c r="B594" s="961" t="s">
        <v>1823</v>
      </c>
      <c r="C594" s="982" t="s">
        <v>262</v>
      </c>
      <c r="D594" s="968">
        <v>10000000</v>
      </c>
      <c r="E594" s="996">
        <v>7.0000000000000007E-2</v>
      </c>
      <c r="F594" s="968">
        <f>D594*E594</f>
        <v>700000.00000000012</v>
      </c>
      <c r="G594" s="968">
        <v>700000</v>
      </c>
      <c r="H594" s="968" t="s">
        <v>2916</v>
      </c>
      <c r="I594" s="391">
        <v>244147</v>
      </c>
      <c r="J594" s="473" t="s">
        <v>2928</v>
      </c>
      <c r="K594" s="968">
        <f>G594</f>
        <v>700000</v>
      </c>
      <c r="L594" s="992">
        <f>F594-K594</f>
        <v>0</v>
      </c>
      <c r="M594" s="385"/>
      <c r="N594" s="386"/>
      <c r="O594" s="386"/>
      <c r="P594" s="386"/>
      <c r="Q594" s="386"/>
      <c r="R594" s="386"/>
    </row>
    <row r="595" spans="1:18" ht="30" customHeight="1" x14ac:dyDescent="0.2">
      <c r="A595" s="625">
        <v>384</v>
      </c>
      <c r="B595" s="961" t="s">
        <v>1861</v>
      </c>
      <c r="C595" s="982" t="s">
        <v>262</v>
      </c>
      <c r="D595" s="968">
        <v>150000000</v>
      </c>
      <c r="E595" s="996">
        <v>7.0000000000000007E-2</v>
      </c>
      <c r="F595" s="968">
        <f>D595*E595</f>
        <v>10500000.000000002</v>
      </c>
      <c r="G595" s="968">
        <v>10500000</v>
      </c>
      <c r="H595" s="968" t="s">
        <v>2897</v>
      </c>
      <c r="I595" s="391">
        <v>37957</v>
      </c>
      <c r="J595" s="473" t="s">
        <v>1960</v>
      </c>
      <c r="K595" s="968">
        <f>G595</f>
        <v>10500000</v>
      </c>
      <c r="L595" s="992">
        <f>F595-K595</f>
        <v>0</v>
      </c>
      <c r="M595" s="385"/>
      <c r="N595" s="386"/>
      <c r="O595" s="386"/>
      <c r="P595" s="386"/>
      <c r="Q595" s="386"/>
      <c r="R595" s="386"/>
    </row>
    <row r="596" spans="1:18" ht="30" customHeight="1" x14ac:dyDescent="0.2">
      <c r="A596" s="963">
        <v>385</v>
      </c>
      <c r="B596" s="961" t="s">
        <v>1877</v>
      </c>
      <c r="C596" s="982" t="s">
        <v>371</v>
      </c>
      <c r="D596" s="968">
        <v>12000000</v>
      </c>
      <c r="E596" s="996">
        <v>0.05</v>
      </c>
      <c r="F596" s="968">
        <f>D596*E596</f>
        <v>600000</v>
      </c>
      <c r="G596" s="968">
        <v>600000</v>
      </c>
      <c r="H596" s="968" t="s">
        <v>1916</v>
      </c>
      <c r="I596" s="391">
        <v>639443</v>
      </c>
      <c r="J596" s="473" t="s">
        <v>2855</v>
      </c>
      <c r="K596" s="968">
        <f>G596</f>
        <v>600000</v>
      </c>
      <c r="L596" s="992">
        <f>F596-K596</f>
        <v>0</v>
      </c>
      <c r="M596" s="385" t="s">
        <v>1878</v>
      </c>
      <c r="N596" s="386"/>
      <c r="O596" s="386"/>
      <c r="P596" s="386"/>
      <c r="Q596" s="386"/>
      <c r="R596" s="386"/>
    </row>
    <row r="597" spans="1:18" ht="30" customHeight="1" x14ac:dyDescent="0.2">
      <c r="A597" s="4459">
        <v>386</v>
      </c>
      <c r="B597" s="4457" t="s">
        <v>3092</v>
      </c>
      <c r="C597" s="4537" t="s">
        <v>1306</v>
      </c>
      <c r="D597" s="4413">
        <v>200000000</v>
      </c>
      <c r="E597" s="4476">
        <v>0.06</v>
      </c>
      <c r="F597" s="4413">
        <f>D597*E597</f>
        <v>12000000</v>
      </c>
      <c r="G597" s="968">
        <v>5000000</v>
      </c>
      <c r="H597" s="968" t="s">
        <v>2634</v>
      </c>
      <c r="I597" s="391">
        <v>897740174</v>
      </c>
      <c r="J597" s="473" t="s">
        <v>2653</v>
      </c>
      <c r="K597" s="4413">
        <f>G597+G598</f>
        <v>12000000</v>
      </c>
      <c r="L597" s="4603">
        <f>F597-K597</f>
        <v>0</v>
      </c>
      <c r="M597" s="4603"/>
      <c r="N597" s="386"/>
      <c r="O597" s="386"/>
      <c r="P597" s="386"/>
      <c r="Q597" s="386"/>
      <c r="R597" s="386"/>
    </row>
    <row r="598" spans="1:18" ht="30" customHeight="1" x14ac:dyDescent="0.2">
      <c r="A598" s="4464"/>
      <c r="B598" s="4488"/>
      <c r="C598" s="4540"/>
      <c r="D598" s="4414"/>
      <c r="E598" s="4516"/>
      <c r="F598" s="4414"/>
      <c r="G598" s="1092">
        <v>7000000</v>
      </c>
      <c r="H598" s="1092" t="s">
        <v>2656</v>
      </c>
      <c r="I598" s="391">
        <v>536161</v>
      </c>
      <c r="J598" s="473" t="s">
        <v>2664</v>
      </c>
      <c r="K598" s="4415"/>
      <c r="L598" s="4604"/>
      <c r="M598" s="4604"/>
      <c r="N598" s="386"/>
      <c r="O598" s="386"/>
      <c r="P598" s="386"/>
      <c r="Q598" s="386"/>
      <c r="R598" s="386"/>
    </row>
    <row r="599" spans="1:18" ht="30" customHeight="1" x14ac:dyDescent="0.2">
      <c r="A599" s="4460"/>
      <c r="B599" s="4458"/>
      <c r="C599" s="4538"/>
      <c r="D599" s="4415"/>
      <c r="E599" s="4477"/>
      <c r="F599" s="4415"/>
      <c r="G599" s="1280">
        <v>12000000</v>
      </c>
      <c r="H599" s="1280" t="s">
        <v>3083</v>
      </c>
      <c r="I599" s="1298" t="s">
        <v>3093</v>
      </c>
      <c r="J599" s="789" t="s">
        <v>1943</v>
      </c>
      <c r="K599" s="1280"/>
      <c r="L599" s="1289"/>
      <c r="M599" s="1288"/>
      <c r="N599" s="386"/>
      <c r="O599" s="386"/>
      <c r="P599" s="386"/>
      <c r="Q599" s="386"/>
      <c r="R599" s="386"/>
    </row>
    <row r="600" spans="1:18" ht="30" customHeight="1" x14ac:dyDescent="0.2">
      <c r="A600" s="4459">
        <v>387</v>
      </c>
      <c r="B600" s="4457" t="s">
        <v>1923</v>
      </c>
      <c r="C600" s="4537"/>
      <c r="D600" s="4413">
        <v>60000000</v>
      </c>
      <c r="E600" s="4476">
        <v>0.04</v>
      </c>
      <c r="F600" s="4413">
        <f>D600*E600</f>
        <v>2400000</v>
      </c>
      <c r="G600" s="1312">
        <v>2000000</v>
      </c>
      <c r="H600" s="1312" t="s">
        <v>3144</v>
      </c>
      <c r="I600" s="1330">
        <v>1.40105240182512E+17</v>
      </c>
      <c r="J600" s="473" t="s">
        <v>1924</v>
      </c>
      <c r="K600" s="4413">
        <f>G600+G601</f>
        <v>2400000</v>
      </c>
      <c r="L600" s="4603">
        <f>F600-K600</f>
        <v>0</v>
      </c>
      <c r="M600" s="4603"/>
      <c r="N600" s="386"/>
      <c r="O600" s="386"/>
      <c r="P600" s="386"/>
      <c r="Q600" s="386"/>
      <c r="R600" s="386"/>
    </row>
    <row r="601" spans="1:18" ht="30" customHeight="1" x14ac:dyDescent="0.2">
      <c r="A601" s="4460"/>
      <c r="B601" s="4458"/>
      <c r="C601" s="4538"/>
      <c r="D601" s="4415"/>
      <c r="E601" s="4477"/>
      <c r="F601" s="4415"/>
      <c r="G601" s="1312">
        <v>400000</v>
      </c>
      <c r="H601" s="1312" t="s">
        <v>3227</v>
      </c>
      <c r="I601" s="1330">
        <v>242557</v>
      </c>
      <c r="J601" s="473" t="s">
        <v>3246</v>
      </c>
      <c r="K601" s="4415"/>
      <c r="L601" s="4604"/>
      <c r="M601" s="4604"/>
      <c r="N601" s="386"/>
      <c r="O601" s="386"/>
      <c r="P601" s="386"/>
      <c r="Q601" s="386"/>
      <c r="R601" s="386"/>
    </row>
    <row r="602" spans="1:18" ht="30" customHeight="1" x14ac:dyDescent="0.2">
      <c r="A602" s="4459">
        <v>389</v>
      </c>
      <c r="B602" s="4457" t="s">
        <v>1953</v>
      </c>
      <c r="C602" s="4537" t="s">
        <v>3302</v>
      </c>
      <c r="D602" s="968">
        <v>30000000</v>
      </c>
      <c r="E602" s="996">
        <v>0.05</v>
      </c>
      <c r="F602" s="968">
        <f>D602*E602</f>
        <v>1500000</v>
      </c>
      <c r="G602" s="968">
        <v>1500000</v>
      </c>
      <c r="H602" s="968" t="s">
        <v>2916</v>
      </c>
      <c r="I602" s="391">
        <v>854237</v>
      </c>
      <c r="J602" s="473" t="s">
        <v>1954</v>
      </c>
      <c r="K602" s="968">
        <f>G602</f>
        <v>1500000</v>
      </c>
      <c r="L602" s="992">
        <f>F602-K602</f>
        <v>0</v>
      </c>
      <c r="M602" s="385" t="s">
        <v>1955</v>
      </c>
      <c r="N602" s="386"/>
      <c r="O602" s="386"/>
      <c r="P602" s="386"/>
      <c r="Q602" s="386"/>
      <c r="R602" s="386"/>
    </row>
    <row r="603" spans="1:18" ht="30" customHeight="1" x14ac:dyDescent="0.2">
      <c r="A603" s="4464"/>
      <c r="B603" s="4488"/>
      <c r="C603" s="4540"/>
      <c r="D603" s="1334">
        <v>110000000</v>
      </c>
      <c r="E603" s="1336"/>
      <c r="F603" s="1334"/>
      <c r="G603" s="4593" t="s">
        <v>3210</v>
      </c>
      <c r="H603" s="4594"/>
      <c r="I603" s="4594"/>
      <c r="J603" s="4594"/>
      <c r="K603" s="4595"/>
      <c r="L603" s="1335"/>
      <c r="M603" s="385"/>
      <c r="N603" s="386"/>
      <c r="O603" s="386"/>
      <c r="P603" s="386"/>
      <c r="Q603" s="386"/>
      <c r="R603" s="386"/>
    </row>
    <row r="604" spans="1:18" ht="30" customHeight="1" x14ac:dyDescent="0.2">
      <c r="A604" s="4460"/>
      <c r="B604" s="4458"/>
      <c r="C604" s="4538"/>
      <c r="D604" s="1394">
        <v>150000000</v>
      </c>
      <c r="E604" s="1399">
        <v>0.05</v>
      </c>
      <c r="F604" s="1394">
        <f>D604*E604</f>
        <v>7500000</v>
      </c>
      <c r="G604" s="4764" t="s">
        <v>3300</v>
      </c>
      <c r="H604" s="4765"/>
      <c r="I604" s="4765"/>
      <c r="J604" s="4765"/>
      <c r="K604" s="4766"/>
      <c r="L604" s="1397"/>
      <c r="M604" s="385" t="s">
        <v>3301</v>
      </c>
      <c r="N604" s="386"/>
      <c r="O604" s="386"/>
      <c r="P604" s="386"/>
      <c r="Q604" s="386"/>
      <c r="R604" s="386"/>
    </row>
    <row r="605" spans="1:18" ht="30" customHeight="1" x14ac:dyDescent="0.2">
      <c r="A605" s="963">
        <v>390</v>
      </c>
      <c r="B605" s="961" t="s">
        <v>1996</v>
      </c>
      <c r="C605" s="982"/>
      <c r="D605" s="968">
        <v>5000000</v>
      </c>
      <c r="E605" s="996">
        <v>0.05</v>
      </c>
      <c r="F605" s="968">
        <f>D605*E605</f>
        <v>250000</v>
      </c>
      <c r="G605" s="968">
        <v>250000</v>
      </c>
      <c r="H605" s="968" t="s">
        <v>2532</v>
      </c>
      <c r="I605" s="391">
        <v>534425</v>
      </c>
      <c r="J605" s="473" t="s">
        <v>2533</v>
      </c>
      <c r="K605" s="968">
        <f>G605</f>
        <v>250000</v>
      </c>
      <c r="L605" s="992">
        <f>F605-K605</f>
        <v>0</v>
      </c>
      <c r="M605" s="385"/>
      <c r="N605" s="386"/>
      <c r="O605" s="386"/>
      <c r="P605" s="386"/>
      <c r="Q605" s="386"/>
      <c r="R605" s="386"/>
    </row>
    <row r="606" spans="1:18" ht="30" customHeight="1" x14ac:dyDescent="0.2">
      <c r="A606" s="4459">
        <v>391</v>
      </c>
      <c r="B606" s="4457" t="s">
        <v>2003</v>
      </c>
      <c r="C606" s="4537" t="s">
        <v>2004</v>
      </c>
      <c r="D606" s="968">
        <v>1158000000</v>
      </c>
      <c r="E606" s="996">
        <v>0.05</v>
      </c>
      <c r="F606" s="968">
        <v>58000000</v>
      </c>
      <c r="G606" s="4657" t="s">
        <v>2366</v>
      </c>
      <c r="H606" s="4658"/>
      <c r="I606" s="4658"/>
      <c r="J606" s="4658"/>
      <c r="K606" s="4658"/>
      <c r="L606" s="4659"/>
      <c r="M606" s="4675" t="s">
        <v>2367</v>
      </c>
      <c r="N606" s="386"/>
      <c r="O606" s="386"/>
      <c r="P606" s="386"/>
      <c r="Q606" s="386"/>
      <c r="R606" s="386"/>
    </row>
    <row r="607" spans="1:18" ht="30" customHeight="1" x14ac:dyDescent="0.2">
      <c r="A607" s="4464"/>
      <c r="B607" s="4488"/>
      <c r="C607" s="4540"/>
      <c r="D607" s="4325" t="s">
        <v>3203</v>
      </c>
      <c r="E607" s="4326"/>
      <c r="F607" s="4563"/>
      <c r="G607" s="4660"/>
      <c r="H607" s="4661"/>
      <c r="I607" s="4661"/>
      <c r="J607" s="4661"/>
      <c r="K607" s="4661"/>
      <c r="L607" s="4662"/>
      <c r="M607" s="4676"/>
      <c r="N607" s="386"/>
      <c r="O607" s="386"/>
      <c r="P607" s="386"/>
      <c r="Q607" s="386"/>
      <c r="R607" s="386"/>
    </row>
    <row r="608" spans="1:18" ht="30" customHeight="1" x14ac:dyDescent="0.2">
      <c r="A608" s="4464"/>
      <c r="B608" s="4488"/>
      <c r="C608" s="4540"/>
      <c r="D608" s="4612"/>
      <c r="E608" s="4359"/>
      <c r="F608" s="4613"/>
      <c r="G608" s="4705" t="s">
        <v>3199</v>
      </c>
      <c r="H608" s="4706"/>
      <c r="I608" s="4706"/>
      <c r="J608" s="4706"/>
      <c r="K608" s="4706"/>
      <c r="L608" s="4539">
        <f>200000000+K609</f>
        <v>216000000</v>
      </c>
      <c r="M608" s="4675" t="s">
        <v>2919</v>
      </c>
      <c r="N608" s="386"/>
      <c r="O608" s="386"/>
      <c r="P608" s="386"/>
      <c r="Q608" s="386"/>
      <c r="R608" s="386"/>
    </row>
    <row r="609" spans="1:18" ht="30" customHeight="1" x14ac:dyDescent="0.2">
      <c r="A609" s="4464"/>
      <c r="B609" s="4488"/>
      <c r="C609" s="4540"/>
      <c r="D609" s="4564"/>
      <c r="E609" s="4596"/>
      <c r="F609" s="4565"/>
      <c r="G609" s="1320">
        <v>16000000</v>
      </c>
      <c r="H609" s="1320" t="s">
        <v>3189</v>
      </c>
      <c r="I609" s="1330" t="s">
        <v>3201</v>
      </c>
      <c r="J609" s="1320" t="s">
        <v>3200</v>
      </c>
      <c r="K609" s="1309">
        <f>G609</f>
        <v>16000000</v>
      </c>
      <c r="L609" s="4539"/>
      <c r="M609" s="4676"/>
      <c r="N609" s="386"/>
      <c r="O609" s="386"/>
      <c r="P609" s="386"/>
      <c r="Q609" s="386"/>
      <c r="R609" s="386"/>
    </row>
    <row r="610" spans="1:18" ht="30" customHeight="1" x14ac:dyDescent="0.2">
      <c r="A610" s="4460"/>
      <c r="B610" s="4458"/>
      <c r="C610" s="4538"/>
      <c r="D610" s="1320">
        <v>1000000000</v>
      </c>
      <c r="E610" s="40">
        <v>0.05</v>
      </c>
      <c r="F610" s="1318"/>
      <c r="G610" s="4623" t="s">
        <v>3202</v>
      </c>
      <c r="H610" s="4624"/>
      <c r="I610" s="4624"/>
      <c r="J610" s="4624"/>
      <c r="K610" s="4624"/>
      <c r="L610" s="4625"/>
      <c r="M610" s="1329"/>
      <c r="N610" s="386"/>
      <c r="O610" s="386"/>
      <c r="P610" s="386"/>
      <c r="Q610" s="386"/>
      <c r="R610" s="386"/>
    </row>
    <row r="611" spans="1:18" ht="30" customHeight="1" x14ac:dyDescent="0.2">
      <c r="A611" s="963">
        <v>392</v>
      </c>
      <c r="B611" s="961" t="s">
        <v>2048</v>
      </c>
      <c r="C611" s="982" t="s">
        <v>1294</v>
      </c>
      <c r="D611" s="968">
        <v>50000000</v>
      </c>
      <c r="E611" s="996">
        <v>0.05</v>
      </c>
      <c r="F611" s="968">
        <f>D611*E611</f>
        <v>2500000</v>
      </c>
      <c r="G611" s="968">
        <v>2500000</v>
      </c>
      <c r="H611" s="968" t="s">
        <v>3004</v>
      </c>
      <c r="I611" s="391">
        <v>519751</v>
      </c>
      <c r="J611" s="473" t="s">
        <v>3047</v>
      </c>
      <c r="K611" s="968">
        <f>G611</f>
        <v>2500000</v>
      </c>
      <c r="L611" s="992">
        <f>F611-K611</f>
        <v>0</v>
      </c>
      <c r="M611" s="385" t="s">
        <v>2036</v>
      </c>
      <c r="N611" s="386"/>
      <c r="O611" s="386"/>
      <c r="P611" s="386"/>
      <c r="Q611" s="386"/>
      <c r="R611" s="386"/>
    </row>
    <row r="612" spans="1:18" ht="30" customHeight="1" x14ac:dyDescent="0.2">
      <c r="A612" s="963">
        <v>393</v>
      </c>
      <c r="B612" s="961" t="s">
        <v>2040</v>
      </c>
      <c r="C612" s="982"/>
      <c r="D612" s="974"/>
      <c r="E612" s="40"/>
      <c r="F612" s="974"/>
      <c r="G612" s="968">
        <v>1500000</v>
      </c>
      <c r="H612" s="968" t="s">
        <v>3002</v>
      </c>
      <c r="I612" s="391">
        <v>155648</v>
      </c>
      <c r="J612" s="473" t="s">
        <v>2041</v>
      </c>
      <c r="K612" s="968">
        <f>G612</f>
        <v>1500000</v>
      </c>
      <c r="L612" s="991">
        <f>F612-K612</f>
        <v>-1500000</v>
      </c>
      <c r="M612" s="385"/>
      <c r="N612" s="386"/>
      <c r="O612" s="386"/>
      <c r="P612" s="386"/>
      <c r="Q612" s="386"/>
      <c r="R612" s="386"/>
    </row>
    <row r="613" spans="1:18" ht="30" customHeight="1" x14ac:dyDescent="0.2">
      <c r="A613" s="963"/>
      <c r="B613" s="677" t="s">
        <v>2052</v>
      </c>
      <c r="C613" s="678" t="s">
        <v>1306</v>
      </c>
      <c r="D613" s="679">
        <v>600000000</v>
      </c>
      <c r="E613" s="680">
        <v>0.06</v>
      </c>
      <c r="F613" s="679">
        <f>D613*E613</f>
        <v>36000000</v>
      </c>
      <c r="G613" s="968"/>
      <c r="H613" s="968"/>
      <c r="I613" s="391"/>
      <c r="J613" s="473"/>
      <c r="K613" s="968"/>
      <c r="L613" s="992"/>
      <c r="M613" s="385" t="s">
        <v>2036</v>
      </c>
      <c r="N613" s="386"/>
      <c r="O613" s="386"/>
      <c r="P613" s="386"/>
      <c r="Q613" s="386"/>
      <c r="R613" s="386"/>
    </row>
    <row r="614" spans="1:18" ht="30" customHeight="1" x14ac:dyDescent="0.2">
      <c r="A614" s="963"/>
      <c r="B614" s="677" t="s">
        <v>2049</v>
      </c>
      <c r="C614" s="678" t="s">
        <v>1306</v>
      </c>
      <c r="D614" s="679">
        <v>310000000</v>
      </c>
      <c r="E614" s="680">
        <v>0.06</v>
      </c>
      <c r="F614" s="679">
        <f t="shared" ref="F614:F617" si="51">D614*E614</f>
        <v>18600000</v>
      </c>
      <c r="G614" s="968"/>
      <c r="H614" s="968"/>
      <c r="I614" s="391"/>
      <c r="J614" s="473"/>
      <c r="K614" s="968"/>
      <c r="L614" s="992"/>
      <c r="M614" s="385" t="s">
        <v>2036</v>
      </c>
      <c r="N614" s="386"/>
      <c r="O614" s="386"/>
      <c r="P614" s="386"/>
      <c r="Q614" s="386"/>
      <c r="R614" s="386"/>
    </row>
    <row r="615" spans="1:18" ht="30" customHeight="1" x14ac:dyDescent="0.2">
      <c r="A615" s="963"/>
      <c r="B615" s="677" t="s">
        <v>2053</v>
      </c>
      <c r="C615" s="678" t="s">
        <v>1306</v>
      </c>
      <c r="D615" s="679">
        <v>50000000</v>
      </c>
      <c r="E615" s="680">
        <v>0.06</v>
      </c>
      <c r="F615" s="679">
        <f t="shared" si="51"/>
        <v>3000000</v>
      </c>
      <c r="G615" s="968"/>
      <c r="H615" s="968"/>
      <c r="I615" s="391"/>
      <c r="J615" s="473"/>
      <c r="K615" s="968"/>
      <c r="L615" s="992"/>
      <c r="M615" s="385" t="s">
        <v>2036</v>
      </c>
      <c r="N615" s="386"/>
      <c r="O615" s="386"/>
      <c r="P615" s="386"/>
      <c r="Q615" s="386"/>
      <c r="R615" s="386"/>
    </row>
    <row r="616" spans="1:18" ht="30" customHeight="1" x14ac:dyDescent="0.2">
      <c r="A616" s="963"/>
      <c r="B616" s="677" t="s">
        <v>2050</v>
      </c>
      <c r="C616" s="678" t="s">
        <v>1306</v>
      </c>
      <c r="D616" s="679">
        <v>110000000</v>
      </c>
      <c r="E616" s="680">
        <v>0.06</v>
      </c>
      <c r="F616" s="679">
        <f t="shared" si="51"/>
        <v>6600000</v>
      </c>
      <c r="G616" s="968"/>
      <c r="H616" s="968"/>
      <c r="I616" s="391"/>
      <c r="J616" s="473"/>
      <c r="K616" s="968"/>
      <c r="L616" s="992"/>
      <c r="M616" s="385" t="s">
        <v>2036</v>
      </c>
      <c r="N616" s="386"/>
      <c r="O616" s="386"/>
      <c r="P616" s="386"/>
      <c r="Q616" s="386"/>
      <c r="R616" s="386"/>
    </row>
    <row r="617" spans="1:18" ht="30" customHeight="1" x14ac:dyDescent="0.2">
      <c r="A617" s="963"/>
      <c r="B617" s="677" t="s">
        <v>2051</v>
      </c>
      <c r="C617" s="678" t="s">
        <v>1306</v>
      </c>
      <c r="D617" s="679">
        <v>100000000</v>
      </c>
      <c r="E617" s="680">
        <v>0.06</v>
      </c>
      <c r="F617" s="679">
        <f t="shared" si="51"/>
        <v>6000000</v>
      </c>
      <c r="G617" s="968"/>
      <c r="H617" s="968"/>
      <c r="I617" s="391"/>
      <c r="J617" s="473"/>
      <c r="K617" s="968"/>
      <c r="L617" s="992"/>
      <c r="M617" s="385" t="s">
        <v>2036</v>
      </c>
      <c r="N617" s="386"/>
      <c r="O617" s="386"/>
      <c r="P617" s="386"/>
      <c r="Q617" s="386"/>
      <c r="R617" s="386"/>
    </row>
    <row r="618" spans="1:18" ht="30" customHeight="1" x14ac:dyDescent="0.2">
      <c r="A618" s="963"/>
      <c r="B618" s="677"/>
      <c r="C618" s="678"/>
      <c r="D618" s="679">
        <f>SUM(D613:D617)</f>
        <v>1170000000</v>
      </c>
      <c r="E618" s="680"/>
      <c r="F618" s="679">
        <f>SUM(F613:F617)</f>
        <v>70200000</v>
      </c>
      <c r="G618" s="968"/>
      <c r="H618" s="968"/>
      <c r="I618" s="391"/>
      <c r="J618" s="473"/>
      <c r="K618" s="968"/>
      <c r="L618" s="992"/>
      <c r="M618" s="385"/>
      <c r="N618" s="386"/>
      <c r="O618" s="386"/>
      <c r="P618" s="386"/>
      <c r="Q618" s="386"/>
      <c r="R618" s="386"/>
    </row>
    <row r="619" spans="1:18" ht="30" customHeight="1" x14ac:dyDescent="0.2">
      <c r="A619" s="1519"/>
      <c r="B619" s="1517" t="s">
        <v>2069</v>
      </c>
      <c r="C619" s="1518"/>
      <c r="D619" s="1489">
        <v>200000000</v>
      </c>
      <c r="E619" s="1516">
        <v>7.0000000000000007E-2</v>
      </c>
      <c r="F619" s="1489">
        <f>D619*E619</f>
        <v>14000000.000000002</v>
      </c>
      <c r="G619" s="968">
        <v>14000000</v>
      </c>
      <c r="H619" s="968" t="s">
        <v>3298</v>
      </c>
      <c r="I619" s="391">
        <v>464423</v>
      </c>
      <c r="J619" s="473" t="s">
        <v>1076</v>
      </c>
      <c r="K619" s="1489">
        <f>G619</f>
        <v>14000000</v>
      </c>
      <c r="L619" s="1457">
        <f>F619-K619</f>
        <v>0</v>
      </c>
      <c r="M619" s="1504"/>
      <c r="N619" s="386"/>
      <c r="O619" s="386"/>
      <c r="P619" s="386"/>
      <c r="Q619" s="386"/>
      <c r="R619" s="386"/>
    </row>
    <row r="620" spans="1:18" ht="30" customHeight="1" x14ac:dyDescent="0.2">
      <c r="A620" s="963"/>
      <c r="B620" s="961" t="s">
        <v>2089</v>
      </c>
      <c r="C620" s="982"/>
      <c r="D620" s="1230">
        <v>13000000</v>
      </c>
      <c r="E620" s="1235">
        <v>0.05</v>
      </c>
      <c r="F620" s="1230">
        <f>D620*E620</f>
        <v>650000</v>
      </c>
      <c r="G620" s="1230">
        <v>650000</v>
      </c>
      <c r="H620" s="1230" t="s">
        <v>2965</v>
      </c>
      <c r="I620" s="1236">
        <v>254171</v>
      </c>
      <c r="J620" s="473" t="s">
        <v>2984</v>
      </c>
      <c r="K620" s="1230">
        <f>G620</f>
        <v>650000</v>
      </c>
      <c r="L620" s="1234">
        <f>F620-K620</f>
        <v>0</v>
      </c>
      <c r="M620" s="385"/>
      <c r="N620" s="386"/>
      <c r="O620" s="386"/>
      <c r="P620" s="386"/>
      <c r="Q620" s="386"/>
      <c r="R620" s="386"/>
    </row>
    <row r="621" spans="1:18" ht="30" customHeight="1" x14ac:dyDescent="0.2">
      <c r="A621" s="963"/>
      <c r="B621" s="961" t="s">
        <v>2128</v>
      </c>
      <c r="C621" s="982"/>
      <c r="D621" s="968">
        <v>50000000</v>
      </c>
      <c r="E621" s="996">
        <v>0.04</v>
      </c>
      <c r="F621" s="968">
        <f>D621*E621</f>
        <v>2000000</v>
      </c>
      <c r="G621" s="968">
        <v>2000000</v>
      </c>
      <c r="H621" s="968" t="s">
        <v>3189</v>
      </c>
      <c r="I621" s="391">
        <v>275226</v>
      </c>
      <c r="J621" s="473" t="s">
        <v>3209</v>
      </c>
      <c r="K621" s="968">
        <f>G621</f>
        <v>2000000</v>
      </c>
      <c r="L621" s="992">
        <f>F621-G621</f>
        <v>0</v>
      </c>
      <c r="M621" s="385"/>
      <c r="N621" s="386"/>
      <c r="O621" s="386"/>
      <c r="P621" s="386"/>
      <c r="Q621" s="386"/>
      <c r="R621" s="386"/>
    </row>
    <row r="622" spans="1:18" ht="30" customHeight="1" x14ac:dyDescent="0.2">
      <c r="A622" s="4459"/>
      <c r="B622" s="4457" t="s">
        <v>2129</v>
      </c>
      <c r="C622" s="4537"/>
      <c r="D622" s="4413">
        <v>100000000</v>
      </c>
      <c r="E622" s="4476">
        <v>0.05</v>
      </c>
      <c r="F622" s="4413">
        <f>D622*E622</f>
        <v>5000000</v>
      </c>
      <c r="G622" s="968">
        <v>4000000</v>
      </c>
      <c r="H622" s="968" t="s">
        <v>1916</v>
      </c>
      <c r="I622" s="391">
        <v>123307431255</v>
      </c>
      <c r="J622" s="473" t="s">
        <v>2848</v>
      </c>
      <c r="K622" s="4413">
        <f>G622+G623</f>
        <v>5000000</v>
      </c>
      <c r="L622" s="4603">
        <f>F622-K622</f>
        <v>0</v>
      </c>
      <c r="M622" s="4603"/>
      <c r="N622" s="386"/>
      <c r="O622" s="386"/>
      <c r="P622" s="386"/>
      <c r="Q622" s="386"/>
      <c r="R622" s="386"/>
    </row>
    <row r="623" spans="1:18" ht="30" customHeight="1" x14ac:dyDescent="0.2">
      <c r="A623" s="4460"/>
      <c r="B623" s="4458"/>
      <c r="C623" s="4538"/>
      <c r="D623" s="4415"/>
      <c r="E623" s="4477"/>
      <c r="F623" s="4415"/>
      <c r="G623" s="1230">
        <v>1000000</v>
      </c>
      <c r="H623" s="1230" t="s">
        <v>2965</v>
      </c>
      <c r="I623" s="1236">
        <v>903059</v>
      </c>
      <c r="J623" s="473" t="s">
        <v>2972</v>
      </c>
      <c r="K623" s="4415"/>
      <c r="L623" s="4604"/>
      <c r="M623" s="4604"/>
      <c r="N623" s="386"/>
      <c r="O623" s="386"/>
      <c r="P623" s="386"/>
      <c r="Q623" s="386"/>
      <c r="R623" s="386"/>
    </row>
    <row r="624" spans="1:18" ht="30" customHeight="1" x14ac:dyDescent="0.2">
      <c r="A624" s="963"/>
      <c r="B624" s="961" t="s">
        <v>2208</v>
      </c>
      <c r="C624" s="982" t="s">
        <v>1306</v>
      </c>
      <c r="D624" s="968">
        <v>30000000</v>
      </c>
      <c r="E624" s="996">
        <v>0.05</v>
      </c>
      <c r="F624" s="968">
        <f>D624*E624</f>
        <v>1500000</v>
      </c>
      <c r="G624" s="1320">
        <v>1500000</v>
      </c>
      <c r="H624" s="1320" t="s">
        <v>3189</v>
      </c>
      <c r="I624" s="1320" t="s">
        <v>3205</v>
      </c>
      <c r="J624" s="1320" t="s">
        <v>3204</v>
      </c>
      <c r="K624" s="1320">
        <f>G624</f>
        <v>1500000</v>
      </c>
      <c r="L624" s="1320">
        <f>F624-K624</f>
        <v>0</v>
      </c>
      <c r="M624" s="1341" t="s">
        <v>2207</v>
      </c>
      <c r="N624" s="386"/>
      <c r="O624" s="386"/>
      <c r="P624" s="386"/>
      <c r="Q624" s="386"/>
      <c r="R624" s="386"/>
    </row>
    <row r="625" spans="1:18" ht="30" customHeight="1" x14ac:dyDescent="0.2">
      <c r="A625" s="963"/>
      <c r="B625" s="961" t="s">
        <v>2275</v>
      </c>
      <c r="C625" s="982" t="s">
        <v>1299</v>
      </c>
      <c r="D625" s="968">
        <v>600000000</v>
      </c>
      <c r="E625" s="996">
        <v>0.05</v>
      </c>
      <c r="F625" s="968">
        <f>D625*E625</f>
        <v>30000000</v>
      </c>
      <c r="G625" s="968"/>
      <c r="H625" s="968"/>
      <c r="I625" s="391"/>
      <c r="J625" s="473"/>
      <c r="K625" s="968"/>
      <c r="L625" s="992"/>
      <c r="M625" s="385"/>
      <c r="N625" s="386"/>
      <c r="O625" s="386"/>
      <c r="P625" s="386"/>
      <c r="Q625" s="386"/>
      <c r="R625" s="386"/>
    </row>
    <row r="626" spans="1:18" ht="30" customHeight="1" x14ac:dyDescent="0.2">
      <c r="A626" s="963"/>
      <c r="B626" s="961" t="s">
        <v>2292</v>
      </c>
      <c r="C626" s="982"/>
      <c r="D626" s="974"/>
      <c r="E626" s="40"/>
      <c r="F626" s="974"/>
      <c r="G626" s="968"/>
      <c r="H626" s="968"/>
      <c r="I626" s="391"/>
      <c r="J626" s="473" t="s">
        <v>2293</v>
      </c>
      <c r="K626" s="968">
        <f t="shared" ref="K626:K630" si="52">G626</f>
        <v>0</v>
      </c>
      <c r="L626" s="991"/>
      <c r="M626" s="385" t="s">
        <v>2079</v>
      </c>
      <c r="N626" s="386"/>
      <c r="O626" s="386"/>
      <c r="P626" s="386"/>
      <c r="Q626" s="386"/>
      <c r="R626" s="386"/>
    </row>
    <row r="627" spans="1:18" ht="30" customHeight="1" x14ac:dyDescent="0.2">
      <c r="A627" s="963"/>
      <c r="B627" s="976" t="s">
        <v>2303</v>
      </c>
      <c r="C627" s="990"/>
      <c r="D627" s="974"/>
      <c r="E627" s="40"/>
      <c r="F627" s="974"/>
      <c r="G627" s="974"/>
      <c r="H627" s="974"/>
      <c r="I627" s="788"/>
      <c r="J627" s="789" t="s">
        <v>2304</v>
      </c>
      <c r="K627" s="974">
        <f t="shared" si="52"/>
        <v>0</v>
      </c>
      <c r="L627" s="991">
        <f t="shared" ref="L627:L634" si="53">F627-K627</f>
        <v>0</v>
      </c>
      <c r="M627" s="385" t="s">
        <v>2079</v>
      </c>
      <c r="N627" s="386"/>
      <c r="O627" s="386"/>
      <c r="P627" s="386"/>
      <c r="Q627" s="386"/>
      <c r="R627" s="386"/>
    </row>
    <row r="628" spans="1:18" ht="30" customHeight="1" x14ac:dyDescent="0.2">
      <c r="A628" s="963"/>
      <c r="B628" s="961" t="s">
        <v>2344</v>
      </c>
      <c r="C628" s="982" t="s">
        <v>1306</v>
      </c>
      <c r="D628" s="1196">
        <v>25000000</v>
      </c>
      <c r="E628" s="1204">
        <v>0.04</v>
      </c>
      <c r="F628" s="1196">
        <f>D628*E628</f>
        <v>1000000</v>
      </c>
      <c r="G628" s="1196"/>
      <c r="H628" s="1196"/>
      <c r="I628" s="1208"/>
      <c r="J628" s="473" t="s">
        <v>2346</v>
      </c>
      <c r="K628" s="1196">
        <f t="shared" si="52"/>
        <v>0</v>
      </c>
      <c r="L628" s="1203">
        <f t="shared" si="53"/>
        <v>1000000</v>
      </c>
      <c r="M628" s="385"/>
      <c r="N628" s="386"/>
      <c r="O628" s="386"/>
      <c r="P628" s="386"/>
      <c r="Q628" s="386"/>
      <c r="R628" s="386"/>
    </row>
    <row r="629" spans="1:18" ht="30" customHeight="1" x14ac:dyDescent="0.2">
      <c r="A629" s="963"/>
      <c r="B629" s="961" t="s">
        <v>2385</v>
      </c>
      <c r="C629" s="982"/>
      <c r="D629" s="974"/>
      <c r="E629" s="40"/>
      <c r="F629" s="974"/>
      <c r="G629" s="968"/>
      <c r="H629" s="968"/>
      <c r="I629" s="391"/>
      <c r="J629" s="473" t="s">
        <v>2386</v>
      </c>
      <c r="K629" s="968">
        <f t="shared" si="52"/>
        <v>0</v>
      </c>
      <c r="L629" s="991">
        <f t="shared" si="53"/>
        <v>0</v>
      </c>
      <c r="M629" s="385"/>
      <c r="N629" s="386"/>
      <c r="O629" s="386"/>
      <c r="P629" s="386"/>
      <c r="Q629" s="386"/>
      <c r="R629" s="386"/>
    </row>
    <row r="630" spans="1:18" ht="30" customHeight="1" x14ac:dyDescent="0.2">
      <c r="A630" s="963"/>
      <c r="B630" s="961" t="s">
        <v>2388</v>
      </c>
      <c r="C630" s="982"/>
      <c r="D630" s="974">
        <v>880000000</v>
      </c>
      <c r="E630" s="40"/>
      <c r="F630" s="974"/>
      <c r="G630" s="968">
        <f>F632/3</f>
        <v>3666666.6666666665</v>
      </c>
      <c r="H630" s="968"/>
      <c r="I630" s="391"/>
      <c r="J630" s="473" t="s">
        <v>2389</v>
      </c>
      <c r="K630" s="968">
        <f t="shared" si="52"/>
        <v>3666666.6666666665</v>
      </c>
      <c r="L630" s="991">
        <f t="shared" si="53"/>
        <v>-3666666.6666666665</v>
      </c>
      <c r="M630" s="385"/>
      <c r="N630" s="386"/>
      <c r="O630" s="386"/>
      <c r="P630" s="386"/>
      <c r="Q630" s="386"/>
      <c r="R630" s="386"/>
    </row>
    <row r="631" spans="1:18" ht="30" customHeight="1" x14ac:dyDescent="0.2">
      <c r="A631" s="4459"/>
      <c r="B631" s="4457" t="s">
        <v>2647</v>
      </c>
      <c r="C631" s="4537" t="s">
        <v>1652</v>
      </c>
      <c r="D631" s="1092">
        <v>100000000</v>
      </c>
      <c r="E631" s="1101">
        <v>0.05</v>
      </c>
      <c r="F631" s="1092">
        <f>D631*E631</f>
        <v>5000000</v>
      </c>
      <c r="G631" s="1097">
        <v>5000000</v>
      </c>
      <c r="H631" s="1097" t="s">
        <v>2634</v>
      </c>
      <c r="I631" s="1097">
        <v>123069434142</v>
      </c>
      <c r="J631" s="1097" t="s">
        <v>2648</v>
      </c>
      <c r="K631" s="1097">
        <f>G631</f>
        <v>5000000</v>
      </c>
      <c r="L631" s="1100">
        <f t="shared" si="53"/>
        <v>0</v>
      </c>
      <c r="M631" s="385"/>
      <c r="N631" s="386"/>
      <c r="O631" s="386"/>
      <c r="P631" s="386"/>
      <c r="Q631" s="386"/>
      <c r="R631" s="386"/>
    </row>
    <row r="632" spans="1:18" ht="30" customHeight="1" x14ac:dyDescent="0.2">
      <c r="A632" s="4464"/>
      <c r="B632" s="4488"/>
      <c r="C632" s="4540"/>
      <c r="D632" s="1345">
        <v>220000000</v>
      </c>
      <c r="E632" s="1357">
        <v>0.05</v>
      </c>
      <c r="F632" s="1345">
        <f>D632*E632</f>
        <v>11000000</v>
      </c>
      <c r="G632" s="4469" t="s">
        <v>3212</v>
      </c>
      <c r="H632" s="4470"/>
      <c r="I632" s="4470"/>
      <c r="J632" s="4471"/>
      <c r="K632" s="1345"/>
      <c r="L632" s="1354"/>
      <c r="M632" s="385" t="s">
        <v>3213</v>
      </c>
      <c r="N632" s="386"/>
      <c r="O632" s="386"/>
      <c r="P632" s="386"/>
      <c r="Q632" s="386"/>
      <c r="R632" s="386"/>
    </row>
    <row r="633" spans="1:18" ht="30" customHeight="1" x14ac:dyDescent="0.2">
      <c r="A633" s="4460"/>
      <c r="B633" s="4458"/>
      <c r="C633" s="4538"/>
      <c r="D633" s="1345"/>
      <c r="E633" s="1357"/>
      <c r="F633" s="1345"/>
      <c r="G633" s="1352">
        <v>3650000</v>
      </c>
      <c r="H633" s="1352" t="s">
        <v>3214</v>
      </c>
      <c r="I633" s="1352">
        <v>439187</v>
      </c>
      <c r="J633" s="1352" t="s">
        <v>3266</v>
      </c>
      <c r="K633" s="1352">
        <f>G633</f>
        <v>3650000</v>
      </c>
      <c r="L633" s="1354"/>
      <c r="M633" s="385" t="s">
        <v>3211</v>
      </c>
      <c r="N633" s="386"/>
      <c r="O633" s="386"/>
      <c r="P633" s="386"/>
      <c r="Q633" s="386"/>
      <c r="R633" s="386"/>
    </row>
    <row r="634" spans="1:18" ht="30" customHeight="1" x14ac:dyDescent="0.2">
      <c r="A634" s="963"/>
      <c r="B634" s="961" t="s">
        <v>2407</v>
      </c>
      <c r="C634" s="982"/>
      <c r="D634" s="968">
        <v>20000000</v>
      </c>
      <c r="E634" s="996">
        <v>0.05</v>
      </c>
      <c r="F634" s="968">
        <f>D634*E634</f>
        <v>1000000</v>
      </c>
      <c r="G634" s="968">
        <v>1000000</v>
      </c>
      <c r="H634" s="968" t="s">
        <v>2897</v>
      </c>
      <c r="I634" s="391">
        <v>123445088921</v>
      </c>
      <c r="J634" s="473" t="s">
        <v>2994</v>
      </c>
      <c r="K634" s="968">
        <f>G634</f>
        <v>1000000</v>
      </c>
      <c r="L634" s="992">
        <f t="shared" si="53"/>
        <v>0</v>
      </c>
      <c r="M634" s="385"/>
      <c r="N634" s="386"/>
      <c r="O634" s="386"/>
      <c r="P634" s="386"/>
      <c r="Q634" s="386"/>
      <c r="R634" s="386"/>
    </row>
    <row r="635" spans="1:18" ht="30" customHeight="1" x14ac:dyDescent="0.2">
      <c r="A635" s="4459"/>
      <c r="B635" s="4457" t="s">
        <v>2471</v>
      </c>
      <c r="C635" s="4537" t="s">
        <v>889</v>
      </c>
      <c r="D635" s="968">
        <v>51000000</v>
      </c>
      <c r="E635" s="996">
        <v>0.06</v>
      </c>
      <c r="F635" s="968">
        <f>D635*E635</f>
        <v>3060000</v>
      </c>
      <c r="G635" s="4469" t="s">
        <v>2514</v>
      </c>
      <c r="H635" s="4470"/>
      <c r="I635" s="4470"/>
      <c r="J635" s="4470"/>
      <c r="K635" s="4470"/>
      <c r="L635" s="4471"/>
      <c r="M635" s="385"/>
      <c r="N635" s="386"/>
      <c r="O635" s="386"/>
      <c r="P635" s="386"/>
      <c r="Q635" s="386"/>
      <c r="R635" s="386"/>
    </row>
    <row r="636" spans="1:18" ht="30" customHeight="1" x14ac:dyDescent="0.2">
      <c r="A636" s="4464"/>
      <c r="B636" s="4488"/>
      <c r="C636" s="4540"/>
      <c r="D636" s="968">
        <f>D635+F635+F635</f>
        <v>57120000</v>
      </c>
      <c r="E636" s="996">
        <v>0.06</v>
      </c>
      <c r="F636" s="968">
        <v>3425000</v>
      </c>
      <c r="G636" s="4469" t="s">
        <v>2515</v>
      </c>
      <c r="H636" s="4470"/>
      <c r="I636" s="4470"/>
      <c r="J636" s="4470"/>
      <c r="K636" s="4471"/>
      <c r="L636" s="979"/>
      <c r="M636" s="385"/>
      <c r="N636" s="386"/>
      <c r="O636" s="386"/>
      <c r="P636" s="386"/>
      <c r="Q636" s="386"/>
      <c r="R636" s="386"/>
    </row>
    <row r="637" spans="1:18" ht="30" customHeight="1" x14ac:dyDescent="0.2">
      <c r="A637" s="4460"/>
      <c r="B637" s="4458"/>
      <c r="C637" s="4538"/>
      <c r="D637" s="1442"/>
      <c r="E637" s="1449"/>
      <c r="F637" s="1442"/>
      <c r="G637" s="1447"/>
      <c r="H637" s="1448"/>
      <c r="I637" s="1448"/>
      <c r="J637" s="1448"/>
      <c r="K637" s="1448"/>
      <c r="L637" s="1445"/>
      <c r="M637" s="385"/>
      <c r="N637" s="386"/>
      <c r="O637" s="386"/>
      <c r="P637" s="386"/>
      <c r="Q637" s="386"/>
      <c r="R637" s="386"/>
    </row>
    <row r="638" spans="1:18" ht="30" customHeight="1" x14ac:dyDescent="0.2">
      <c r="A638" s="963"/>
      <c r="B638" s="961" t="s">
        <v>2517</v>
      </c>
      <c r="C638" s="982" t="s">
        <v>1080</v>
      </c>
      <c r="D638" s="968">
        <v>80000000</v>
      </c>
      <c r="E638" s="996">
        <v>0.05</v>
      </c>
      <c r="F638" s="968">
        <f>D638*E638</f>
        <v>4000000</v>
      </c>
      <c r="G638" s="4593" t="s">
        <v>2205</v>
      </c>
      <c r="H638" s="4594"/>
      <c r="I638" s="4594"/>
      <c r="J638" s="4594"/>
      <c r="K638" s="4594"/>
      <c r="L638" s="4595"/>
      <c r="M638" s="385"/>
      <c r="N638" s="386"/>
      <c r="O638" s="386"/>
      <c r="P638" s="386"/>
      <c r="Q638" s="386"/>
      <c r="R638" s="386"/>
    </row>
    <row r="639" spans="1:18" ht="30" customHeight="1" x14ac:dyDescent="0.2">
      <c r="A639" s="4459"/>
      <c r="B639" s="4457" t="s">
        <v>2633</v>
      </c>
      <c r="C639" s="4537"/>
      <c r="D639" s="4506"/>
      <c r="E639" s="4512"/>
      <c r="F639" s="4506"/>
      <c r="G639" s="1040">
        <v>30000000</v>
      </c>
      <c r="H639" s="1040" t="s">
        <v>2532</v>
      </c>
      <c r="I639" s="391">
        <v>105021244515603</v>
      </c>
      <c r="J639" s="1040" t="s">
        <v>2548</v>
      </c>
      <c r="K639" s="4413">
        <f>G639+G640+G641</f>
        <v>77500000</v>
      </c>
      <c r="L639" s="4506">
        <f>F639-K639</f>
        <v>-77500000</v>
      </c>
      <c r="M639" s="4603"/>
      <c r="N639" s="386"/>
      <c r="O639" s="386"/>
      <c r="P639" s="386"/>
      <c r="Q639" s="386"/>
      <c r="R639" s="386"/>
    </row>
    <row r="640" spans="1:18" ht="30" customHeight="1" x14ac:dyDescent="0.2">
      <c r="A640" s="4464"/>
      <c r="B640" s="4488"/>
      <c r="C640" s="4540"/>
      <c r="D640" s="4507"/>
      <c r="E640" s="4513"/>
      <c r="F640" s="4507"/>
      <c r="G640" s="1092">
        <v>30000000</v>
      </c>
      <c r="H640" s="1092" t="s">
        <v>2634</v>
      </c>
      <c r="I640" s="1099" t="s">
        <v>2635</v>
      </c>
      <c r="J640" s="1097" t="s">
        <v>2548</v>
      </c>
      <c r="K640" s="4414"/>
      <c r="L640" s="4507"/>
      <c r="M640" s="4609"/>
      <c r="N640" s="386"/>
      <c r="O640" s="386"/>
      <c r="P640" s="386"/>
      <c r="Q640" s="386"/>
      <c r="R640" s="386"/>
    </row>
    <row r="641" spans="1:18" ht="30" customHeight="1" x14ac:dyDescent="0.2">
      <c r="A641" s="4460"/>
      <c r="B641" s="4458"/>
      <c r="C641" s="4538"/>
      <c r="D641" s="4508"/>
      <c r="E641" s="4514"/>
      <c r="F641" s="4508"/>
      <c r="G641" s="1151">
        <v>17500000</v>
      </c>
      <c r="H641" s="1151" t="s">
        <v>2689</v>
      </c>
      <c r="I641" s="1162" t="s">
        <v>2745</v>
      </c>
      <c r="J641" s="1159" t="s">
        <v>2548</v>
      </c>
      <c r="K641" s="4415"/>
      <c r="L641" s="4508"/>
      <c r="M641" s="4604"/>
      <c r="N641" s="386"/>
      <c r="O641" s="386"/>
      <c r="P641" s="386"/>
      <c r="Q641" s="386"/>
      <c r="R641" s="386"/>
    </row>
    <row r="642" spans="1:18" ht="30" customHeight="1" x14ac:dyDescent="0.2">
      <c r="A642" s="963"/>
      <c r="B642" s="961" t="s">
        <v>2551</v>
      </c>
      <c r="C642" s="982"/>
      <c r="D642" s="968">
        <v>10000000</v>
      </c>
      <c r="E642" s="996"/>
      <c r="F642" s="1151"/>
      <c r="G642" s="968"/>
      <c r="H642" s="968"/>
      <c r="I642" s="391"/>
      <c r="J642" s="473"/>
      <c r="K642" s="968"/>
      <c r="L642" s="992"/>
      <c r="M642" s="385" t="s">
        <v>2552</v>
      </c>
      <c r="N642" s="386"/>
      <c r="O642" s="386"/>
      <c r="P642" s="386"/>
      <c r="Q642" s="386"/>
      <c r="R642" s="386"/>
    </row>
    <row r="643" spans="1:18" ht="30" customHeight="1" x14ac:dyDescent="0.2">
      <c r="A643" s="4459"/>
      <c r="B643" s="4457" t="s">
        <v>2714</v>
      </c>
      <c r="C643" s="4537" t="s">
        <v>262</v>
      </c>
      <c r="D643" s="1151">
        <v>23000000</v>
      </c>
      <c r="E643" s="1164">
        <v>5.5E-2</v>
      </c>
      <c r="F643" s="1151">
        <f>D643*E643</f>
        <v>1265000</v>
      </c>
      <c r="G643" s="1276">
        <v>1265000</v>
      </c>
      <c r="H643" s="1276" t="s">
        <v>2705</v>
      </c>
      <c r="I643" s="1294">
        <v>432255</v>
      </c>
      <c r="J643" s="473" t="s">
        <v>2715</v>
      </c>
      <c r="K643" s="1276">
        <f>G643</f>
        <v>1265000</v>
      </c>
      <c r="L643" s="1163">
        <f>F643-K643</f>
        <v>0</v>
      </c>
      <c r="M643" s="385"/>
      <c r="N643" s="386"/>
      <c r="O643" s="386"/>
      <c r="P643" s="386"/>
      <c r="Q643" s="386"/>
      <c r="R643" s="386"/>
    </row>
    <row r="644" spans="1:18" ht="30" customHeight="1" x14ac:dyDescent="0.2">
      <c r="A644" s="4464"/>
      <c r="B644" s="4488"/>
      <c r="C644" s="4540"/>
      <c r="D644" s="1210">
        <v>2000000</v>
      </c>
      <c r="E644" s="1215"/>
      <c r="F644" s="1210"/>
      <c r="G644" s="4527" t="s">
        <v>2911</v>
      </c>
      <c r="H644" s="4528"/>
      <c r="I644" s="4528"/>
      <c r="J644" s="4528"/>
      <c r="K644" s="4529"/>
      <c r="L644" s="1214"/>
      <c r="M644" s="385"/>
      <c r="N644" s="386"/>
      <c r="O644" s="386"/>
      <c r="P644" s="386"/>
      <c r="Q644" s="386"/>
      <c r="R644" s="386"/>
    </row>
    <row r="645" spans="1:18" ht="30" customHeight="1" x14ac:dyDescent="0.2">
      <c r="A645" s="4464"/>
      <c r="B645" s="4488"/>
      <c r="C645" s="4540"/>
      <c r="D645" s="1196">
        <v>5000000</v>
      </c>
      <c r="E645" s="1204"/>
      <c r="F645" s="1196"/>
      <c r="G645" s="4527" t="s">
        <v>2880</v>
      </c>
      <c r="H645" s="4528"/>
      <c r="I645" s="4528"/>
      <c r="J645" s="4528"/>
      <c r="K645" s="4529"/>
      <c r="L645" s="1203"/>
      <c r="M645" s="385"/>
      <c r="N645" s="386"/>
      <c r="O645" s="386"/>
      <c r="P645" s="386"/>
      <c r="Q645" s="386"/>
      <c r="R645" s="386"/>
    </row>
    <row r="646" spans="1:18" ht="30" customHeight="1" x14ac:dyDescent="0.2">
      <c r="A646" s="4464"/>
      <c r="B646" s="4488"/>
      <c r="C646" s="4540"/>
      <c r="D646" s="1196">
        <v>5000000</v>
      </c>
      <c r="E646" s="1204"/>
      <c r="F646" s="1196"/>
      <c r="G646" s="4527" t="s">
        <v>2881</v>
      </c>
      <c r="H646" s="4528"/>
      <c r="I646" s="4528"/>
      <c r="J646" s="4528"/>
      <c r="K646" s="4529"/>
      <c r="L646" s="1203"/>
      <c r="M646" s="385"/>
      <c r="N646" s="386"/>
      <c r="O646" s="386"/>
      <c r="P646" s="386"/>
      <c r="Q646" s="386"/>
      <c r="R646" s="386"/>
    </row>
    <row r="647" spans="1:18" ht="30" customHeight="1" x14ac:dyDescent="0.2">
      <c r="A647" s="4464"/>
      <c r="B647" s="4488"/>
      <c r="C647" s="4540"/>
      <c r="D647" s="1196">
        <v>5000000</v>
      </c>
      <c r="E647" s="1204"/>
      <c r="F647" s="1196"/>
      <c r="G647" s="4527" t="s">
        <v>2754</v>
      </c>
      <c r="H647" s="4528"/>
      <c r="I647" s="4528"/>
      <c r="J647" s="4528"/>
      <c r="K647" s="4529"/>
      <c r="L647" s="1203"/>
      <c r="M647" s="385"/>
      <c r="N647" s="386"/>
      <c r="O647" s="386"/>
      <c r="P647" s="386"/>
      <c r="Q647" s="386"/>
      <c r="R647" s="386"/>
    </row>
    <row r="648" spans="1:18" ht="30" customHeight="1" x14ac:dyDescent="0.2">
      <c r="A648" s="4464"/>
      <c r="B648" s="4488"/>
      <c r="C648" s="4540"/>
      <c r="D648" s="1196">
        <v>95000000</v>
      </c>
      <c r="E648" s="1204"/>
      <c r="F648" s="1196"/>
      <c r="G648" s="4527" t="s">
        <v>2754</v>
      </c>
      <c r="H648" s="4528"/>
      <c r="I648" s="4528"/>
      <c r="J648" s="4528"/>
      <c r="K648" s="4529"/>
      <c r="L648" s="1203"/>
      <c r="M648" s="385"/>
      <c r="N648" s="386"/>
      <c r="O648" s="386"/>
      <c r="P648" s="386"/>
      <c r="Q648" s="386"/>
      <c r="R648" s="386"/>
    </row>
    <row r="649" spans="1:18" ht="30" customHeight="1" x14ac:dyDescent="0.2">
      <c r="A649" s="4464"/>
      <c r="B649" s="4488"/>
      <c r="C649" s="4540"/>
      <c r="D649" s="1151">
        <v>5000000</v>
      </c>
      <c r="E649" s="1164"/>
      <c r="F649" s="1151"/>
      <c r="G649" s="4527" t="s">
        <v>2882</v>
      </c>
      <c r="H649" s="4528"/>
      <c r="I649" s="4528"/>
      <c r="J649" s="4528"/>
      <c r="K649" s="4529"/>
      <c r="L649" s="1163"/>
      <c r="M649" s="385"/>
      <c r="N649" s="386"/>
      <c r="O649" s="386"/>
      <c r="P649" s="386"/>
      <c r="Q649" s="386"/>
      <c r="R649" s="386"/>
    </row>
    <row r="650" spans="1:18" ht="30" customHeight="1" x14ac:dyDescent="0.2">
      <c r="A650" s="4464"/>
      <c r="B650" s="4488"/>
      <c r="C650" s="4540"/>
      <c r="D650" s="1312">
        <v>13800000</v>
      </c>
      <c r="E650" s="1325"/>
      <c r="F650" s="1312"/>
      <c r="G650" s="4527" t="s">
        <v>3142</v>
      </c>
      <c r="H650" s="4528"/>
      <c r="I650" s="4528"/>
      <c r="J650" s="4528"/>
      <c r="K650" s="4529"/>
      <c r="L650" s="1324"/>
      <c r="M650" s="385"/>
      <c r="N650" s="386"/>
      <c r="O650" s="386"/>
      <c r="P650" s="386"/>
      <c r="Q650" s="386"/>
      <c r="R650" s="386"/>
    </row>
    <row r="651" spans="1:18" ht="30" customHeight="1" x14ac:dyDescent="0.2">
      <c r="A651" s="4464"/>
      <c r="B651" s="4488"/>
      <c r="C651" s="4540"/>
      <c r="D651" s="1312">
        <v>5200000</v>
      </c>
      <c r="E651" s="1325"/>
      <c r="F651" s="1312"/>
      <c r="G651" s="4527" t="s">
        <v>3143</v>
      </c>
      <c r="H651" s="4528"/>
      <c r="I651" s="4528"/>
      <c r="J651" s="4528"/>
      <c r="K651" s="4529"/>
      <c r="L651" s="1324"/>
      <c r="M651" s="385"/>
      <c r="N651" s="386"/>
      <c r="O651" s="386"/>
      <c r="P651" s="386"/>
      <c r="Q651" s="386"/>
      <c r="R651" s="386"/>
    </row>
    <row r="652" spans="1:18" ht="30" customHeight="1" x14ac:dyDescent="0.2">
      <c r="A652" s="4464"/>
      <c r="B652" s="4488"/>
      <c r="C652" s="4540"/>
      <c r="D652" s="1366">
        <v>20000000</v>
      </c>
      <c r="E652" s="1376"/>
      <c r="F652" s="1366"/>
      <c r="G652" s="4527" t="s">
        <v>3281</v>
      </c>
      <c r="H652" s="4528"/>
      <c r="I652" s="4528"/>
      <c r="J652" s="4528"/>
      <c r="K652" s="4529"/>
      <c r="L652" s="1374"/>
      <c r="M652" s="385"/>
      <c r="N652" s="386"/>
      <c r="O652" s="386"/>
      <c r="P652" s="386"/>
      <c r="Q652" s="386"/>
      <c r="R652" s="386"/>
    </row>
    <row r="653" spans="1:18" ht="30" customHeight="1" x14ac:dyDescent="0.2">
      <c r="A653" s="4464"/>
      <c r="B653" s="4488"/>
      <c r="C653" s="4540"/>
      <c r="D653" s="1366">
        <v>5000000</v>
      </c>
      <c r="E653" s="1376"/>
      <c r="F653" s="1366"/>
      <c r="G653" s="4527" t="s">
        <v>3281</v>
      </c>
      <c r="H653" s="4528"/>
      <c r="I653" s="4528"/>
      <c r="J653" s="4528"/>
      <c r="K653" s="4529"/>
      <c r="L653" s="1374"/>
      <c r="M653" s="385"/>
      <c r="N653" s="386"/>
      <c r="O653" s="386"/>
      <c r="P653" s="386"/>
      <c r="Q653" s="386"/>
      <c r="R653" s="386"/>
    </row>
    <row r="654" spans="1:18" ht="30" customHeight="1" x14ac:dyDescent="0.2">
      <c r="A654" s="4464"/>
      <c r="B654" s="4488"/>
      <c r="C654" s="4540"/>
      <c r="D654" s="1407">
        <v>2000000</v>
      </c>
      <c r="E654" s="1433"/>
      <c r="F654" s="1407"/>
      <c r="G654" s="4527" t="s">
        <v>3310</v>
      </c>
      <c r="H654" s="4528"/>
      <c r="I654" s="4528"/>
      <c r="J654" s="4528"/>
      <c r="K654" s="4529"/>
      <c r="L654" s="1429"/>
      <c r="M654" s="385"/>
      <c r="N654" s="386"/>
      <c r="O654" s="386"/>
      <c r="P654" s="386"/>
      <c r="Q654" s="386"/>
      <c r="R654" s="386"/>
    </row>
    <row r="655" spans="1:18" ht="30" customHeight="1" x14ac:dyDescent="0.2">
      <c r="A655" s="4464"/>
      <c r="B655" s="4488"/>
      <c r="C655" s="4540"/>
      <c r="D655" s="896">
        <f>SUM(D643:D654)</f>
        <v>186000000</v>
      </c>
      <c r="E655" s="1376"/>
      <c r="F655" s="1366"/>
      <c r="G655" s="1378"/>
      <c r="H655" s="1379"/>
      <c r="I655" s="1379"/>
      <c r="J655" s="1379"/>
      <c r="K655" s="1380"/>
      <c r="L655" s="1374"/>
      <c r="M655" s="385"/>
      <c r="N655" s="386"/>
      <c r="O655" s="386"/>
      <c r="P655" s="386"/>
      <c r="Q655" s="386"/>
      <c r="R655" s="386"/>
    </row>
    <row r="656" spans="1:18" ht="30" customHeight="1" x14ac:dyDescent="0.2">
      <c r="A656" s="4464"/>
      <c r="B656" s="4488"/>
      <c r="C656" s="4540"/>
      <c r="D656" s="1196"/>
      <c r="E656" s="1204"/>
      <c r="F656" s="1196"/>
      <c r="G656" s="1276">
        <v>500000</v>
      </c>
      <c r="H656" s="1276" t="s">
        <v>3004</v>
      </c>
      <c r="I656" s="1294">
        <v>435951</v>
      </c>
      <c r="J656" s="473" t="s">
        <v>2715</v>
      </c>
      <c r="K656" s="1276">
        <f>G656</f>
        <v>500000</v>
      </c>
      <c r="L656" s="1203"/>
      <c r="M656" s="385"/>
      <c r="N656" s="386"/>
      <c r="O656" s="386"/>
      <c r="P656" s="386"/>
      <c r="Q656" s="386"/>
      <c r="R656" s="386"/>
    </row>
    <row r="657" spans="1:18" ht="30" customHeight="1" x14ac:dyDescent="0.2">
      <c r="A657" s="4460"/>
      <c r="B657" s="4458"/>
      <c r="C657" s="4538"/>
      <c r="D657" s="4303" t="s">
        <v>3104</v>
      </c>
      <c r="E657" s="4324"/>
      <c r="F657" s="4355"/>
      <c r="G657" s="1276">
        <v>50000000</v>
      </c>
      <c r="H657" s="1276" t="s">
        <v>3101</v>
      </c>
      <c r="I657" s="1294" t="s">
        <v>3102</v>
      </c>
      <c r="J657" s="473" t="s">
        <v>3103</v>
      </c>
      <c r="K657" s="1276">
        <f>G657</f>
        <v>50000000</v>
      </c>
      <c r="L657" s="1203"/>
      <c r="M657" s="385"/>
      <c r="N657" s="386"/>
      <c r="O657" s="386"/>
      <c r="P657" s="386"/>
      <c r="Q657" s="386"/>
      <c r="R657" s="386"/>
    </row>
    <row r="658" spans="1:18" ht="30" customHeight="1" x14ac:dyDescent="0.2">
      <c r="A658" s="1043"/>
      <c r="B658" s="1044" t="s">
        <v>2573</v>
      </c>
      <c r="C658" s="1045"/>
      <c r="D658" s="1035">
        <v>60000000</v>
      </c>
      <c r="E658" s="1042">
        <v>5.5E-2</v>
      </c>
      <c r="F658" s="1035">
        <f>D658*E658</f>
        <v>3300000</v>
      </c>
      <c r="G658" s="1035">
        <v>3300000</v>
      </c>
      <c r="H658" s="1035" t="s">
        <v>2553</v>
      </c>
      <c r="I658" s="391">
        <v>122948037193</v>
      </c>
      <c r="J658" s="473" t="s">
        <v>2574</v>
      </c>
      <c r="K658" s="1035">
        <f t="shared" ref="K658:K668" si="54">G658</f>
        <v>3300000</v>
      </c>
      <c r="L658" s="1041">
        <f t="shared" ref="L658:L668" si="55">F658-K658</f>
        <v>0</v>
      </c>
      <c r="M658" s="385" t="s">
        <v>2575</v>
      </c>
      <c r="N658" s="386"/>
      <c r="O658" s="386"/>
      <c r="P658" s="386"/>
      <c r="Q658" s="386"/>
      <c r="R658" s="386"/>
    </row>
    <row r="659" spans="1:18" ht="30" customHeight="1" x14ac:dyDescent="0.2">
      <c r="A659" s="1049"/>
      <c r="B659" s="1048" t="s">
        <v>2609</v>
      </c>
      <c r="C659" s="1055"/>
      <c r="D659" s="1068"/>
      <c r="E659" s="40"/>
      <c r="F659" s="1068"/>
      <c r="G659" s="1051">
        <v>1500000</v>
      </c>
      <c r="H659" s="1051" t="s">
        <v>2577</v>
      </c>
      <c r="I659" s="391">
        <v>123014183006</v>
      </c>
      <c r="J659" s="473" t="s">
        <v>2610</v>
      </c>
      <c r="K659" s="1051">
        <f t="shared" si="54"/>
        <v>1500000</v>
      </c>
      <c r="L659" s="1075">
        <f t="shared" si="55"/>
        <v>-1500000</v>
      </c>
      <c r="M659" s="385"/>
      <c r="N659" s="386"/>
      <c r="O659" s="386"/>
      <c r="P659" s="386"/>
      <c r="Q659" s="386"/>
      <c r="R659" s="386"/>
    </row>
    <row r="660" spans="1:18" ht="30" customHeight="1" x14ac:dyDescent="0.2">
      <c r="A660" s="4459"/>
      <c r="B660" s="4457" t="s">
        <v>2611</v>
      </c>
      <c r="C660" s="4537"/>
      <c r="D660" s="1830">
        <v>4215000000</v>
      </c>
      <c r="E660" s="1831">
        <v>0.05</v>
      </c>
      <c r="F660" s="1830">
        <f>D660*E660</f>
        <v>210750000</v>
      </c>
      <c r="G660" s="1065">
        <v>30250000</v>
      </c>
      <c r="H660" s="1065" t="s">
        <v>2211</v>
      </c>
      <c r="I660" s="391">
        <v>897121217</v>
      </c>
      <c r="J660" s="473" t="s">
        <v>2612</v>
      </c>
      <c r="K660" s="1830">
        <f>G660</f>
        <v>30250000</v>
      </c>
      <c r="L660" s="387"/>
      <c r="M660" s="4788" t="s">
        <v>3837</v>
      </c>
      <c r="N660" s="386"/>
      <c r="O660" s="386"/>
      <c r="P660" s="386"/>
      <c r="Q660" s="386"/>
      <c r="R660" s="386"/>
    </row>
    <row r="661" spans="1:18" ht="30" customHeight="1" x14ac:dyDescent="0.2">
      <c r="A661" s="4464"/>
      <c r="B661" s="4488"/>
      <c r="C661" s="4540"/>
      <c r="D661" s="1830">
        <v>2000000000</v>
      </c>
      <c r="E661" s="1831">
        <v>7.0000000000000007E-2</v>
      </c>
      <c r="F661" s="1830">
        <f t="shared" ref="F661:F663" si="56">D661*E661</f>
        <v>140000000</v>
      </c>
      <c r="G661" s="1116">
        <v>100000000</v>
      </c>
      <c r="H661" s="1116" t="s">
        <v>2508</v>
      </c>
      <c r="I661" s="391">
        <v>78507</v>
      </c>
      <c r="J661" s="473" t="s">
        <v>2686</v>
      </c>
      <c r="K661" s="233">
        <f>G661</f>
        <v>100000000</v>
      </c>
      <c r="L661" s="387"/>
      <c r="M661" s="4788"/>
      <c r="N661" s="386"/>
      <c r="O661" s="386"/>
      <c r="P661" s="386"/>
      <c r="Q661" s="386"/>
      <c r="R661" s="386"/>
    </row>
    <row r="662" spans="1:18" ht="30" customHeight="1" x14ac:dyDescent="0.2">
      <c r="A662" s="4464"/>
      <c r="B662" s="4488"/>
      <c r="C662" s="4540"/>
      <c r="D662" s="1830">
        <v>3785000000</v>
      </c>
      <c r="E662" s="1831">
        <v>0.06</v>
      </c>
      <c r="F662" s="1830">
        <f t="shared" si="56"/>
        <v>227100000</v>
      </c>
      <c r="G662" s="1345">
        <v>200000000</v>
      </c>
      <c r="H662" s="1345" t="s">
        <v>3214</v>
      </c>
      <c r="I662" s="4691" t="s">
        <v>3220</v>
      </c>
      <c r="J662" s="4692"/>
      <c r="K662" s="4413">
        <f>G662+G663-47350000</f>
        <v>162650000</v>
      </c>
      <c r="L662" s="4609">
        <f>F664-K662</f>
        <v>550000000</v>
      </c>
      <c r="M662" s="1502" t="s">
        <v>3838</v>
      </c>
      <c r="N662" s="386"/>
      <c r="O662" s="386"/>
      <c r="P662" s="386"/>
      <c r="Q662" s="386"/>
      <c r="R662" s="386"/>
    </row>
    <row r="663" spans="1:18" ht="30" customHeight="1" x14ac:dyDescent="0.2">
      <c r="A663" s="4464"/>
      <c r="B663" s="4488"/>
      <c r="C663" s="4540"/>
      <c r="D663" s="1830">
        <v>1685000000</v>
      </c>
      <c r="E663" s="1831">
        <v>0.08</v>
      </c>
      <c r="F663" s="1830">
        <f t="shared" si="56"/>
        <v>134800000</v>
      </c>
      <c r="G663" s="1469">
        <v>10000000</v>
      </c>
      <c r="H663" s="1469" t="s">
        <v>3298</v>
      </c>
      <c r="I663" s="1527">
        <v>464419</v>
      </c>
      <c r="J663" s="1870" t="s">
        <v>3366</v>
      </c>
      <c r="K663" s="4415"/>
      <c r="L663" s="4604"/>
      <c r="M663" s="1502" t="s">
        <v>3836</v>
      </c>
      <c r="N663" s="386"/>
      <c r="O663" s="386"/>
      <c r="P663" s="386"/>
      <c r="Q663" s="386"/>
      <c r="R663" s="386"/>
    </row>
    <row r="664" spans="1:18" ht="30" customHeight="1" x14ac:dyDescent="0.2">
      <c r="A664" s="4460"/>
      <c r="B664" s="4458"/>
      <c r="C664" s="4538"/>
      <c r="D664" s="1856">
        <f>SUM(D660:D663)</f>
        <v>11685000000</v>
      </c>
      <c r="E664" s="1869"/>
      <c r="F664" s="1856">
        <f>SUM(F660:F663)</f>
        <v>712650000</v>
      </c>
      <c r="G664" s="4469" t="s">
        <v>3835</v>
      </c>
      <c r="H664" s="4470"/>
      <c r="I664" s="4470"/>
      <c r="J664" s="4470"/>
      <c r="K664" s="4471"/>
      <c r="L664" s="1510"/>
      <c r="M664" s="1505"/>
      <c r="N664" s="386"/>
      <c r="O664" s="386"/>
      <c r="P664" s="386"/>
      <c r="Q664" s="386"/>
      <c r="R664" s="386"/>
    </row>
    <row r="665" spans="1:18" ht="30" customHeight="1" x14ac:dyDescent="0.2">
      <c r="A665" s="1078"/>
      <c r="B665" s="1091" t="s">
        <v>2622</v>
      </c>
      <c r="C665" s="1069"/>
      <c r="D665" s="1068"/>
      <c r="E665" s="40"/>
      <c r="F665" s="1068"/>
      <c r="G665" s="1065">
        <v>4500000</v>
      </c>
      <c r="H665" s="1065" t="s">
        <v>2211</v>
      </c>
      <c r="I665" s="391">
        <v>123023258550</v>
      </c>
      <c r="J665" s="473" t="s">
        <v>1728</v>
      </c>
      <c r="K665" s="1065">
        <f t="shared" si="54"/>
        <v>4500000</v>
      </c>
      <c r="L665" s="1075">
        <f t="shared" si="55"/>
        <v>-4500000</v>
      </c>
      <c r="M665" s="385"/>
      <c r="N665" s="386"/>
      <c r="O665" s="386"/>
      <c r="P665" s="386"/>
      <c r="Q665" s="386"/>
      <c r="R665" s="386"/>
    </row>
    <row r="666" spans="1:18" ht="30" customHeight="1" x14ac:dyDescent="0.2">
      <c r="A666" s="1102"/>
      <c r="B666" s="1103" t="s">
        <v>2639</v>
      </c>
      <c r="C666" s="1095"/>
      <c r="D666" s="1969">
        <v>70000000</v>
      </c>
      <c r="E666" s="1971">
        <v>0.04</v>
      </c>
      <c r="F666" s="1969">
        <f>D666*E666</f>
        <v>2800000</v>
      </c>
      <c r="G666" s="1969">
        <v>2800000</v>
      </c>
      <c r="H666" s="1969" t="s">
        <v>2634</v>
      </c>
      <c r="I666" s="1972">
        <v>620521</v>
      </c>
      <c r="J666" s="473" t="s">
        <v>2640</v>
      </c>
      <c r="K666" s="1969">
        <f t="shared" si="54"/>
        <v>2800000</v>
      </c>
      <c r="L666" s="1970">
        <f t="shared" si="55"/>
        <v>0</v>
      </c>
      <c r="M666" s="385"/>
      <c r="N666" s="386"/>
      <c r="O666" s="386"/>
      <c r="P666" s="386"/>
      <c r="Q666" s="386"/>
      <c r="R666" s="386"/>
    </row>
    <row r="667" spans="1:18" ht="30" customHeight="1" x14ac:dyDescent="0.2">
      <c r="A667" s="1102"/>
      <c r="B667" s="1103" t="s">
        <v>2650</v>
      </c>
      <c r="C667" s="1105"/>
      <c r="D667" s="1096"/>
      <c r="E667" s="40"/>
      <c r="F667" s="1096"/>
      <c r="G667" s="1097">
        <v>2000000</v>
      </c>
      <c r="H667" s="1097" t="s">
        <v>2634</v>
      </c>
      <c r="I667" s="1030">
        <v>897726227</v>
      </c>
      <c r="J667" s="1030" t="s">
        <v>2651</v>
      </c>
      <c r="K667" s="1097">
        <f t="shared" si="54"/>
        <v>2000000</v>
      </c>
      <c r="L667" s="1031">
        <f t="shared" si="55"/>
        <v>-2000000</v>
      </c>
      <c r="M667" s="385"/>
      <c r="N667" s="386"/>
      <c r="O667" s="386"/>
      <c r="P667" s="386"/>
      <c r="Q667" s="386"/>
      <c r="R667" s="386"/>
    </row>
    <row r="668" spans="1:18" ht="30" customHeight="1" x14ac:dyDescent="0.2">
      <c r="A668" s="146"/>
      <c r="B668" s="3" t="s">
        <v>2692</v>
      </c>
      <c r="C668" s="1125"/>
      <c r="D668" s="1123"/>
      <c r="E668" s="40"/>
      <c r="F668" s="1123"/>
      <c r="G668" s="1122">
        <v>14000000</v>
      </c>
      <c r="H668" s="1122" t="s">
        <v>2689</v>
      </c>
      <c r="I668" s="391">
        <v>464433</v>
      </c>
      <c r="J668" s="473" t="s">
        <v>2693</v>
      </c>
      <c r="K668" s="1122">
        <f t="shared" si="54"/>
        <v>14000000</v>
      </c>
      <c r="L668" s="1124">
        <f t="shared" si="55"/>
        <v>-14000000</v>
      </c>
      <c r="M668" s="385"/>
      <c r="N668" s="386"/>
      <c r="O668" s="386"/>
      <c r="P668" s="386"/>
      <c r="Q668" s="386"/>
      <c r="R668" s="386"/>
    </row>
    <row r="669" spans="1:18" ht="30" customHeight="1" x14ac:dyDescent="0.2">
      <c r="A669" s="1165"/>
      <c r="B669" s="1166" t="s">
        <v>2702</v>
      </c>
      <c r="C669" s="1130"/>
      <c r="D669" s="1132">
        <v>30000000</v>
      </c>
      <c r="E669" s="1138">
        <v>0.05</v>
      </c>
      <c r="F669" s="1132">
        <f t="shared" ref="F669:F674" si="57">D669*E669</f>
        <v>1500000</v>
      </c>
      <c r="G669" s="4593" t="s">
        <v>2701</v>
      </c>
      <c r="H669" s="4594"/>
      <c r="I669" s="4594"/>
      <c r="J669" s="4594"/>
      <c r="K669" s="4595"/>
      <c r="L669" s="1136"/>
      <c r="M669" s="385"/>
      <c r="N669" s="386"/>
      <c r="O669" s="386"/>
      <c r="P669" s="386"/>
      <c r="Q669" s="386"/>
      <c r="R669" s="386"/>
    </row>
    <row r="670" spans="1:18" ht="30" customHeight="1" x14ac:dyDescent="0.2">
      <c r="A670" s="1165"/>
      <c r="B670" s="1166" t="s">
        <v>2727</v>
      </c>
      <c r="C670" s="1157" t="s">
        <v>392</v>
      </c>
      <c r="D670" s="1151">
        <v>140000000</v>
      </c>
      <c r="E670" s="1164">
        <v>7.0000000000000007E-2</v>
      </c>
      <c r="F670" s="1151">
        <f t="shared" si="57"/>
        <v>9800000.0000000019</v>
      </c>
      <c r="G670" s="4593" t="s">
        <v>2728</v>
      </c>
      <c r="H670" s="4594"/>
      <c r="I670" s="4594"/>
      <c r="J670" s="4594"/>
      <c r="K670" s="4595"/>
      <c r="L670" s="1163"/>
      <c r="M670" s="385" t="s">
        <v>2729</v>
      </c>
      <c r="N670" s="386"/>
      <c r="O670" s="386"/>
      <c r="P670" s="386"/>
      <c r="Q670" s="386"/>
      <c r="R670" s="386"/>
    </row>
    <row r="671" spans="1:18" ht="30" customHeight="1" x14ac:dyDescent="0.2">
      <c r="A671" s="1165"/>
      <c r="B671" s="1166" t="s">
        <v>2735</v>
      </c>
      <c r="C671" s="1157"/>
      <c r="D671" s="1151">
        <v>85000000</v>
      </c>
      <c r="E671" s="1164">
        <v>0.05</v>
      </c>
      <c r="F671" s="1151">
        <f t="shared" si="57"/>
        <v>4250000</v>
      </c>
      <c r="G671" s="1160"/>
      <c r="H671" s="1160"/>
      <c r="I671" s="1030"/>
      <c r="J671" s="1030"/>
      <c r="K671" s="1160"/>
      <c r="L671" s="1163"/>
      <c r="M671" s="385"/>
      <c r="N671" s="386"/>
      <c r="O671" s="386"/>
      <c r="P671" s="386"/>
      <c r="Q671" s="386"/>
      <c r="R671" s="386"/>
    </row>
    <row r="672" spans="1:18" ht="30" customHeight="1" x14ac:dyDescent="0.2">
      <c r="A672" s="1165"/>
      <c r="B672" s="1166" t="s">
        <v>2736</v>
      </c>
      <c r="C672" s="1157" t="s">
        <v>372</v>
      </c>
      <c r="D672" s="1151">
        <v>50000000</v>
      </c>
      <c r="E672" s="1164">
        <v>0.05</v>
      </c>
      <c r="F672" s="1151">
        <f t="shared" si="57"/>
        <v>2500000</v>
      </c>
      <c r="G672" s="4593" t="s">
        <v>2737</v>
      </c>
      <c r="H672" s="4594"/>
      <c r="I672" s="4594"/>
      <c r="J672" s="4594"/>
      <c r="K672" s="4595"/>
      <c r="L672" s="1163"/>
      <c r="M672" s="385"/>
      <c r="N672" s="386"/>
      <c r="O672" s="386"/>
      <c r="P672" s="386"/>
      <c r="Q672" s="386"/>
      <c r="R672" s="386"/>
    </row>
    <row r="673" spans="1:18" ht="30" customHeight="1" x14ac:dyDescent="0.2">
      <c r="A673" s="1165"/>
      <c r="B673" s="1166" t="s">
        <v>2738</v>
      </c>
      <c r="C673" s="1157" t="s">
        <v>372</v>
      </c>
      <c r="D673" s="1151">
        <v>25000000</v>
      </c>
      <c r="E673" s="1164">
        <v>0.05</v>
      </c>
      <c r="F673" s="1151">
        <f t="shared" si="57"/>
        <v>1250000</v>
      </c>
      <c r="G673" s="4593" t="s">
        <v>2737</v>
      </c>
      <c r="H673" s="4594"/>
      <c r="I673" s="4594"/>
      <c r="J673" s="4594"/>
      <c r="K673" s="4595"/>
      <c r="L673" s="1163"/>
      <c r="M673" s="385"/>
      <c r="N673" s="386"/>
      <c r="O673" s="386"/>
      <c r="P673" s="386"/>
      <c r="Q673" s="386"/>
      <c r="R673" s="386"/>
    </row>
    <row r="674" spans="1:18" ht="30" customHeight="1" x14ac:dyDescent="0.2">
      <c r="A674" s="1165"/>
      <c r="B674" s="1166" t="s">
        <v>2767</v>
      </c>
      <c r="C674" s="1157"/>
      <c r="D674" s="1151">
        <v>300000000</v>
      </c>
      <c r="E674" s="1164">
        <v>5.5E-2</v>
      </c>
      <c r="F674" s="1151">
        <f t="shared" si="57"/>
        <v>16500000</v>
      </c>
      <c r="G674" s="4593" t="s">
        <v>2768</v>
      </c>
      <c r="H674" s="4594"/>
      <c r="I674" s="4594"/>
      <c r="J674" s="4594"/>
      <c r="K674" s="4595"/>
      <c r="L674" s="1163"/>
      <c r="M674" s="385"/>
      <c r="N674" s="386"/>
      <c r="O674" s="386"/>
      <c r="P674" s="386"/>
      <c r="Q674" s="386"/>
      <c r="R674" s="386"/>
    </row>
    <row r="675" spans="1:18" ht="30" customHeight="1" x14ac:dyDescent="0.2">
      <c r="A675" s="1165"/>
      <c r="B675" s="1166" t="s">
        <v>2799</v>
      </c>
      <c r="C675" s="1157"/>
      <c r="D675" s="1151">
        <v>85000000</v>
      </c>
      <c r="E675" s="1164"/>
      <c r="F675" s="1151"/>
      <c r="G675" s="4593" t="s">
        <v>2800</v>
      </c>
      <c r="H675" s="4594"/>
      <c r="I675" s="4594"/>
      <c r="J675" s="4594"/>
      <c r="K675" s="4595"/>
      <c r="L675" s="1163"/>
      <c r="M675" s="385"/>
      <c r="N675" s="386"/>
      <c r="O675" s="386"/>
      <c r="P675" s="386"/>
      <c r="Q675" s="386"/>
      <c r="R675" s="386"/>
    </row>
    <row r="676" spans="1:18" ht="30" customHeight="1" x14ac:dyDescent="0.2">
      <c r="A676" s="1165"/>
      <c r="B676" s="1166" t="s">
        <v>2802</v>
      </c>
      <c r="C676" s="1157" t="s">
        <v>359</v>
      </c>
      <c r="D676" s="1151">
        <v>20000000</v>
      </c>
      <c r="E676" s="1164">
        <v>0.05</v>
      </c>
      <c r="F676" s="1151">
        <f>D676*E676</f>
        <v>1000000</v>
      </c>
      <c r="G676" s="4593" t="s">
        <v>2801</v>
      </c>
      <c r="H676" s="4594"/>
      <c r="I676" s="4594"/>
      <c r="J676" s="4594"/>
      <c r="K676" s="4595"/>
      <c r="L676" s="1163"/>
      <c r="M676" s="385"/>
      <c r="N676" s="386"/>
      <c r="O676" s="386"/>
      <c r="P676" s="386"/>
      <c r="Q676" s="386"/>
      <c r="R676" s="386"/>
    </row>
    <row r="677" spans="1:18" ht="30" customHeight="1" x14ac:dyDescent="0.2">
      <c r="A677" s="4459"/>
      <c r="B677" s="4457" t="s">
        <v>2904</v>
      </c>
      <c r="C677" s="4537" t="s">
        <v>1081</v>
      </c>
      <c r="D677" s="4413">
        <v>40000000</v>
      </c>
      <c r="E677" s="4476">
        <v>0.04</v>
      </c>
      <c r="F677" s="4413">
        <f>D677*E677</f>
        <v>1600000</v>
      </c>
      <c r="G677" s="4593" t="s">
        <v>2824</v>
      </c>
      <c r="H677" s="4594"/>
      <c r="I677" s="4594"/>
      <c r="J677" s="4594"/>
      <c r="K677" s="4595"/>
      <c r="L677" s="1187"/>
      <c r="M677" s="385"/>
      <c r="N677" s="386"/>
      <c r="O677" s="386"/>
      <c r="P677" s="386"/>
      <c r="Q677" s="386"/>
      <c r="R677" s="386"/>
    </row>
    <row r="678" spans="1:18" ht="30" customHeight="1" x14ac:dyDescent="0.2">
      <c r="A678" s="4460"/>
      <c r="B678" s="4458"/>
      <c r="C678" s="4538"/>
      <c r="D678" s="4415"/>
      <c r="E678" s="4477"/>
      <c r="F678" s="4415"/>
      <c r="G678" s="1420">
        <v>800000</v>
      </c>
      <c r="H678" s="1420" t="s">
        <v>3305</v>
      </c>
      <c r="I678" s="270">
        <v>123894363298</v>
      </c>
      <c r="J678" s="1420" t="s">
        <v>3340</v>
      </c>
      <c r="K678" s="1420">
        <f>G678</f>
        <v>800000</v>
      </c>
      <c r="L678" s="1429"/>
      <c r="M678" s="385" t="s">
        <v>2991</v>
      </c>
      <c r="N678" s="386"/>
      <c r="O678" s="386"/>
      <c r="P678" s="386"/>
      <c r="Q678" s="386"/>
      <c r="R678" s="386"/>
    </row>
    <row r="679" spans="1:18" ht="30" customHeight="1" x14ac:dyDescent="0.2">
      <c r="A679" s="1189"/>
      <c r="B679" s="1190" t="s">
        <v>2834</v>
      </c>
      <c r="C679" s="1183"/>
      <c r="D679" s="1179">
        <v>20000000</v>
      </c>
      <c r="E679" s="1188">
        <v>0.05</v>
      </c>
      <c r="F679" s="1179">
        <f>D679*E679</f>
        <v>1000000</v>
      </c>
      <c r="G679" s="1192"/>
      <c r="H679" s="1193"/>
      <c r="I679" s="1193"/>
      <c r="J679" s="1193"/>
      <c r="K679" s="1194"/>
      <c r="L679" s="1187"/>
      <c r="M679" s="385" t="s">
        <v>2835</v>
      </c>
      <c r="N679" s="386"/>
      <c r="O679" s="386"/>
      <c r="P679" s="386"/>
      <c r="Q679" s="386"/>
      <c r="R679" s="386"/>
    </row>
    <row r="680" spans="1:18" ht="30" customHeight="1" x14ac:dyDescent="0.2">
      <c r="A680" s="4459"/>
      <c r="B680" s="4693" t="s">
        <v>2867</v>
      </c>
      <c r="C680" s="4695" t="s">
        <v>2898</v>
      </c>
      <c r="D680" s="1216">
        <v>70000000</v>
      </c>
      <c r="E680" s="1217">
        <v>0.05</v>
      </c>
      <c r="F680" s="1216">
        <f>D680*E680</f>
        <v>3500000</v>
      </c>
      <c r="G680" s="1185">
        <v>20000000</v>
      </c>
      <c r="H680" s="1185" t="s">
        <v>1916</v>
      </c>
      <c r="I680" s="270" t="s">
        <v>2869</v>
      </c>
      <c r="J680" s="1185" t="s">
        <v>2868</v>
      </c>
      <c r="K680" s="1185">
        <f>G680</f>
        <v>20000000</v>
      </c>
      <c r="L680" s="1187"/>
      <c r="M680" s="1331" t="s">
        <v>2902</v>
      </c>
      <c r="N680" s="386"/>
      <c r="O680" s="386"/>
      <c r="P680" s="386"/>
      <c r="Q680" s="386"/>
      <c r="R680" s="386"/>
    </row>
    <row r="681" spans="1:18" ht="30" customHeight="1" x14ac:dyDescent="0.2">
      <c r="A681" s="4464"/>
      <c r="B681" s="4697"/>
      <c r="C681" s="4698"/>
      <c r="D681" s="4702" t="s">
        <v>2901</v>
      </c>
      <c r="E681" s="4703"/>
      <c r="F681" s="4704"/>
      <c r="G681" s="1196"/>
      <c r="H681" s="1196"/>
      <c r="I681" s="270"/>
      <c r="J681" s="1198"/>
      <c r="K681" s="1196"/>
      <c r="L681" s="1203"/>
      <c r="M681" s="1332"/>
      <c r="N681" s="386"/>
      <c r="O681" s="386"/>
      <c r="P681" s="386"/>
      <c r="Q681" s="386"/>
      <c r="R681" s="386"/>
    </row>
    <row r="682" spans="1:18" ht="30" customHeight="1" x14ac:dyDescent="0.2">
      <c r="A682" s="4460"/>
      <c r="B682" s="4694"/>
      <c r="C682" s="4696"/>
      <c r="D682" s="4699" t="s">
        <v>2900</v>
      </c>
      <c r="E682" s="4700"/>
      <c r="F682" s="4701"/>
      <c r="G682" s="1196"/>
      <c r="H682" s="1196"/>
      <c r="I682" s="270"/>
      <c r="J682" s="1198"/>
      <c r="K682" s="1196"/>
      <c r="L682" s="1203"/>
      <c r="M682" s="1332"/>
      <c r="N682" s="386"/>
      <c r="O682" s="386"/>
      <c r="P682" s="386"/>
      <c r="Q682" s="386"/>
      <c r="R682" s="386"/>
    </row>
    <row r="683" spans="1:18" ht="30" customHeight="1" x14ac:dyDescent="0.2">
      <c r="A683" s="4459"/>
      <c r="B683" s="4693" t="s">
        <v>2899</v>
      </c>
      <c r="C683" s="4695" t="s">
        <v>402</v>
      </c>
      <c r="D683" s="1216">
        <v>190000000</v>
      </c>
      <c r="E683" s="1217">
        <v>4.4999999999999998E-2</v>
      </c>
      <c r="F683" s="1216">
        <v>8600000</v>
      </c>
      <c r="G683" s="1196"/>
      <c r="H683" s="1196"/>
      <c r="I683" s="270"/>
      <c r="J683" s="1198"/>
      <c r="K683" s="1196"/>
      <c r="L683" s="1203"/>
      <c r="M683" s="1332"/>
      <c r="N683" s="386"/>
      <c r="O683" s="386"/>
      <c r="P683" s="386"/>
      <c r="Q683" s="386"/>
      <c r="R683" s="386"/>
    </row>
    <row r="684" spans="1:18" ht="30" customHeight="1" x14ac:dyDescent="0.2">
      <c r="A684" s="4460"/>
      <c r="B684" s="4694"/>
      <c r="C684" s="4696"/>
      <c r="D684" s="1216">
        <v>90000000</v>
      </c>
      <c r="E684" s="1217">
        <v>0.06</v>
      </c>
      <c r="F684" s="1216">
        <f>D684*E684</f>
        <v>5400000</v>
      </c>
      <c r="G684" s="1196"/>
      <c r="H684" s="1196"/>
      <c r="I684" s="270"/>
      <c r="J684" s="1198"/>
      <c r="K684" s="1196"/>
      <c r="L684" s="1203"/>
      <c r="M684" s="1332"/>
      <c r="N684" s="386"/>
      <c r="O684" s="386"/>
      <c r="P684" s="386"/>
      <c r="Q684" s="386"/>
      <c r="R684" s="386"/>
    </row>
    <row r="685" spans="1:18" ht="30" customHeight="1" x14ac:dyDescent="0.2">
      <c r="A685" s="1206"/>
      <c r="B685" s="1218" t="s">
        <v>2206</v>
      </c>
      <c r="C685" s="1219" t="s">
        <v>1306</v>
      </c>
      <c r="D685" s="1216">
        <v>150000000</v>
      </c>
      <c r="E685" s="1217">
        <v>0.05</v>
      </c>
      <c r="F685" s="1216">
        <f>D685*E685</f>
        <v>7500000</v>
      </c>
      <c r="G685" s="1312">
        <v>7500000</v>
      </c>
      <c r="H685" s="1312" t="s">
        <v>3127</v>
      </c>
      <c r="I685" s="270">
        <v>105231502131037</v>
      </c>
      <c r="J685" s="1319">
        <v>105109715001</v>
      </c>
      <c r="K685" s="1312">
        <f>G685</f>
        <v>7500000</v>
      </c>
      <c r="L685" s="1324">
        <f>F685-K685</f>
        <v>0</v>
      </c>
      <c r="M685" s="1333" t="s">
        <v>2207</v>
      </c>
      <c r="N685" s="386"/>
      <c r="O685" s="386"/>
      <c r="P685" s="386"/>
      <c r="Q685" s="386"/>
      <c r="R685" s="386"/>
    </row>
    <row r="686" spans="1:18" ht="30" customHeight="1" x14ac:dyDescent="0.2">
      <c r="A686" s="1206"/>
      <c r="B686" s="1205"/>
      <c r="C686" s="1199"/>
      <c r="D686" s="1196"/>
      <c r="E686" s="1204"/>
      <c r="F686" s="1196"/>
      <c r="G686" s="1196"/>
      <c r="H686" s="1196"/>
      <c r="I686" s="270"/>
      <c r="J686" s="1198"/>
      <c r="K686" s="1196"/>
      <c r="L686" s="1203"/>
      <c r="M686" s="385"/>
      <c r="N686" s="386"/>
      <c r="O686" s="386"/>
      <c r="P686" s="386"/>
      <c r="Q686" s="386"/>
      <c r="R686" s="386"/>
    </row>
    <row r="687" spans="1:18" ht="30" customHeight="1" x14ac:dyDescent="0.2">
      <c r="A687" s="4614"/>
      <c r="B687" s="4615" t="s">
        <v>180</v>
      </c>
      <c r="C687" s="1183"/>
      <c r="D687" s="1179"/>
      <c r="E687" s="1188"/>
      <c r="F687" s="1179"/>
      <c r="G687" s="1179">
        <v>1600000</v>
      </c>
      <c r="H687" s="1179" t="s">
        <v>1916</v>
      </c>
      <c r="I687" s="270">
        <v>123310224708</v>
      </c>
      <c r="J687" s="1184" t="s">
        <v>2870</v>
      </c>
      <c r="K687" s="1179">
        <f>G687</f>
        <v>1600000</v>
      </c>
      <c r="L687" s="1187"/>
      <c r="M687" s="385"/>
      <c r="N687" s="386"/>
      <c r="O687" s="386"/>
      <c r="P687" s="386"/>
      <c r="Q687" s="386"/>
      <c r="R687" s="386"/>
    </row>
    <row r="688" spans="1:18" ht="30" customHeight="1" x14ac:dyDescent="0.2">
      <c r="A688" s="4614"/>
      <c r="B688" s="4615"/>
      <c r="C688" s="1183" t="s">
        <v>2849</v>
      </c>
      <c r="D688" s="1179">
        <v>100000000</v>
      </c>
      <c r="E688" s="1188"/>
      <c r="F688" s="1179"/>
      <c r="G688" s="4593" t="s">
        <v>2871</v>
      </c>
      <c r="H688" s="4594"/>
      <c r="I688" s="4594"/>
      <c r="J688" s="4594"/>
      <c r="K688" s="4595"/>
      <c r="L688" s="1187"/>
      <c r="M688" s="385"/>
      <c r="N688" s="386"/>
      <c r="O688" s="386"/>
      <c r="P688" s="386"/>
      <c r="Q688" s="386"/>
      <c r="R688" s="386"/>
    </row>
    <row r="689" spans="1:18" ht="30" customHeight="1" x14ac:dyDescent="0.2">
      <c r="A689" s="1206"/>
      <c r="B689" s="1205" t="s">
        <v>2873</v>
      </c>
      <c r="C689" s="1199" t="s">
        <v>1172</v>
      </c>
      <c r="D689" s="1196">
        <v>40000000</v>
      </c>
      <c r="E689" s="1204">
        <v>0.05</v>
      </c>
      <c r="F689" s="1196">
        <f>D689*E689</f>
        <v>2000000</v>
      </c>
      <c r="G689" s="1196">
        <v>1300000</v>
      </c>
      <c r="H689" s="1196" t="s">
        <v>2897</v>
      </c>
      <c r="I689" s="270">
        <v>123446525890</v>
      </c>
      <c r="J689" s="1198" t="s">
        <v>2998</v>
      </c>
      <c r="K689" s="1196">
        <f>G689</f>
        <v>1300000</v>
      </c>
      <c r="L689" s="1203">
        <f>1300000-G689</f>
        <v>0</v>
      </c>
      <c r="M689" s="385" t="s">
        <v>2999</v>
      </c>
      <c r="N689" s="386"/>
      <c r="O689" s="386"/>
      <c r="P689" s="386"/>
      <c r="Q689" s="386"/>
      <c r="R689" s="386"/>
    </row>
    <row r="690" spans="1:18" ht="30" customHeight="1" x14ac:dyDescent="0.2">
      <c r="A690" s="1206"/>
      <c r="B690" s="1205" t="s">
        <v>2878</v>
      </c>
      <c r="C690" s="1199" t="s">
        <v>1718</v>
      </c>
      <c r="D690" s="1196">
        <v>25000000</v>
      </c>
      <c r="E690" s="1204">
        <v>0.04</v>
      </c>
      <c r="F690" s="1196">
        <f>D690*E690</f>
        <v>1000000</v>
      </c>
      <c r="G690" s="1196"/>
      <c r="H690" s="1196"/>
      <c r="I690" s="270"/>
      <c r="J690" s="1198"/>
      <c r="K690" s="1196"/>
      <c r="L690" s="1203"/>
      <c r="M690" s="1978" t="s">
        <v>4031</v>
      </c>
      <c r="N690" s="386"/>
      <c r="O690" s="386"/>
      <c r="P690" s="386"/>
      <c r="Q690" s="386"/>
      <c r="R690" s="386"/>
    </row>
    <row r="691" spans="1:18" ht="30" customHeight="1" x14ac:dyDescent="0.2">
      <c r="A691" s="1206"/>
      <c r="B691" s="1205" t="s">
        <v>2903</v>
      </c>
      <c r="C691" s="1199"/>
      <c r="D691" s="1196">
        <v>10000000</v>
      </c>
      <c r="E691" s="1204"/>
      <c r="F691" s="1196"/>
      <c r="G691" s="1196"/>
      <c r="H691" s="1196"/>
      <c r="I691" s="270"/>
      <c r="J691" s="1198"/>
      <c r="K691" s="1196"/>
      <c r="L691" s="1203"/>
      <c r="M691" s="385"/>
      <c r="N691" s="386"/>
      <c r="O691" s="386"/>
      <c r="P691" s="386"/>
      <c r="Q691" s="386"/>
      <c r="R691" s="386"/>
    </row>
    <row r="692" spans="1:18" ht="30" customHeight="1" x14ac:dyDescent="0.2">
      <c r="A692" s="1206"/>
      <c r="B692" s="1205" t="s">
        <v>2932</v>
      </c>
      <c r="C692" s="1199"/>
      <c r="D692" s="1223"/>
      <c r="E692" s="40"/>
      <c r="F692" s="1223"/>
      <c r="G692" s="1196">
        <v>2500000</v>
      </c>
      <c r="H692" s="1196" t="s">
        <v>2916</v>
      </c>
      <c r="I692" s="270">
        <v>155930</v>
      </c>
      <c r="J692" s="1198" t="s">
        <v>2933</v>
      </c>
      <c r="K692" s="1196">
        <f>G692</f>
        <v>2500000</v>
      </c>
      <c r="L692" s="1227">
        <f>F692-K692</f>
        <v>-2500000</v>
      </c>
      <c r="M692" s="385"/>
      <c r="N692" s="386"/>
      <c r="O692" s="386"/>
      <c r="P692" s="386"/>
      <c r="Q692" s="386"/>
      <c r="R692" s="386"/>
    </row>
    <row r="693" spans="1:18" ht="30" customHeight="1" x14ac:dyDescent="0.2">
      <c r="A693" s="1206"/>
      <c r="B693" s="1205" t="s">
        <v>2938</v>
      </c>
      <c r="C693" s="1199"/>
      <c r="D693" s="1223"/>
      <c r="E693" s="40"/>
      <c r="F693" s="1223"/>
      <c r="G693" s="1196">
        <v>500000</v>
      </c>
      <c r="H693" s="1196" t="s">
        <v>2916</v>
      </c>
      <c r="I693" s="270">
        <v>461979</v>
      </c>
      <c r="J693" s="1198" t="s">
        <v>2939</v>
      </c>
      <c r="K693" s="1196">
        <f>G693</f>
        <v>500000</v>
      </c>
      <c r="L693" s="1227">
        <f>F693-K693</f>
        <v>-500000</v>
      </c>
      <c r="M693" s="385"/>
      <c r="N693" s="386"/>
      <c r="O693" s="386"/>
      <c r="P693" s="386"/>
      <c r="Q693" s="386"/>
      <c r="R693" s="386"/>
    </row>
    <row r="694" spans="1:18" ht="30" customHeight="1" x14ac:dyDescent="0.2">
      <c r="A694" s="1206"/>
      <c r="B694" s="1205" t="s">
        <v>2943</v>
      </c>
      <c r="C694" s="1199"/>
      <c r="D694" s="1223"/>
      <c r="E694" s="40"/>
      <c r="F694" s="1223"/>
      <c r="G694" s="1196">
        <v>500000</v>
      </c>
      <c r="H694" s="1196" t="s">
        <v>2916</v>
      </c>
      <c r="I694" s="270">
        <v>546420</v>
      </c>
      <c r="J694" s="1198" t="s">
        <v>2944</v>
      </c>
      <c r="K694" s="1196">
        <f>G694</f>
        <v>500000</v>
      </c>
      <c r="L694" s="1227">
        <f>F694-K694</f>
        <v>-500000</v>
      </c>
      <c r="M694" s="385"/>
      <c r="N694" s="386"/>
      <c r="O694" s="386"/>
      <c r="P694" s="386"/>
      <c r="Q694" s="386"/>
      <c r="R694" s="386"/>
    </row>
    <row r="695" spans="1:18" ht="30" customHeight="1" x14ac:dyDescent="0.2">
      <c r="A695" s="1249"/>
      <c r="B695" s="1248"/>
      <c r="C695" s="1245"/>
      <c r="D695" s="1241"/>
      <c r="E695" s="1247"/>
      <c r="F695" s="1241"/>
      <c r="G695" s="1241"/>
      <c r="H695" s="1241"/>
      <c r="I695" s="270"/>
      <c r="J695" s="1244"/>
      <c r="K695" s="1241"/>
      <c r="L695" s="1246"/>
      <c r="M695" s="385"/>
      <c r="N695" s="386"/>
      <c r="O695" s="386"/>
      <c r="P695" s="386"/>
      <c r="Q695" s="386"/>
      <c r="R695" s="386"/>
    </row>
    <row r="696" spans="1:18" ht="30" customHeight="1" x14ac:dyDescent="0.2">
      <c r="A696" s="1249"/>
      <c r="B696" s="1248" t="s">
        <v>3037</v>
      </c>
      <c r="C696" s="1245"/>
      <c r="D696" s="1253">
        <v>30000000</v>
      </c>
      <c r="E696" s="1265"/>
      <c r="F696" s="1253"/>
      <c r="G696" s="4623" t="s">
        <v>3038</v>
      </c>
      <c r="H696" s="4624"/>
      <c r="I696" s="4624"/>
      <c r="J696" s="4624"/>
      <c r="K696" s="4625"/>
      <c r="L696" s="1264"/>
      <c r="M696" s="385" t="s">
        <v>3039</v>
      </c>
      <c r="N696" s="386"/>
      <c r="O696" s="386"/>
      <c r="P696" s="386"/>
      <c r="Q696" s="386"/>
      <c r="R696" s="386"/>
    </row>
    <row r="697" spans="1:18" ht="30" customHeight="1" x14ac:dyDescent="0.2">
      <c r="A697" s="1206"/>
      <c r="B697" s="1205" t="s">
        <v>3040</v>
      </c>
      <c r="C697" s="1199"/>
      <c r="D697" s="1196">
        <f>1000000000+19000000</f>
        <v>1019000000</v>
      </c>
      <c r="E697" s="1204">
        <v>0.06</v>
      </c>
      <c r="F697" s="1196"/>
      <c r="G697" s="1196"/>
      <c r="H697" s="1196"/>
      <c r="I697" s="270"/>
      <c r="J697" s="1198"/>
      <c r="K697" s="1196"/>
      <c r="L697" s="1203"/>
      <c r="M697" s="385" t="s">
        <v>3041</v>
      </c>
      <c r="N697" s="386"/>
      <c r="O697" s="386"/>
      <c r="P697" s="386"/>
      <c r="Q697" s="386"/>
      <c r="R697" s="386"/>
    </row>
    <row r="698" spans="1:18" ht="30" customHeight="1" x14ac:dyDescent="0.2">
      <c r="A698" s="1297"/>
      <c r="B698" s="1296" t="s">
        <v>3071</v>
      </c>
      <c r="C698" s="1281" t="s">
        <v>889</v>
      </c>
      <c r="D698" s="1276">
        <v>100000000</v>
      </c>
      <c r="E698" s="1291">
        <v>0.05</v>
      </c>
      <c r="F698" s="1276">
        <f>D698*E698</f>
        <v>5000000</v>
      </c>
      <c r="G698" s="1469">
        <v>1630000</v>
      </c>
      <c r="H698" s="1469" t="s">
        <v>3305</v>
      </c>
      <c r="I698" s="270">
        <v>661124370291</v>
      </c>
      <c r="J698" s="1482" t="s">
        <v>1524</v>
      </c>
      <c r="K698" s="1469">
        <f>G698</f>
        <v>1630000</v>
      </c>
      <c r="L698" s="1288"/>
      <c r="M698" s="4623" t="s">
        <v>3072</v>
      </c>
      <c r="N698" s="4624"/>
      <c r="O698" s="4624"/>
      <c r="P698" s="4624"/>
      <c r="Q698" s="4625"/>
      <c r="R698" s="386"/>
    </row>
    <row r="699" spans="1:18" ht="30" customHeight="1" x14ac:dyDescent="0.2">
      <c r="A699" s="4459"/>
      <c r="B699" s="4457" t="s">
        <v>3119</v>
      </c>
      <c r="C699" s="4537"/>
      <c r="D699" s="4413">
        <v>30000000</v>
      </c>
      <c r="E699" s="4476">
        <v>7.0000000000000007E-2</v>
      </c>
      <c r="F699" s="4413">
        <f>D699*E699</f>
        <v>2100000</v>
      </c>
      <c r="G699" s="4657" t="s">
        <v>3121</v>
      </c>
      <c r="H699" s="4658"/>
      <c r="I699" s="4658"/>
      <c r="J699" s="4658"/>
      <c r="K699" s="4659"/>
      <c r="L699" s="4603"/>
      <c r="M699" s="4603"/>
      <c r="N699" s="386"/>
      <c r="O699" s="386"/>
      <c r="P699" s="386"/>
      <c r="Q699" s="386"/>
      <c r="R699" s="386"/>
    </row>
    <row r="700" spans="1:18" ht="30" customHeight="1" x14ac:dyDescent="0.2">
      <c r="A700" s="4460"/>
      <c r="B700" s="4458"/>
      <c r="C700" s="4538"/>
      <c r="D700" s="4415"/>
      <c r="E700" s="4477"/>
      <c r="F700" s="4415"/>
      <c r="G700" s="4660"/>
      <c r="H700" s="4661"/>
      <c r="I700" s="4661"/>
      <c r="J700" s="4661"/>
      <c r="K700" s="4662"/>
      <c r="L700" s="4604"/>
      <c r="M700" s="4604"/>
      <c r="N700" s="386"/>
      <c r="O700" s="386"/>
      <c r="P700" s="386"/>
      <c r="Q700" s="386"/>
      <c r="R700" s="386"/>
    </row>
    <row r="701" spans="1:18" ht="30" customHeight="1" x14ac:dyDescent="0.2">
      <c r="A701" s="1310"/>
      <c r="B701" s="1340" t="s">
        <v>3158</v>
      </c>
      <c r="C701" s="1316"/>
      <c r="D701" s="1312">
        <v>200000000</v>
      </c>
      <c r="E701" s="1314"/>
      <c r="F701" s="1312"/>
      <c r="G701" s="4623" t="s">
        <v>3160</v>
      </c>
      <c r="H701" s="4624"/>
      <c r="I701" s="4624"/>
      <c r="J701" s="4624"/>
      <c r="K701" s="4625"/>
      <c r="L701" s="1324"/>
      <c r="M701" s="1324"/>
      <c r="N701" s="386"/>
      <c r="O701" s="386"/>
      <c r="P701" s="386"/>
      <c r="Q701" s="386"/>
      <c r="R701" s="386"/>
    </row>
    <row r="702" spans="1:18" ht="30" customHeight="1" x14ac:dyDescent="0.2">
      <c r="A702" s="1310"/>
      <c r="B702" s="1340" t="s">
        <v>3159</v>
      </c>
      <c r="C702" s="1316"/>
      <c r="D702" s="1312">
        <v>50000000</v>
      </c>
      <c r="E702" s="1314"/>
      <c r="F702" s="1312"/>
      <c r="G702" s="4623" t="s">
        <v>3161</v>
      </c>
      <c r="H702" s="4624"/>
      <c r="I702" s="4624"/>
      <c r="J702" s="4624"/>
      <c r="K702" s="4625"/>
      <c r="L702" s="1324"/>
      <c r="M702" s="1324"/>
      <c r="N702" s="386"/>
      <c r="O702" s="386"/>
      <c r="P702" s="386"/>
      <c r="Q702" s="386"/>
      <c r="R702" s="386"/>
    </row>
    <row r="703" spans="1:18" ht="30" customHeight="1" x14ac:dyDescent="0.2">
      <c r="A703" s="1297"/>
      <c r="B703" s="1317" t="s">
        <v>3163</v>
      </c>
      <c r="C703" s="1340"/>
      <c r="D703" s="1312">
        <v>10000000</v>
      </c>
      <c r="E703" s="1312"/>
      <c r="F703" s="1314"/>
      <c r="G703" s="4623" t="s">
        <v>2912</v>
      </c>
      <c r="H703" s="4624"/>
      <c r="I703" s="4624"/>
      <c r="J703" s="4624"/>
      <c r="K703" s="4625"/>
      <c r="L703" s="1295"/>
      <c r="M703" s="385"/>
      <c r="N703" s="386"/>
      <c r="O703" s="386"/>
      <c r="P703" s="386"/>
      <c r="Q703" s="386"/>
      <c r="R703" s="386"/>
    </row>
    <row r="704" spans="1:18" ht="30" customHeight="1" x14ac:dyDescent="0.2">
      <c r="A704" s="146"/>
      <c r="B704" s="1350" t="s">
        <v>3229</v>
      </c>
      <c r="C704" s="1340"/>
      <c r="D704" s="1361"/>
      <c r="E704" s="40"/>
      <c r="F704" s="1348"/>
      <c r="G704" s="1352">
        <v>11000000</v>
      </c>
      <c r="H704" s="1352" t="s">
        <v>3227</v>
      </c>
      <c r="I704" s="1363" t="s">
        <v>3231</v>
      </c>
      <c r="J704" s="1352" t="s">
        <v>3232</v>
      </c>
      <c r="K704" s="1352">
        <f>G704</f>
        <v>11000000</v>
      </c>
      <c r="L704" s="1355">
        <f>F704-K704</f>
        <v>-11000000</v>
      </c>
      <c r="M704" s="385"/>
      <c r="N704" s="386"/>
      <c r="O704" s="386"/>
      <c r="P704" s="386"/>
      <c r="Q704" s="386"/>
      <c r="R704" s="386"/>
    </row>
    <row r="705" spans="1:18" ht="30" customHeight="1" x14ac:dyDescent="0.2">
      <c r="A705" s="4459"/>
      <c r="B705" s="4474" t="s">
        <v>825</v>
      </c>
      <c r="C705" s="1340"/>
      <c r="D705" s="1316"/>
      <c r="E705" s="1312"/>
      <c r="F705" s="1314"/>
      <c r="G705" s="1320">
        <v>50000000</v>
      </c>
      <c r="H705" s="1320"/>
      <c r="I705" s="1320"/>
      <c r="J705" s="1320"/>
      <c r="K705" s="1320"/>
      <c r="L705" s="1324"/>
      <c r="M705" s="385"/>
      <c r="N705" s="386"/>
      <c r="O705" s="386"/>
      <c r="P705" s="386"/>
      <c r="Q705" s="386"/>
      <c r="R705" s="386"/>
    </row>
    <row r="706" spans="1:18" ht="30" customHeight="1" x14ac:dyDescent="0.2">
      <c r="A706" s="4460"/>
      <c r="B706" s="4475"/>
      <c r="C706" s="1340"/>
      <c r="D706" s="1316"/>
      <c r="E706" s="1312"/>
      <c r="F706" s="1314"/>
      <c r="G706" s="1320">
        <v>30000000</v>
      </c>
      <c r="H706" s="1320" t="s">
        <v>3189</v>
      </c>
      <c r="I706" s="1320" t="s">
        <v>3198</v>
      </c>
      <c r="J706" s="1320" t="s">
        <v>855</v>
      </c>
      <c r="K706" s="1320">
        <f>G705+G706</f>
        <v>80000000</v>
      </c>
      <c r="L706" s="1324"/>
      <c r="M706" s="385"/>
      <c r="N706" s="386"/>
      <c r="O706" s="386"/>
      <c r="P706" s="386"/>
      <c r="Q706" s="386"/>
      <c r="R706" s="386"/>
    </row>
    <row r="707" spans="1:18" ht="30" customHeight="1" x14ac:dyDescent="0.2">
      <c r="A707" s="146"/>
      <c r="B707" s="1350" t="s">
        <v>3215</v>
      </c>
      <c r="C707" s="1349" t="s">
        <v>3216</v>
      </c>
      <c r="D707" s="1345">
        <v>120000000</v>
      </c>
      <c r="E707" s="1357">
        <v>0.04</v>
      </c>
      <c r="F707" s="1345">
        <f>D707*E707</f>
        <v>4800000</v>
      </c>
      <c r="G707" s="4623" t="s">
        <v>3217</v>
      </c>
      <c r="H707" s="4624"/>
      <c r="I707" s="4624"/>
      <c r="J707" s="4624"/>
      <c r="K707" s="4625"/>
      <c r="L707" s="1324"/>
      <c r="M707" s="385"/>
      <c r="N707" s="386"/>
      <c r="O707" s="386"/>
      <c r="P707" s="386"/>
      <c r="Q707" s="386"/>
      <c r="R707" s="386"/>
    </row>
    <row r="708" spans="1:18" ht="30" customHeight="1" x14ac:dyDescent="0.2">
      <c r="A708" s="146"/>
      <c r="B708" s="1350" t="s">
        <v>3218</v>
      </c>
      <c r="C708" s="1349" t="s">
        <v>3219</v>
      </c>
      <c r="D708" s="1345">
        <v>100000000</v>
      </c>
      <c r="E708" s="1357">
        <v>0.05</v>
      </c>
      <c r="F708" s="1345">
        <f>D708*E708</f>
        <v>5000000</v>
      </c>
      <c r="G708" s="4623" t="s">
        <v>3217</v>
      </c>
      <c r="H708" s="4624"/>
      <c r="I708" s="4624"/>
      <c r="J708" s="4624"/>
      <c r="K708" s="4625"/>
      <c r="L708" s="1354"/>
      <c r="M708" s="385"/>
      <c r="N708" s="386"/>
      <c r="O708" s="386"/>
      <c r="P708" s="386"/>
      <c r="Q708" s="386"/>
      <c r="R708" s="386"/>
    </row>
    <row r="709" spans="1:18" ht="30" customHeight="1" x14ac:dyDescent="0.2">
      <c r="A709" s="146"/>
      <c r="B709" s="1350" t="s">
        <v>3221</v>
      </c>
      <c r="C709" s="1349" t="s">
        <v>1796</v>
      </c>
      <c r="D709" s="1345">
        <v>50000000</v>
      </c>
      <c r="E709" s="1357">
        <v>0.05</v>
      </c>
      <c r="F709" s="1345">
        <f>D709*E709</f>
        <v>2500000</v>
      </c>
      <c r="G709" s="4623" t="s">
        <v>3217</v>
      </c>
      <c r="H709" s="4624"/>
      <c r="I709" s="4624"/>
      <c r="J709" s="4624"/>
      <c r="K709" s="4625"/>
      <c r="L709" s="1354"/>
      <c r="M709" s="385"/>
      <c r="N709" s="386"/>
      <c r="O709" s="386"/>
      <c r="P709" s="386"/>
      <c r="Q709" s="386"/>
      <c r="R709" s="386"/>
    </row>
    <row r="710" spans="1:18" ht="30" customHeight="1" x14ac:dyDescent="0.2">
      <c r="A710" s="146"/>
      <c r="B710" s="1350" t="s">
        <v>3224</v>
      </c>
      <c r="C710" s="1349"/>
      <c r="D710" s="1361"/>
      <c r="E710" s="40"/>
      <c r="F710" s="1348"/>
      <c r="G710" s="1352">
        <v>8000000</v>
      </c>
      <c r="H710" s="1352" t="s">
        <v>3189</v>
      </c>
      <c r="I710" s="1363" t="s">
        <v>3225</v>
      </c>
      <c r="J710" s="1352" t="s">
        <v>3226</v>
      </c>
      <c r="K710" s="1352">
        <f>G710</f>
        <v>8000000</v>
      </c>
      <c r="L710" s="1355">
        <f>F710-K710</f>
        <v>-8000000</v>
      </c>
      <c r="M710" s="385" t="s">
        <v>3230</v>
      </c>
      <c r="N710" s="386"/>
      <c r="O710" s="386"/>
      <c r="P710" s="386"/>
      <c r="Q710" s="386"/>
      <c r="R710" s="386"/>
    </row>
    <row r="711" spans="1:18" ht="30" customHeight="1" x14ac:dyDescent="0.2">
      <c r="A711" s="146"/>
      <c r="B711" s="1350" t="s">
        <v>3257</v>
      </c>
      <c r="C711" s="1349"/>
      <c r="D711" s="1345">
        <v>40000000</v>
      </c>
      <c r="E711" s="1357">
        <v>0.05</v>
      </c>
      <c r="F711" s="1345">
        <f>D711*E711</f>
        <v>2000000</v>
      </c>
      <c r="G711" s="4623" t="s">
        <v>3294</v>
      </c>
      <c r="H711" s="4624"/>
      <c r="I711" s="4624"/>
      <c r="J711" s="4624"/>
      <c r="K711" s="4625"/>
      <c r="L711" s="1354"/>
      <c r="M711" s="385"/>
      <c r="N711" s="386"/>
      <c r="O711" s="386"/>
      <c r="P711" s="386"/>
      <c r="Q711" s="386"/>
      <c r="R711" s="386"/>
    </row>
    <row r="712" spans="1:18" ht="30" customHeight="1" x14ac:dyDescent="0.2">
      <c r="A712" s="146"/>
      <c r="B712" s="1350" t="s">
        <v>3293</v>
      </c>
      <c r="C712" s="1350"/>
      <c r="D712" s="1366">
        <v>25000000</v>
      </c>
      <c r="E712" s="1376">
        <v>0.05</v>
      </c>
      <c r="F712" s="1366">
        <f>D712*E712</f>
        <v>1250000</v>
      </c>
      <c r="G712" s="4303"/>
      <c r="H712" s="4324"/>
      <c r="I712" s="4324"/>
      <c r="J712" s="4324"/>
      <c r="K712" s="4355"/>
      <c r="L712" s="1374"/>
      <c r="M712" s="385"/>
      <c r="N712" s="386"/>
      <c r="O712" s="386"/>
      <c r="P712" s="386"/>
      <c r="Q712" s="386"/>
      <c r="R712" s="386"/>
    </row>
    <row r="713" spans="1:18" ht="30" customHeight="1" x14ac:dyDescent="0.2">
      <c r="A713" s="1377"/>
      <c r="B713" s="3" t="s">
        <v>3296</v>
      </c>
      <c r="C713" s="1369"/>
      <c r="D713" s="1373"/>
      <c r="E713" s="40"/>
      <c r="F713" s="1370"/>
      <c r="G713" s="1372">
        <v>2500000</v>
      </c>
      <c r="H713" s="1372" t="s">
        <v>3286</v>
      </c>
      <c r="I713" s="1381">
        <v>123811290702</v>
      </c>
      <c r="J713" s="1372" t="s">
        <v>3297</v>
      </c>
      <c r="K713" s="1372">
        <f>G713</f>
        <v>2500000</v>
      </c>
      <c r="L713" s="1375"/>
      <c r="M713" s="385"/>
      <c r="N713" s="386"/>
      <c r="O713" s="386"/>
      <c r="P713" s="386"/>
      <c r="Q713" s="386"/>
      <c r="R713" s="386"/>
    </row>
    <row r="714" spans="1:18" ht="30" customHeight="1" x14ac:dyDescent="0.2">
      <c r="A714" s="1435"/>
      <c r="B714" s="3" t="s">
        <v>3308</v>
      </c>
      <c r="C714" s="1419" t="s">
        <v>3323</v>
      </c>
      <c r="D714" s="1407">
        <v>20000000</v>
      </c>
      <c r="E714" s="1433">
        <v>0.05</v>
      </c>
      <c r="F714" s="1407">
        <f>D714*E714</f>
        <v>1000000</v>
      </c>
      <c r="G714" s="4623" t="s">
        <v>3309</v>
      </c>
      <c r="H714" s="4624"/>
      <c r="I714" s="4624"/>
      <c r="J714" s="4624"/>
      <c r="K714" s="4625"/>
      <c r="L714" s="1431"/>
      <c r="M714" s="385"/>
      <c r="N714" s="386"/>
      <c r="O714" s="386"/>
      <c r="P714" s="386"/>
      <c r="Q714" s="386"/>
      <c r="R714" s="386"/>
    </row>
    <row r="715" spans="1:18" ht="30" customHeight="1" x14ac:dyDescent="0.2">
      <c r="A715" s="1435"/>
      <c r="B715" s="3" t="s">
        <v>3324</v>
      </c>
      <c r="C715" s="1419" t="s">
        <v>889</v>
      </c>
      <c r="D715" s="1407">
        <v>200000000</v>
      </c>
      <c r="E715" s="1433">
        <v>0.05</v>
      </c>
      <c r="F715" s="1407">
        <f>D715*E715</f>
        <v>10000000</v>
      </c>
      <c r="G715" s="4469" t="s">
        <v>3325</v>
      </c>
      <c r="H715" s="4470"/>
      <c r="I715" s="4470"/>
      <c r="J715" s="4470"/>
      <c r="K715" s="4471"/>
      <c r="L715" s="1431"/>
      <c r="M715" s="385"/>
      <c r="N715" s="386"/>
      <c r="O715" s="386"/>
      <c r="P715" s="386"/>
      <c r="Q715" s="386"/>
      <c r="R715" s="386"/>
    </row>
    <row r="716" spans="1:18" ht="30" customHeight="1" x14ac:dyDescent="0.2">
      <c r="A716" s="1435"/>
      <c r="B716" s="3" t="s">
        <v>3332</v>
      </c>
      <c r="C716" s="1412"/>
      <c r="D716" s="1428"/>
      <c r="E716" s="40"/>
      <c r="F716" s="1413"/>
      <c r="G716" s="1420">
        <v>1500000</v>
      </c>
      <c r="H716" s="1420" t="s">
        <v>3326</v>
      </c>
      <c r="I716" s="1437" t="s">
        <v>3333</v>
      </c>
      <c r="J716" s="1420" t="s">
        <v>3334</v>
      </c>
      <c r="K716" s="1420">
        <f>G716</f>
        <v>1500000</v>
      </c>
      <c r="L716" s="1431"/>
      <c r="M716" s="385"/>
      <c r="N716" s="386"/>
      <c r="O716" s="386"/>
      <c r="P716" s="386"/>
      <c r="Q716" s="386"/>
      <c r="R716" s="386"/>
    </row>
    <row r="717" spans="1:18" ht="30" customHeight="1" x14ac:dyDescent="0.2">
      <c r="A717" s="146"/>
      <c r="B717" s="1452"/>
      <c r="C717" s="1412"/>
      <c r="D717" s="1428"/>
      <c r="E717" s="40"/>
      <c r="F717" s="1413"/>
      <c r="G717" s="1407"/>
      <c r="H717" s="1407"/>
      <c r="I717" s="1422"/>
      <c r="J717" s="1416"/>
      <c r="K717" s="1407"/>
      <c r="L717" s="1431"/>
      <c r="M717" s="385"/>
      <c r="N717" s="386"/>
      <c r="O717" s="386"/>
      <c r="P717" s="386"/>
      <c r="Q717" s="386"/>
      <c r="R717" s="386"/>
    </row>
    <row r="718" spans="1:18" ht="30" customHeight="1" x14ac:dyDescent="0.2">
      <c r="A718" s="4785" t="s">
        <v>2527</v>
      </c>
      <c r="B718" s="4786"/>
      <c r="C718" s="1032"/>
      <c r="D718" s="294">
        <v>74145173000</v>
      </c>
      <c r="E718" s="996"/>
      <c r="F718" s="968"/>
      <c r="G718" s="968"/>
      <c r="H718" s="968"/>
      <c r="I718" s="984"/>
      <c r="J718" s="21"/>
      <c r="K718" s="968"/>
      <c r="L718" s="968"/>
      <c r="M718" s="1000"/>
    </row>
  </sheetData>
  <mergeCells count="957">
    <mergeCell ref="C403:C407"/>
    <mergeCell ref="G403:K403"/>
    <mergeCell ref="A403:A407"/>
    <mergeCell ref="A400:A401"/>
    <mergeCell ref="B400:B401"/>
    <mergeCell ref="C400:C401"/>
    <mergeCell ref="D400:D401"/>
    <mergeCell ref="E400:E401"/>
    <mergeCell ref="F400:F401"/>
    <mergeCell ref="K400:K401"/>
    <mergeCell ref="D407:F407"/>
    <mergeCell ref="B366:B367"/>
    <mergeCell ref="C378:C379"/>
    <mergeCell ref="D357:D358"/>
    <mergeCell ref="E357:E358"/>
    <mergeCell ref="F357:F358"/>
    <mergeCell ref="B357:B358"/>
    <mergeCell ref="A391:A392"/>
    <mergeCell ref="B391:B392"/>
    <mergeCell ref="C391:C392"/>
    <mergeCell ref="A378:A379"/>
    <mergeCell ref="B378:B379"/>
    <mergeCell ref="A339:A342"/>
    <mergeCell ref="B339:B342"/>
    <mergeCell ref="C339:C342"/>
    <mergeCell ref="G339:G340"/>
    <mergeCell ref="H339:H340"/>
    <mergeCell ref="I339:I340"/>
    <mergeCell ref="J339:J340"/>
    <mergeCell ref="K339:K340"/>
    <mergeCell ref="L339:L340"/>
    <mergeCell ref="A333:A334"/>
    <mergeCell ref="B333:B334"/>
    <mergeCell ref="C333:C334"/>
    <mergeCell ref="D333:D334"/>
    <mergeCell ref="E333:E334"/>
    <mergeCell ref="F333:F334"/>
    <mergeCell ref="G317:J318"/>
    <mergeCell ref="K317:K318"/>
    <mergeCell ref="L317:L318"/>
    <mergeCell ref="F319:F320"/>
    <mergeCell ref="G319:J319"/>
    <mergeCell ref="G320:J320"/>
    <mergeCell ref="F317:F318"/>
    <mergeCell ref="E317:E318"/>
    <mergeCell ref="D317:D318"/>
    <mergeCell ref="D319:D320"/>
    <mergeCell ref="E319:E320"/>
    <mergeCell ref="A301:A304"/>
    <mergeCell ref="B301:B304"/>
    <mergeCell ref="C301:C304"/>
    <mergeCell ref="K298:K299"/>
    <mergeCell ref="M313:M314"/>
    <mergeCell ref="A315:A316"/>
    <mergeCell ref="B315:B316"/>
    <mergeCell ref="C315:C316"/>
    <mergeCell ref="D315:D316"/>
    <mergeCell ref="E315:E316"/>
    <mergeCell ref="F315:F316"/>
    <mergeCell ref="K315:K316"/>
    <mergeCell ref="L315:L316"/>
    <mergeCell ref="A313:A314"/>
    <mergeCell ref="J313:J314"/>
    <mergeCell ref="K313:K314"/>
    <mergeCell ref="L313:L314"/>
    <mergeCell ref="A298:A299"/>
    <mergeCell ref="B213:B214"/>
    <mergeCell ref="B232:B237"/>
    <mergeCell ref="C232:C237"/>
    <mergeCell ref="C216:C217"/>
    <mergeCell ref="K226:K227"/>
    <mergeCell ref="G220:L220"/>
    <mergeCell ref="C309:C310"/>
    <mergeCell ref="D309:D310"/>
    <mergeCell ref="E309:E310"/>
    <mergeCell ref="F309:F310"/>
    <mergeCell ref="B298:B299"/>
    <mergeCell ref="L298:L299"/>
    <mergeCell ref="I208:I209"/>
    <mergeCell ref="H172:K172"/>
    <mergeCell ref="H173:K173"/>
    <mergeCell ref="C205:C206"/>
    <mergeCell ref="D160:F161"/>
    <mergeCell ref="E218:E219"/>
    <mergeCell ref="K156:K157"/>
    <mergeCell ref="B208:B209"/>
    <mergeCell ref="B242:B251"/>
    <mergeCell ref="C242:C251"/>
    <mergeCell ref="B156:B158"/>
    <mergeCell ref="G234:J234"/>
    <mergeCell ref="G235:J235"/>
    <mergeCell ref="G236:J236"/>
    <mergeCell ref="F242:F251"/>
    <mergeCell ref="G242:J242"/>
    <mergeCell ref="D242:D251"/>
    <mergeCell ref="B218:B220"/>
    <mergeCell ref="K242:K251"/>
    <mergeCell ref="F218:F219"/>
    <mergeCell ref="G222:G223"/>
    <mergeCell ref="I222:I223"/>
    <mergeCell ref="J222:J223"/>
    <mergeCell ref="K222:K223"/>
    <mergeCell ref="A135:A139"/>
    <mergeCell ref="A156:A158"/>
    <mergeCell ref="A153:A154"/>
    <mergeCell ref="B153:B154"/>
    <mergeCell ref="B143:B144"/>
    <mergeCell ref="C143:C144"/>
    <mergeCell ref="L160:L161"/>
    <mergeCell ref="E213:E214"/>
    <mergeCell ref="B228:B229"/>
    <mergeCell ref="K228:K229"/>
    <mergeCell ref="L228:L229"/>
    <mergeCell ref="C218:C220"/>
    <mergeCell ref="G208:G209"/>
    <mergeCell ref="H208:H209"/>
    <mergeCell ref="F222:F223"/>
    <mergeCell ref="B226:B227"/>
    <mergeCell ref="C226:C227"/>
    <mergeCell ref="D226:D227"/>
    <mergeCell ref="E226:E227"/>
    <mergeCell ref="D222:D223"/>
    <mergeCell ref="E222:E223"/>
    <mergeCell ref="D213:D214"/>
    <mergeCell ref="C176:C178"/>
    <mergeCell ref="H222:H223"/>
    <mergeCell ref="A287:A292"/>
    <mergeCell ref="K287:K288"/>
    <mergeCell ref="B287:B292"/>
    <mergeCell ref="C287:C292"/>
    <mergeCell ref="B135:B142"/>
    <mergeCell ref="D94:D100"/>
    <mergeCell ref="C111:C112"/>
    <mergeCell ref="C126:C127"/>
    <mergeCell ref="A176:A178"/>
    <mergeCell ref="A213:A214"/>
    <mergeCell ref="A199:A201"/>
    <mergeCell ref="C203:C204"/>
    <mergeCell ref="B104:B106"/>
    <mergeCell ref="C104:C106"/>
    <mergeCell ref="A159:A162"/>
    <mergeCell ref="A203:A204"/>
    <mergeCell ref="B193:B196"/>
    <mergeCell ref="B199:B201"/>
    <mergeCell ref="B147:B152"/>
    <mergeCell ref="C147:C152"/>
    <mergeCell ref="C135:C142"/>
    <mergeCell ref="G104:G105"/>
    <mergeCell ref="K104:K105"/>
    <mergeCell ref="G106:K106"/>
    <mergeCell ref="M226:M227"/>
    <mergeCell ref="L267:L268"/>
    <mergeCell ref="M267:Q267"/>
    <mergeCell ref="A242:A251"/>
    <mergeCell ref="M228:M229"/>
    <mergeCell ref="A226:A227"/>
    <mergeCell ref="H244:J244"/>
    <mergeCell ref="B279:B281"/>
    <mergeCell ref="C279:C281"/>
    <mergeCell ref="H279:H281"/>
    <mergeCell ref="I279:I281"/>
    <mergeCell ref="J279:J281"/>
    <mergeCell ref="K279:K281"/>
    <mergeCell ref="L279:L281"/>
    <mergeCell ref="L226:L227"/>
    <mergeCell ref="A232:A235"/>
    <mergeCell ref="M660:M661"/>
    <mergeCell ref="L569:L570"/>
    <mergeCell ref="M608:M609"/>
    <mergeCell ref="M600:M601"/>
    <mergeCell ref="M569:M571"/>
    <mergeCell ref="L662:L663"/>
    <mergeCell ref="A147:A152"/>
    <mergeCell ref="C170:C174"/>
    <mergeCell ref="G712:K712"/>
    <mergeCell ref="G711:K711"/>
    <mergeCell ref="G603:K603"/>
    <mergeCell ref="G544:K544"/>
    <mergeCell ref="H589:H590"/>
    <mergeCell ref="K555:K565"/>
    <mergeCell ref="J589:J590"/>
    <mergeCell ref="G545:K545"/>
    <mergeCell ref="K597:K598"/>
    <mergeCell ref="K589:K590"/>
    <mergeCell ref="I589:I590"/>
    <mergeCell ref="A538:A541"/>
    <mergeCell ref="A506:A508"/>
    <mergeCell ref="A602:A604"/>
    <mergeCell ref="G604:K604"/>
    <mergeCell ref="C602:C604"/>
    <mergeCell ref="M551:M552"/>
    <mergeCell ref="L639:L641"/>
    <mergeCell ref="M639:M641"/>
    <mergeCell ref="L597:L598"/>
    <mergeCell ref="M574:M576"/>
    <mergeCell ref="M606:M607"/>
    <mergeCell ref="M589:M590"/>
    <mergeCell ref="M597:M598"/>
    <mergeCell ref="L553:L554"/>
    <mergeCell ref="M622:M623"/>
    <mergeCell ref="L600:L601"/>
    <mergeCell ref="L608:L609"/>
    <mergeCell ref="M699:M700"/>
    <mergeCell ref="G715:K715"/>
    <mergeCell ref="G714:K714"/>
    <mergeCell ref="G648:K648"/>
    <mergeCell ref="G636:K636"/>
    <mergeCell ref="K553:K554"/>
    <mergeCell ref="G650:K650"/>
    <mergeCell ref="G651:K651"/>
    <mergeCell ref="G699:K700"/>
    <mergeCell ref="G709:K709"/>
    <mergeCell ref="G708:K708"/>
    <mergeCell ref="G635:L635"/>
    <mergeCell ref="G707:K707"/>
    <mergeCell ref="G674:K674"/>
    <mergeCell ref="G672:K672"/>
    <mergeCell ref="G673:K673"/>
    <mergeCell ref="L589:L590"/>
    <mergeCell ref="G583:K583"/>
    <mergeCell ref="G571:K571"/>
    <mergeCell ref="L555:L565"/>
    <mergeCell ref="L574:L576"/>
    <mergeCell ref="L622:L623"/>
    <mergeCell ref="K639:K641"/>
    <mergeCell ref="M698:Q698"/>
    <mergeCell ref="B506:B508"/>
    <mergeCell ref="A582:A583"/>
    <mergeCell ref="C582:C583"/>
    <mergeCell ref="B490:B491"/>
    <mergeCell ref="C490:C491"/>
    <mergeCell ref="D467:D468"/>
    <mergeCell ref="E467:E468"/>
    <mergeCell ref="A483:A485"/>
    <mergeCell ref="B483:B485"/>
    <mergeCell ref="B467:B472"/>
    <mergeCell ref="C467:C472"/>
    <mergeCell ref="E469:E472"/>
    <mergeCell ref="A569:A571"/>
    <mergeCell ref="C551:C552"/>
    <mergeCell ref="C553:C554"/>
    <mergeCell ref="D549:D550"/>
    <mergeCell ref="B543:B545"/>
    <mergeCell ref="C506:C508"/>
    <mergeCell ref="A549:A550"/>
    <mergeCell ref="B510:B511"/>
    <mergeCell ref="B502:B503"/>
    <mergeCell ref="B555:B565"/>
    <mergeCell ref="A490:A491"/>
    <mergeCell ref="B538:B541"/>
    <mergeCell ref="A553:A554"/>
    <mergeCell ref="B597:B599"/>
    <mergeCell ref="C597:C599"/>
    <mergeCell ref="D597:D599"/>
    <mergeCell ref="E597:E599"/>
    <mergeCell ref="D538:D539"/>
    <mergeCell ref="E538:E539"/>
    <mergeCell ref="C538:C541"/>
    <mergeCell ref="A589:A590"/>
    <mergeCell ref="A551:A552"/>
    <mergeCell ref="E551:E552"/>
    <mergeCell ref="A555:A561"/>
    <mergeCell ref="A597:A599"/>
    <mergeCell ref="D570:F570"/>
    <mergeCell ref="B549:B550"/>
    <mergeCell ref="B551:B552"/>
    <mergeCell ref="F549:F550"/>
    <mergeCell ref="B569:B571"/>
    <mergeCell ref="C569:C571"/>
    <mergeCell ref="H494:H495"/>
    <mergeCell ref="C496:C500"/>
    <mergeCell ref="D496:D500"/>
    <mergeCell ref="E496:E500"/>
    <mergeCell ref="F496:F500"/>
    <mergeCell ref="C494:C495"/>
    <mergeCell ref="C462:C466"/>
    <mergeCell ref="I474:I475"/>
    <mergeCell ref="C555:C565"/>
    <mergeCell ref="C517:C525"/>
    <mergeCell ref="C502:C503"/>
    <mergeCell ref="G503:J503"/>
    <mergeCell ref="A718:B718"/>
    <mergeCell ref="G638:L638"/>
    <mergeCell ref="G669:K669"/>
    <mergeCell ref="D574:D576"/>
    <mergeCell ref="E574:E576"/>
    <mergeCell ref="F574:F576"/>
    <mergeCell ref="K574:K576"/>
    <mergeCell ref="A600:A601"/>
    <mergeCell ref="B513:B514"/>
    <mergeCell ref="C513:C514"/>
    <mergeCell ref="A574:A577"/>
    <mergeCell ref="B574:B577"/>
    <mergeCell ref="C574:C577"/>
    <mergeCell ref="C589:C590"/>
    <mergeCell ref="C549:C550"/>
    <mergeCell ref="A543:A545"/>
    <mergeCell ref="B582:B583"/>
    <mergeCell ref="L517:L518"/>
    <mergeCell ref="L538:L539"/>
    <mergeCell ref="F538:F539"/>
    <mergeCell ref="K538:K539"/>
    <mergeCell ref="A513:A514"/>
    <mergeCell ref="E549:E550"/>
    <mergeCell ref="D540:F540"/>
    <mergeCell ref="M517:M518"/>
    <mergeCell ref="D555:D565"/>
    <mergeCell ref="E555:E565"/>
    <mergeCell ref="M538:M541"/>
    <mergeCell ref="M443:M444"/>
    <mergeCell ref="G510:G511"/>
    <mergeCell ref="G474:G475"/>
    <mergeCell ref="H474:H475"/>
    <mergeCell ref="M519:M525"/>
    <mergeCell ref="G514:J514"/>
    <mergeCell ref="G519:L519"/>
    <mergeCell ref="G520:L520"/>
    <mergeCell ref="G521:L521"/>
    <mergeCell ref="M553:M554"/>
    <mergeCell ref="F551:F552"/>
    <mergeCell ref="G524:L524"/>
    <mergeCell ref="G454:G455"/>
    <mergeCell ref="J510:J511"/>
    <mergeCell ref="F467:F468"/>
    <mergeCell ref="F469:F472"/>
    <mergeCell ref="E537:F537"/>
    <mergeCell ref="D469:D472"/>
    <mergeCell ref="E506:E507"/>
    <mergeCell ref="G498:K498"/>
    <mergeCell ref="M474:M475"/>
    <mergeCell ref="G410:K410"/>
    <mergeCell ref="G434:J434"/>
    <mergeCell ref="C427:C428"/>
    <mergeCell ref="G427:G428"/>
    <mergeCell ref="M454:M455"/>
    <mergeCell ref="M469:M472"/>
    <mergeCell ref="J427:J428"/>
    <mergeCell ref="E242:E251"/>
    <mergeCell ref="I267:I268"/>
    <mergeCell ref="J267:J268"/>
    <mergeCell ref="K267:K268"/>
    <mergeCell ref="M244:M251"/>
    <mergeCell ref="M438:M439"/>
    <mergeCell ref="G438:G439"/>
    <mergeCell ref="H438:H439"/>
    <mergeCell ref="I438:I439"/>
    <mergeCell ref="J438:J439"/>
    <mergeCell ref="G436:J436"/>
    <mergeCell ref="C298:C299"/>
    <mergeCell ref="G420:K420"/>
    <mergeCell ref="G466:K466"/>
    <mergeCell ref="K469:K472"/>
    <mergeCell ref="G440:J440"/>
    <mergeCell ref="I415:I418"/>
    <mergeCell ref="J415:J418"/>
    <mergeCell ref="K415:K418"/>
    <mergeCell ref="L242:L251"/>
    <mergeCell ref="G279:G281"/>
    <mergeCell ref="M417:M418"/>
    <mergeCell ref="D287:D289"/>
    <mergeCell ref="E287:E289"/>
    <mergeCell ref="F287:F289"/>
    <mergeCell ref="L400:L401"/>
    <mergeCell ref="M400:M401"/>
    <mergeCell ref="M280:Q280"/>
    <mergeCell ref="M281:Q281"/>
    <mergeCell ref="L287:L289"/>
    <mergeCell ref="G289:K289"/>
    <mergeCell ref="L378:L379"/>
    <mergeCell ref="G391:G392"/>
    <mergeCell ref="H391:H392"/>
    <mergeCell ref="I391:I392"/>
    <mergeCell ref="J391:J392"/>
    <mergeCell ref="K391:K392"/>
    <mergeCell ref="K378:K379"/>
    <mergeCell ref="M427:M428"/>
    <mergeCell ref="G378:G379"/>
    <mergeCell ref="M378:M379"/>
    <mergeCell ref="L391:L392"/>
    <mergeCell ref="M327:Q327"/>
    <mergeCell ref="M339:M340"/>
    <mergeCell ref="M341:M342"/>
    <mergeCell ref="M393:P393"/>
    <mergeCell ref="M397:M398"/>
    <mergeCell ref="M404:M405"/>
    <mergeCell ref="G419:J419"/>
    <mergeCell ref="L427:L428"/>
    <mergeCell ref="G341:G342"/>
    <mergeCell ref="H341:H342"/>
    <mergeCell ref="I341:I342"/>
    <mergeCell ref="J341:J342"/>
    <mergeCell ref="K341:K342"/>
    <mergeCell ref="L341:L342"/>
    <mergeCell ref="G397:G398"/>
    <mergeCell ref="H397:H398"/>
    <mergeCell ref="I397:I398"/>
    <mergeCell ref="J397:J398"/>
    <mergeCell ref="L397:L398"/>
    <mergeCell ref="G406:L406"/>
    <mergeCell ref="A91:A93"/>
    <mergeCell ref="B91:B93"/>
    <mergeCell ref="C91:C93"/>
    <mergeCell ref="A86:A88"/>
    <mergeCell ref="B86:B88"/>
    <mergeCell ref="M506:M508"/>
    <mergeCell ref="M494:M495"/>
    <mergeCell ref="M450:M453"/>
    <mergeCell ref="G233:J233"/>
    <mergeCell ref="G417:G418"/>
    <mergeCell ref="G415:G416"/>
    <mergeCell ref="L415:L418"/>
    <mergeCell ref="G362:K362"/>
    <mergeCell ref="G285:K285"/>
    <mergeCell ref="G290:K290"/>
    <mergeCell ref="G291:K291"/>
    <mergeCell ref="G292:K292"/>
    <mergeCell ref="M298:M299"/>
    <mergeCell ref="G301:K301"/>
    <mergeCell ref="G302:K302"/>
    <mergeCell ref="G303:K303"/>
    <mergeCell ref="G313:G314"/>
    <mergeCell ref="H313:H314"/>
    <mergeCell ref="I313:I314"/>
    <mergeCell ref="M13:M14"/>
    <mergeCell ref="J27:J28"/>
    <mergeCell ref="K27:K28"/>
    <mergeCell ref="L27:L28"/>
    <mergeCell ref="M27:M28"/>
    <mergeCell ref="G29:K29"/>
    <mergeCell ref="G27:G28"/>
    <mergeCell ref="H27:H28"/>
    <mergeCell ref="I27:I28"/>
    <mergeCell ref="G16:J16"/>
    <mergeCell ref="L23:L24"/>
    <mergeCell ref="H23:H24"/>
    <mergeCell ref="I23:I24"/>
    <mergeCell ref="K13:K14"/>
    <mergeCell ref="L13:L14"/>
    <mergeCell ref="M52:M53"/>
    <mergeCell ref="M89:M90"/>
    <mergeCell ref="G119:K119"/>
    <mergeCell ref="A13:A14"/>
    <mergeCell ref="M65:M66"/>
    <mergeCell ref="M68:M69"/>
    <mergeCell ref="L95:L100"/>
    <mergeCell ref="B13:B14"/>
    <mergeCell ref="F80:F81"/>
    <mergeCell ref="A80:A81"/>
    <mergeCell ref="B80:B81"/>
    <mergeCell ref="C80:C81"/>
    <mergeCell ref="D80:D81"/>
    <mergeCell ref="E80:E81"/>
    <mergeCell ref="A52:A53"/>
    <mergeCell ref="B52:B53"/>
    <mergeCell ref="C52:C53"/>
    <mergeCell ref="A68:A69"/>
    <mergeCell ref="B68:B69"/>
    <mergeCell ref="C68:C69"/>
    <mergeCell ref="D68:D69"/>
    <mergeCell ref="E68:E69"/>
    <mergeCell ref="F68:F69"/>
    <mergeCell ref="A27:A30"/>
    <mergeCell ref="M111:M112"/>
    <mergeCell ref="L111:L112"/>
    <mergeCell ref="M118:M119"/>
    <mergeCell ref="J208:J209"/>
    <mergeCell ref="G178:K178"/>
    <mergeCell ref="D176:D177"/>
    <mergeCell ref="E176:E177"/>
    <mergeCell ref="F176:F177"/>
    <mergeCell ref="H159:H160"/>
    <mergeCell ref="D205:D206"/>
    <mergeCell ref="E205:E206"/>
    <mergeCell ref="M170:M171"/>
    <mergeCell ref="K185:K187"/>
    <mergeCell ref="L185:L187"/>
    <mergeCell ref="G126:G127"/>
    <mergeCell ref="H126:H127"/>
    <mergeCell ref="L147:L148"/>
    <mergeCell ref="K147:K148"/>
    <mergeCell ref="J126:J127"/>
    <mergeCell ref="K126:K127"/>
    <mergeCell ref="L126:L127"/>
    <mergeCell ref="L170:L171"/>
    <mergeCell ref="K160:K161"/>
    <mergeCell ref="I159:I160"/>
    <mergeCell ref="M510:M511"/>
    <mergeCell ref="K506:K507"/>
    <mergeCell ref="H510:H511"/>
    <mergeCell ref="I510:I511"/>
    <mergeCell ref="B70:B73"/>
    <mergeCell ref="C70:C73"/>
    <mergeCell ref="B89:B90"/>
    <mergeCell ref="B75:B76"/>
    <mergeCell ref="C75:C76"/>
    <mergeCell ref="B94:B100"/>
    <mergeCell ref="C94:C100"/>
    <mergeCell ref="B82:B85"/>
    <mergeCell ref="C82:C85"/>
    <mergeCell ref="B111:B112"/>
    <mergeCell ref="M120:M121"/>
    <mergeCell ref="G85:K85"/>
    <mergeCell ref="M104:M105"/>
    <mergeCell ref="M95:M100"/>
    <mergeCell ref="H104:H105"/>
    <mergeCell ref="I104:I105"/>
    <mergeCell ref="J104:J105"/>
    <mergeCell ref="G91:G93"/>
    <mergeCell ref="H91:H93"/>
    <mergeCell ref="D418:E418"/>
    <mergeCell ref="I126:I127"/>
    <mergeCell ref="G89:G90"/>
    <mergeCell ref="H89:H90"/>
    <mergeCell ref="L65:L66"/>
    <mergeCell ref="J89:J90"/>
    <mergeCell ref="G83:L83"/>
    <mergeCell ref="G65:G66"/>
    <mergeCell ref="I91:I93"/>
    <mergeCell ref="J91:J93"/>
    <mergeCell ref="K91:K93"/>
    <mergeCell ref="L91:L93"/>
    <mergeCell ref="H94:H95"/>
    <mergeCell ref="I94:I95"/>
    <mergeCell ref="J94:J95"/>
    <mergeCell ref="K95:K100"/>
    <mergeCell ref="K65:K66"/>
    <mergeCell ref="G82:K82"/>
    <mergeCell ref="K89:K90"/>
    <mergeCell ref="K86:K87"/>
    <mergeCell ref="L86:L87"/>
    <mergeCell ref="L43:L44"/>
    <mergeCell ref="L48:L49"/>
    <mergeCell ref="G58:K58"/>
    <mergeCell ref="J52:J53"/>
    <mergeCell ref="K52:K53"/>
    <mergeCell ref="B27:B30"/>
    <mergeCell ref="C27:C30"/>
    <mergeCell ref="A49:A50"/>
    <mergeCell ref="D36:F37"/>
    <mergeCell ref="A34:A38"/>
    <mergeCell ref="A120:A121"/>
    <mergeCell ref="K120:K121"/>
    <mergeCell ref="A94:A100"/>
    <mergeCell ref="K48:K49"/>
    <mergeCell ref="D17:D18"/>
    <mergeCell ref="E17:E18"/>
    <mergeCell ref="F17:F18"/>
    <mergeCell ref="B16:B20"/>
    <mergeCell ref="C16:C20"/>
    <mergeCell ref="G19:J20"/>
    <mergeCell ref="I52:I53"/>
    <mergeCell ref="D50:F50"/>
    <mergeCell ref="A16:A20"/>
    <mergeCell ref="C34:C38"/>
    <mergeCell ref="D43:F44"/>
    <mergeCell ref="G17:J18"/>
    <mergeCell ref="G41:K41"/>
    <mergeCell ref="J23:J24"/>
    <mergeCell ref="K23:K24"/>
    <mergeCell ref="G38:K38"/>
    <mergeCell ref="K43:K44"/>
    <mergeCell ref="B34:B38"/>
    <mergeCell ref="G30:K30"/>
    <mergeCell ref="C89:C90"/>
    <mergeCell ref="F94:F100"/>
    <mergeCell ref="D110:F110"/>
    <mergeCell ref="G149:J149"/>
    <mergeCell ref="A185:A188"/>
    <mergeCell ref="B185:B188"/>
    <mergeCell ref="C185:C188"/>
    <mergeCell ref="D45:F45"/>
    <mergeCell ref="G52:G53"/>
    <mergeCell ref="H52:H53"/>
    <mergeCell ref="H157:H158"/>
    <mergeCell ref="G46:K46"/>
    <mergeCell ref="D59:D60"/>
    <mergeCell ref="E59:E60"/>
    <mergeCell ref="D70:D73"/>
    <mergeCell ref="E70:E73"/>
    <mergeCell ref="F70:F73"/>
    <mergeCell ref="F75:F76"/>
    <mergeCell ref="H65:H66"/>
    <mergeCell ref="I65:I66"/>
    <mergeCell ref="J65:J66"/>
    <mergeCell ref="C59:C60"/>
    <mergeCell ref="C86:C88"/>
    <mergeCell ref="D86:D87"/>
    <mergeCell ref="E86:E87"/>
    <mergeCell ref="M135:M137"/>
    <mergeCell ref="G141:J141"/>
    <mergeCell ref="C153:C154"/>
    <mergeCell ref="G153:G154"/>
    <mergeCell ref="H153:H154"/>
    <mergeCell ref="I153:I154"/>
    <mergeCell ref="J153:J154"/>
    <mergeCell ref="K153:K154"/>
    <mergeCell ref="L153:L154"/>
    <mergeCell ref="G142:J142"/>
    <mergeCell ref="K135:K139"/>
    <mergeCell ref="L135:L139"/>
    <mergeCell ref="M147:M148"/>
    <mergeCell ref="G144:K144"/>
    <mergeCell ref="G150:J150"/>
    <mergeCell ref="G151:J152"/>
    <mergeCell ref="G140:J140"/>
    <mergeCell ref="M208:M209"/>
    <mergeCell ref="L213:L214"/>
    <mergeCell ref="K208:K209"/>
    <mergeCell ref="M153:M154"/>
    <mergeCell ref="M159:M162"/>
    <mergeCell ref="M176:M178"/>
    <mergeCell ref="K170:K171"/>
    <mergeCell ref="K213:K214"/>
    <mergeCell ref="K205:K206"/>
    <mergeCell ref="L205:L206"/>
    <mergeCell ref="L194:L195"/>
    <mergeCell ref="L156:L157"/>
    <mergeCell ref="M199:M200"/>
    <mergeCell ref="H162:K162"/>
    <mergeCell ref="L199:L200"/>
    <mergeCell ref="J199:J200"/>
    <mergeCell ref="G180:K180"/>
    <mergeCell ref="K194:K195"/>
    <mergeCell ref="L208:L209"/>
    <mergeCell ref="J159:J160"/>
    <mergeCell ref="I157:I158"/>
    <mergeCell ref="J157:J158"/>
    <mergeCell ref="I199:I200"/>
    <mergeCell ref="H188:K188"/>
    <mergeCell ref="A2:A3"/>
    <mergeCell ref="B2:B3"/>
    <mergeCell ref="C2:C3"/>
    <mergeCell ref="D2:D3"/>
    <mergeCell ref="E2:E3"/>
    <mergeCell ref="F2:F3"/>
    <mergeCell ref="K2:K3"/>
    <mergeCell ref="A56:A57"/>
    <mergeCell ref="B56:B57"/>
    <mergeCell ref="C56:C57"/>
    <mergeCell ref="G56:K56"/>
    <mergeCell ref="G57:K57"/>
    <mergeCell ref="A40:A46"/>
    <mergeCell ref="B40:B46"/>
    <mergeCell ref="C40:C46"/>
    <mergeCell ref="B23:B24"/>
    <mergeCell ref="C23:C24"/>
    <mergeCell ref="F59:F60"/>
    <mergeCell ref="A70:A72"/>
    <mergeCell ref="A82:A85"/>
    <mergeCell ref="A89:A90"/>
    <mergeCell ref="G78:L78"/>
    <mergeCell ref="G80:L81"/>
    <mergeCell ref="L52:L53"/>
    <mergeCell ref="L89:L90"/>
    <mergeCell ref="K68:K69"/>
    <mergeCell ref="L68:L69"/>
    <mergeCell ref="E78:E79"/>
    <mergeCell ref="F78:F79"/>
    <mergeCell ref="D75:D76"/>
    <mergeCell ref="E75:E76"/>
    <mergeCell ref="F86:F87"/>
    <mergeCell ref="C78:C79"/>
    <mergeCell ref="D78:D79"/>
    <mergeCell ref="A59:A60"/>
    <mergeCell ref="B59:B60"/>
    <mergeCell ref="A75:A76"/>
    <mergeCell ref="B78:B79"/>
    <mergeCell ref="A78:A79"/>
    <mergeCell ref="L2:L3"/>
    <mergeCell ref="I89:I90"/>
    <mergeCell ref="B49:B50"/>
    <mergeCell ref="C49:C50"/>
    <mergeCell ref="M2:M3"/>
    <mergeCell ref="M43:M44"/>
    <mergeCell ref="D457:F457"/>
    <mergeCell ref="H454:H455"/>
    <mergeCell ref="I454:I455"/>
    <mergeCell ref="J454:J455"/>
    <mergeCell ref="K454:K455"/>
    <mergeCell ref="M145:Q145"/>
    <mergeCell ref="M185:M187"/>
    <mergeCell ref="G204:K204"/>
    <mergeCell ref="M193:M196"/>
    <mergeCell ref="G196:K196"/>
    <mergeCell ref="L438:L439"/>
    <mergeCell ref="K427:K428"/>
    <mergeCell ref="M126:M127"/>
    <mergeCell ref="L450:L453"/>
    <mergeCell ref="L120:L121"/>
    <mergeCell ref="G193:K193"/>
    <mergeCell ref="K199:K200"/>
    <mergeCell ref="H199:H200"/>
    <mergeCell ref="M213:M214"/>
    <mergeCell ref="D218:D219"/>
    <mergeCell ref="B631:B633"/>
    <mergeCell ref="A111:A112"/>
    <mergeCell ref="L104:L105"/>
    <mergeCell ref="B120:B121"/>
    <mergeCell ref="F639:F641"/>
    <mergeCell ref="E622:E623"/>
    <mergeCell ref="F622:F623"/>
    <mergeCell ref="L551:L552"/>
    <mergeCell ref="A109:A110"/>
    <mergeCell ref="B109:B110"/>
    <mergeCell ref="C109:C110"/>
    <mergeCell ref="B126:B127"/>
    <mergeCell ref="A104:A106"/>
    <mergeCell ref="F213:F214"/>
    <mergeCell ref="G367:K367"/>
    <mergeCell ref="G409:K409"/>
    <mergeCell ref="H378:H379"/>
    <mergeCell ref="I378:I379"/>
    <mergeCell ref="L454:L455"/>
    <mergeCell ref="L506:L507"/>
    <mergeCell ref="L222:L223"/>
    <mergeCell ref="F226:F227"/>
    <mergeCell ref="B600:B601"/>
    <mergeCell ref="C600:C601"/>
    <mergeCell ref="A510:A511"/>
    <mergeCell ref="G465:K465"/>
    <mergeCell ref="D462:D465"/>
    <mergeCell ref="E462:E465"/>
    <mergeCell ref="F462:F465"/>
    <mergeCell ref="A309:A310"/>
    <mergeCell ref="G502:K502"/>
    <mergeCell ref="G506:J506"/>
    <mergeCell ref="G508:J508"/>
    <mergeCell ref="K474:K475"/>
    <mergeCell ref="D506:D507"/>
    <mergeCell ref="K510:K511"/>
    <mergeCell ref="F506:F507"/>
    <mergeCell ref="D523:E523"/>
    <mergeCell ref="K443:K444"/>
    <mergeCell ref="G541:K541"/>
    <mergeCell ref="G494:G495"/>
    <mergeCell ref="B553:B554"/>
    <mergeCell ref="K462:K464"/>
    <mergeCell ref="F555:F565"/>
    <mergeCell ref="G459:K459"/>
    <mergeCell ref="K450:K453"/>
    <mergeCell ref="A517:A525"/>
    <mergeCell ref="B517:B525"/>
    <mergeCell ref="B284:B285"/>
    <mergeCell ref="B309:B310"/>
    <mergeCell ref="B403:B407"/>
    <mergeCell ref="H415:H418"/>
    <mergeCell ref="A126:A127"/>
    <mergeCell ref="C213:C214"/>
    <mergeCell ref="K551:K552"/>
    <mergeCell ref="G423:K423"/>
    <mergeCell ref="K438:K439"/>
    <mergeCell ref="G497:K497"/>
    <mergeCell ref="C450:F453"/>
    <mergeCell ref="H427:H428"/>
    <mergeCell ref="I427:I428"/>
    <mergeCell ref="G496:K496"/>
    <mergeCell ref="K467:K468"/>
    <mergeCell ref="J474:J475"/>
    <mergeCell ref="I494:I495"/>
    <mergeCell ref="G430:J430"/>
    <mergeCell ref="D298:D299"/>
    <mergeCell ref="E298:E299"/>
    <mergeCell ref="F298:F299"/>
    <mergeCell ref="K397:K398"/>
    <mergeCell ref="K569:K570"/>
    <mergeCell ref="J494:J495"/>
    <mergeCell ref="K494:K495"/>
    <mergeCell ref="C443:C444"/>
    <mergeCell ref="B267:B268"/>
    <mergeCell ref="G267:G268"/>
    <mergeCell ref="H267:H268"/>
    <mergeCell ref="C319:C322"/>
    <mergeCell ref="B415:B419"/>
    <mergeCell ref="C409:C410"/>
    <mergeCell ref="C415:C419"/>
    <mergeCell ref="C284:C285"/>
    <mergeCell ref="D525:E525"/>
    <mergeCell ref="G525:L525"/>
    <mergeCell ref="D551:D552"/>
    <mergeCell ref="L462:L464"/>
    <mergeCell ref="L510:L511"/>
    <mergeCell ref="L467:L468"/>
    <mergeCell ref="L494:L495"/>
    <mergeCell ref="L469:L472"/>
    <mergeCell ref="L474:L475"/>
    <mergeCell ref="L443:L444"/>
    <mergeCell ref="C317:C318"/>
    <mergeCell ref="B438:B440"/>
    <mergeCell ref="D600:D601"/>
    <mergeCell ref="E600:E601"/>
    <mergeCell ref="G589:G590"/>
    <mergeCell ref="F597:F599"/>
    <mergeCell ref="K622:K623"/>
    <mergeCell ref="A639:A641"/>
    <mergeCell ref="B639:B641"/>
    <mergeCell ref="C639:C641"/>
    <mergeCell ref="D639:D641"/>
    <mergeCell ref="E639:E641"/>
    <mergeCell ref="A631:A633"/>
    <mergeCell ref="G608:K608"/>
    <mergeCell ref="B606:B610"/>
    <mergeCell ref="K600:K601"/>
    <mergeCell ref="B589:B590"/>
    <mergeCell ref="B602:B604"/>
    <mergeCell ref="F600:F601"/>
    <mergeCell ref="D589:D590"/>
    <mergeCell ref="E589:E590"/>
    <mergeCell ref="F589:F590"/>
    <mergeCell ref="C631:C633"/>
    <mergeCell ref="A622:A623"/>
    <mergeCell ref="B622:B623"/>
    <mergeCell ref="C622:C623"/>
    <mergeCell ref="L699:L700"/>
    <mergeCell ref="B683:B684"/>
    <mergeCell ref="C683:C684"/>
    <mergeCell ref="A683:A684"/>
    <mergeCell ref="A680:A682"/>
    <mergeCell ref="B680:B682"/>
    <mergeCell ref="C680:C682"/>
    <mergeCell ref="D682:F682"/>
    <mergeCell ref="D681:F681"/>
    <mergeCell ref="A687:A688"/>
    <mergeCell ref="A606:A610"/>
    <mergeCell ref="C606:C610"/>
    <mergeCell ref="G610:L610"/>
    <mergeCell ref="G606:L607"/>
    <mergeCell ref="D607:F609"/>
    <mergeCell ref="B635:B637"/>
    <mergeCell ref="A635:A637"/>
    <mergeCell ref="C635:C637"/>
    <mergeCell ref="G632:J632"/>
    <mergeCell ref="D622:D623"/>
    <mergeCell ref="C677:C678"/>
    <mergeCell ref="D699:D700"/>
    <mergeCell ref="E699:E700"/>
    <mergeCell ref="G670:K670"/>
    <mergeCell ref="G646:K646"/>
    <mergeCell ref="A677:A678"/>
    <mergeCell ref="G654:K654"/>
    <mergeCell ref="D677:D678"/>
    <mergeCell ref="G647:K647"/>
    <mergeCell ref="E677:E678"/>
    <mergeCell ref="F677:F678"/>
    <mergeCell ref="A660:A664"/>
    <mergeCell ref="B660:B664"/>
    <mergeCell ref="C660:C664"/>
    <mergeCell ref="D657:F657"/>
    <mergeCell ref="G652:K652"/>
    <mergeCell ref="G664:K664"/>
    <mergeCell ref="I662:J662"/>
    <mergeCell ref="K662:K663"/>
    <mergeCell ref="G676:K676"/>
    <mergeCell ref="A643:A657"/>
    <mergeCell ref="A284:A285"/>
    <mergeCell ref="A279:A281"/>
    <mergeCell ref="A705:A706"/>
    <mergeCell ref="B687:B688"/>
    <mergeCell ref="G688:K688"/>
    <mergeCell ref="G677:K677"/>
    <mergeCell ref="G675:K675"/>
    <mergeCell ref="B643:B657"/>
    <mergeCell ref="C643:C657"/>
    <mergeCell ref="G653:K653"/>
    <mergeCell ref="G644:K644"/>
    <mergeCell ref="G649:K649"/>
    <mergeCell ref="A699:A700"/>
    <mergeCell ref="B699:B700"/>
    <mergeCell ref="C699:C700"/>
    <mergeCell ref="F699:F700"/>
    <mergeCell ref="B705:B706"/>
    <mergeCell ref="G703:K703"/>
    <mergeCell ref="G701:K701"/>
    <mergeCell ref="G702:K702"/>
    <mergeCell ref="A467:A472"/>
    <mergeCell ref="G645:K645"/>
    <mergeCell ref="G696:K696"/>
    <mergeCell ref="B677:B678"/>
    <mergeCell ref="C438:C440"/>
    <mergeCell ref="A494:A495"/>
    <mergeCell ref="A438:A440"/>
    <mergeCell ref="B496:B500"/>
    <mergeCell ref="B450:B454"/>
    <mergeCell ref="B443:B444"/>
    <mergeCell ref="A422:A423"/>
    <mergeCell ref="B427:B428"/>
    <mergeCell ref="B409:B410"/>
    <mergeCell ref="B422:B423"/>
    <mergeCell ref="A427:A428"/>
    <mergeCell ref="A443:A444"/>
    <mergeCell ref="A450:A454"/>
    <mergeCell ref="B433:B437"/>
    <mergeCell ref="A433:A437"/>
    <mergeCell ref="A496:A500"/>
    <mergeCell ref="B494:B495"/>
    <mergeCell ref="A415:A419"/>
    <mergeCell ref="A462:A466"/>
    <mergeCell ref="B462:B466"/>
    <mergeCell ref="A208:A209"/>
    <mergeCell ref="A205:A206"/>
    <mergeCell ref="B205:B206"/>
    <mergeCell ref="A193:A196"/>
    <mergeCell ref="B159:B162"/>
    <mergeCell ref="A170:A174"/>
    <mergeCell ref="C159:C162"/>
    <mergeCell ref="A409:A410"/>
    <mergeCell ref="C433:C437"/>
    <mergeCell ref="B216:B217"/>
    <mergeCell ref="A218:A220"/>
    <mergeCell ref="A216:A217"/>
    <mergeCell ref="A222:A224"/>
    <mergeCell ref="B222:B224"/>
    <mergeCell ref="C357:C358"/>
    <mergeCell ref="A326:A327"/>
    <mergeCell ref="B326:B327"/>
    <mergeCell ref="A317:A322"/>
    <mergeCell ref="C222:C224"/>
    <mergeCell ref="B313:B314"/>
    <mergeCell ref="B317:B322"/>
    <mergeCell ref="A228:A229"/>
    <mergeCell ref="A267:A268"/>
    <mergeCell ref="C422:C423"/>
    <mergeCell ref="D204:F204"/>
    <mergeCell ref="F194:F195"/>
    <mergeCell ref="F170:F171"/>
    <mergeCell ref="E170:E171"/>
    <mergeCell ref="D170:D171"/>
    <mergeCell ref="B176:B178"/>
    <mergeCell ref="D194:D195"/>
    <mergeCell ref="E194:E195"/>
    <mergeCell ref="F205:F206"/>
    <mergeCell ref="B179:B180"/>
    <mergeCell ref="C199:C201"/>
    <mergeCell ref="B170:B174"/>
    <mergeCell ref="M56:M57"/>
    <mergeCell ref="M205:M206"/>
    <mergeCell ref="A101:A102"/>
    <mergeCell ref="B101:B102"/>
    <mergeCell ref="C101:C102"/>
    <mergeCell ref="D101:D102"/>
    <mergeCell ref="E101:E102"/>
    <mergeCell ref="F101:F102"/>
    <mergeCell ref="K101:K102"/>
    <mergeCell ref="L101:L102"/>
    <mergeCell ref="M101:M102"/>
    <mergeCell ref="D120:D121"/>
    <mergeCell ref="E120:E121"/>
    <mergeCell ref="F120:F121"/>
    <mergeCell ref="D111:D112"/>
    <mergeCell ref="E111:E112"/>
    <mergeCell ref="F111:F112"/>
    <mergeCell ref="K111:K112"/>
    <mergeCell ref="C120:C121"/>
    <mergeCell ref="E94:E100"/>
    <mergeCell ref="A179:A180"/>
    <mergeCell ref="B203:B204"/>
    <mergeCell ref="C179:C180"/>
    <mergeCell ref="C193:C19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6"/>
  <sheetViews>
    <sheetView rightToLeft="1" zoomScale="60" zoomScaleNormal="60" workbookViewId="0">
      <pane ySplit="1" topLeftCell="A364" activePane="bottomLeft" state="frozen"/>
      <selection pane="bottomLeft" activeCell="B377" sqref="B377:B378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366" customWidth="1"/>
  </cols>
  <sheetData>
    <row r="1" spans="1:12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261</v>
      </c>
      <c r="J1" s="1" t="s">
        <v>278</v>
      </c>
      <c r="K1" s="10" t="s">
        <v>291</v>
      </c>
      <c r="L1" s="148" t="s">
        <v>268</v>
      </c>
    </row>
    <row r="2" spans="1:12" ht="30" customHeight="1" x14ac:dyDescent="0.2">
      <c r="A2" s="1770">
        <v>1</v>
      </c>
      <c r="B2" s="19" t="s">
        <v>1496</v>
      </c>
      <c r="C2" s="1778" t="s">
        <v>372</v>
      </c>
      <c r="D2" s="1775">
        <v>600000000</v>
      </c>
      <c r="E2" s="1776">
        <v>0.06</v>
      </c>
      <c r="F2" s="1775">
        <f>D2*E2</f>
        <v>36000000</v>
      </c>
      <c r="G2" s="1775">
        <v>36000000</v>
      </c>
      <c r="H2" s="1775" t="s">
        <v>3660</v>
      </c>
      <c r="I2" s="1781" t="s">
        <v>1810</v>
      </c>
      <c r="J2" s="1775">
        <f>G2</f>
        <v>36000000</v>
      </c>
      <c r="K2" s="1775">
        <f>F2-J2</f>
        <v>0</v>
      </c>
      <c r="L2" s="1774"/>
    </row>
    <row r="3" spans="1:12" ht="30" customHeight="1" x14ac:dyDescent="0.2">
      <c r="A3" s="1519">
        <v>2</v>
      </c>
      <c r="B3" s="1780" t="s">
        <v>282</v>
      </c>
      <c r="C3" s="1488"/>
      <c r="D3" s="1469">
        <v>300000000</v>
      </c>
      <c r="E3" s="1771">
        <v>0.05</v>
      </c>
      <c r="F3" s="1469">
        <f>D3*E3</f>
        <v>15000000</v>
      </c>
      <c r="G3" s="1469">
        <v>15000000</v>
      </c>
      <c r="H3" s="1469" t="s">
        <v>3558</v>
      </c>
      <c r="I3" s="21" t="s">
        <v>1776</v>
      </c>
      <c r="J3" s="1469">
        <f>G3</f>
        <v>15000000</v>
      </c>
      <c r="K3" s="1469">
        <f>F3-J3</f>
        <v>0</v>
      </c>
      <c r="L3" s="1515"/>
    </row>
    <row r="4" spans="1:12" ht="30" customHeight="1" x14ac:dyDescent="0.2">
      <c r="A4" s="1519">
        <v>3</v>
      </c>
      <c r="B4" s="19" t="s">
        <v>285</v>
      </c>
      <c r="C4" s="1488" t="s">
        <v>359</v>
      </c>
      <c r="D4" s="1469">
        <v>36000000</v>
      </c>
      <c r="E4" s="1516">
        <v>7.0000000000000007E-2</v>
      </c>
      <c r="F4" s="1469">
        <v>2500000</v>
      </c>
      <c r="G4" s="1469">
        <v>2500000</v>
      </c>
      <c r="H4" s="1469" t="s">
        <v>3558</v>
      </c>
      <c r="I4" s="24" t="s">
        <v>3570</v>
      </c>
      <c r="J4" s="1469">
        <f>G4</f>
        <v>2500000</v>
      </c>
      <c r="K4" s="1469">
        <f>F4-J4</f>
        <v>0</v>
      </c>
      <c r="L4" s="1515"/>
    </row>
    <row r="5" spans="1:12" ht="30" customHeight="1" x14ac:dyDescent="0.2">
      <c r="A5" s="4459">
        <v>4</v>
      </c>
      <c r="B5" s="4457" t="s">
        <v>310</v>
      </c>
      <c r="C5" s="4537"/>
      <c r="D5" s="1469">
        <v>535000000</v>
      </c>
      <c r="E5" s="1516">
        <v>5.7000000000000002E-2</v>
      </c>
      <c r="F5" s="1469">
        <v>30000000</v>
      </c>
      <c r="G5" s="1469">
        <v>30000000</v>
      </c>
      <c r="H5" s="1469" t="s">
        <v>3499</v>
      </c>
      <c r="I5" s="24" t="s">
        <v>1543</v>
      </c>
      <c r="J5" s="1469">
        <f>G5</f>
        <v>30000000</v>
      </c>
      <c r="K5" s="1469">
        <f>F5-J5</f>
        <v>0</v>
      </c>
      <c r="L5" s="1515"/>
    </row>
    <row r="6" spans="1:12" ht="30" customHeight="1" x14ac:dyDescent="0.2">
      <c r="A6" s="4464"/>
      <c r="B6" s="4488"/>
      <c r="C6" s="4540"/>
      <c r="D6" s="1558"/>
      <c r="E6" s="1568"/>
      <c r="F6" s="1558"/>
      <c r="G6" s="4469" t="s">
        <v>3415</v>
      </c>
      <c r="H6" s="4470"/>
      <c r="I6" s="4470"/>
      <c r="J6" s="4471"/>
      <c r="K6" s="1558"/>
      <c r="L6" s="1570"/>
    </row>
    <row r="7" spans="1:12" ht="30" customHeight="1" x14ac:dyDescent="0.2">
      <c r="A7" s="4460"/>
      <c r="B7" s="4458"/>
      <c r="C7" s="4538"/>
      <c r="D7" s="1558"/>
      <c r="E7" s="1568"/>
      <c r="F7" s="1558"/>
      <c r="G7" s="4469" t="s">
        <v>3416</v>
      </c>
      <c r="H7" s="4470"/>
      <c r="I7" s="4470"/>
      <c r="J7" s="4471"/>
      <c r="K7" s="1558"/>
      <c r="L7" s="1570"/>
    </row>
    <row r="8" spans="1:12" ht="30" customHeight="1" x14ac:dyDescent="0.2">
      <c r="A8" s="1576"/>
      <c r="B8" s="1574"/>
      <c r="C8" s="1589"/>
      <c r="D8" s="1580">
        <v>700000000</v>
      </c>
      <c r="E8" s="1599">
        <f>F8/D8</f>
        <v>6.2857142857142861E-2</v>
      </c>
      <c r="F8" s="1580">
        <v>44000000</v>
      </c>
      <c r="G8" s="4469" t="s">
        <v>3476</v>
      </c>
      <c r="H8" s="4470"/>
      <c r="I8" s="4470"/>
      <c r="J8" s="4471"/>
      <c r="K8" s="1580"/>
      <c r="L8" s="1598"/>
    </row>
    <row r="9" spans="1:12" ht="30" customHeight="1" x14ac:dyDescent="0.2">
      <c r="A9" s="1519">
        <v>5</v>
      </c>
      <c r="B9" s="19" t="s">
        <v>317</v>
      </c>
      <c r="C9" s="1488" t="s">
        <v>372</v>
      </c>
      <c r="D9" s="1469">
        <v>20000000</v>
      </c>
      <c r="E9" s="1516">
        <v>7.0000000000000007E-2</v>
      </c>
      <c r="F9" s="1469">
        <v>1400000</v>
      </c>
      <c r="G9" s="1469">
        <v>1400000</v>
      </c>
      <c r="H9" s="1469" t="s">
        <v>3558</v>
      </c>
      <c r="I9" s="24" t="s">
        <v>1838</v>
      </c>
      <c r="J9" s="1469">
        <f t="shared" ref="J9:J14" si="0">G9</f>
        <v>1400000</v>
      </c>
      <c r="K9" s="1469">
        <f t="shared" ref="K9:K14" si="1">F9-J9</f>
        <v>0</v>
      </c>
      <c r="L9" s="29" t="s">
        <v>320</v>
      </c>
    </row>
    <row r="10" spans="1:12" ht="30" customHeight="1" x14ac:dyDescent="0.2">
      <c r="A10" s="1462">
        <v>6</v>
      </c>
      <c r="B10" s="1514" t="s">
        <v>407</v>
      </c>
      <c r="C10" s="1487"/>
      <c r="D10" s="1469">
        <v>15000000</v>
      </c>
      <c r="E10" s="1516">
        <v>0.05</v>
      </c>
      <c r="F10" s="1469">
        <f t="shared" ref="F10:F16" si="2">D10*E10</f>
        <v>750000</v>
      </c>
      <c r="G10" s="1469"/>
      <c r="H10" s="1469"/>
      <c r="I10" s="24"/>
      <c r="J10" s="1469">
        <f t="shared" si="0"/>
        <v>0</v>
      </c>
      <c r="K10" s="1469">
        <f t="shared" si="1"/>
        <v>750000</v>
      </c>
      <c r="L10" s="638"/>
    </row>
    <row r="11" spans="1:12" ht="30" customHeight="1" x14ac:dyDescent="0.2">
      <c r="A11" s="1462">
        <v>7</v>
      </c>
      <c r="B11" s="1514" t="s">
        <v>102</v>
      </c>
      <c r="C11" s="1487" t="s">
        <v>889</v>
      </c>
      <c r="D11" s="1469">
        <v>45000000</v>
      </c>
      <c r="E11" s="1516">
        <v>0.05</v>
      </c>
      <c r="F11" s="1469">
        <f t="shared" si="2"/>
        <v>2250000</v>
      </c>
      <c r="G11" s="1469">
        <v>2250000</v>
      </c>
      <c r="H11" s="1469" t="s">
        <v>3417</v>
      </c>
      <c r="I11" s="26" t="s">
        <v>3420</v>
      </c>
      <c r="J11" s="1469">
        <f t="shared" si="0"/>
        <v>2250000</v>
      </c>
      <c r="K11" s="1469">
        <f t="shared" si="1"/>
        <v>0</v>
      </c>
      <c r="L11" s="737"/>
    </row>
    <row r="12" spans="1:12" ht="30" customHeight="1" x14ac:dyDescent="0.2">
      <c r="A12" s="1462">
        <v>8</v>
      </c>
      <c r="B12" s="19" t="s">
        <v>349</v>
      </c>
      <c r="C12" s="1518" t="s">
        <v>1291</v>
      </c>
      <c r="D12" s="1489">
        <v>400000000</v>
      </c>
      <c r="E12" s="1516">
        <v>4.4999999999999998E-2</v>
      </c>
      <c r="F12" s="1489">
        <f t="shared" si="2"/>
        <v>18000000</v>
      </c>
      <c r="G12" s="1489">
        <v>18000000</v>
      </c>
      <c r="H12" s="1469" t="s">
        <v>3676</v>
      </c>
      <c r="I12" s="24" t="s">
        <v>2035</v>
      </c>
      <c r="J12" s="1469">
        <f t="shared" si="0"/>
        <v>18000000</v>
      </c>
      <c r="K12" s="1489">
        <f t="shared" si="1"/>
        <v>0</v>
      </c>
      <c r="L12" s="1470"/>
    </row>
    <row r="13" spans="1:12" ht="30" customHeight="1" x14ac:dyDescent="0.2">
      <c r="A13" s="1519">
        <v>9</v>
      </c>
      <c r="B13" s="1515" t="s">
        <v>378</v>
      </c>
      <c r="C13" s="1488" t="s">
        <v>371</v>
      </c>
      <c r="D13" s="1469">
        <v>10000000</v>
      </c>
      <c r="E13" s="1466">
        <v>0.05</v>
      </c>
      <c r="F13" s="1469">
        <f t="shared" si="2"/>
        <v>500000</v>
      </c>
      <c r="G13" s="1469">
        <v>500000</v>
      </c>
      <c r="H13" s="1469" t="s">
        <v>3558</v>
      </c>
      <c r="I13" s="24" t="s">
        <v>1001</v>
      </c>
      <c r="J13" s="1469">
        <f t="shared" si="0"/>
        <v>500000</v>
      </c>
      <c r="K13" s="1469">
        <f t="shared" si="1"/>
        <v>0</v>
      </c>
      <c r="L13" s="29"/>
    </row>
    <row r="14" spans="1:12" ht="30" customHeight="1" x14ac:dyDescent="0.2">
      <c r="A14" s="1519">
        <v>10</v>
      </c>
      <c r="B14" s="1514" t="s">
        <v>999</v>
      </c>
      <c r="C14" s="1518" t="s">
        <v>1796</v>
      </c>
      <c r="D14" s="1469">
        <v>180000000</v>
      </c>
      <c r="E14" s="1516">
        <v>7.0000000000000007E-2</v>
      </c>
      <c r="F14" s="1469">
        <f t="shared" si="2"/>
        <v>12600000.000000002</v>
      </c>
      <c r="G14" s="1469">
        <v>12600000</v>
      </c>
      <c r="H14" s="1469" t="s">
        <v>3770</v>
      </c>
      <c r="I14" s="24" t="s">
        <v>2372</v>
      </c>
      <c r="J14" s="1469">
        <f t="shared" si="0"/>
        <v>12600000</v>
      </c>
      <c r="K14" s="1469">
        <f t="shared" si="1"/>
        <v>0</v>
      </c>
      <c r="L14" s="180" t="s">
        <v>3197</v>
      </c>
    </row>
    <row r="15" spans="1:12" ht="30" customHeight="1" x14ac:dyDescent="0.2">
      <c r="A15" s="4459">
        <v>11</v>
      </c>
      <c r="B15" s="4615" t="s">
        <v>393</v>
      </c>
      <c r="C15" s="1488" t="s">
        <v>359</v>
      </c>
      <c r="D15" s="1489">
        <v>15000000</v>
      </c>
      <c r="E15" s="1516">
        <v>7.0000000000000007E-2</v>
      </c>
      <c r="F15" s="1489">
        <f t="shared" si="2"/>
        <v>1050000</v>
      </c>
      <c r="G15" s="1469">
        <v>1050000</v>
      </c>
      <c r="H15" s="1469" t="s">
        <v>3676</v>
      </c>
      <c r="I15" s="26" t="s">
        <v>3677</v>
      </c>
      <c r="J15" s="4413">
        <f>G15+G16</f>
        <v>1050000</v>
      </c>
      <c r="K15" s="4413">
        <f>(F15+F16)-J15</f>
        <v>250000</v>
      </c>
      <c r="L15" s="4498"/>
    </row>
    <row r="16" spans="1:12" ht="30" customHeight="1" x14ac:dyDescent="0.2">
      <c r="A16" s="4464"/>
      <c r="B16" s="4615"/>
      <c r="C16" s="1488" t="s">
        <v>1080</v>
      </c>
      <c r="D16" s="1489">
        <v>5000000</v>
      </c>
      <c r="E16" s="1516">
        <v>0.05</v>
      </c>
      <c r="F16" s="1489">
        <f t="shared" si="2"/>
        <v>250000</v>
      </c>
      <c r="G16" s="1469"/>
      <c r="H16" s="1469"/>
      <c r="I16" s="52"/>
      <c r="J16" s="4415"/>
      <c r="K16" s="4415"/>
      <c r="L16" s="4499"/>
    </row>
    <row r="17" spans="1:12" ht="30" customHeight="1" x14ac:dyDescent="0.2">
      <c r="A17" s="4614">
        <v>12</v>
      </c>
      <c r="B17" s="4457" t="s">
        <v>399</v>
      </c>
      <c r="C17" s="1488" t="s">
        <v>1172</v>
      </c>
      <c r="D17" s="1469">
        <v>75000000</v>
      </c>
      <c r="E17" s="1466"/>
      <c r="F17" s="1469">
        <v>3750000</v>
      </c>
      <c r="G17" s="1469">
        <v>3750000</v>
      </c>
      <c r="H17" s="1469" t="s">
        <v>3421</v>
      </c>
      <c r="I17" s="52" t="s">
        <v>401</v>
      </c>
      <c r="J17" s="1469">
        <f>G17</f>
        <v>3750000</v>
      </c>
      <c r="K17" s="1469">
        <f>F17-J17</f>
        <v>0</v>
      </c>
      <c r="L17" s="1762" t="s">
        <v>3714</v>
      </c>
    </row>
    <row r="18" spans="1:12" ht="30" customHeight="1" x14ac:dyDescent="0.2">
      <c r="A18" s="4614"/>
      <c r="B18" s="4458"/>
      <c r="C18" s="1778"/>
      <c r="D18" s="4386"/>
      <c r="E18" s="4654"/>
      <c r="F18" s="4655"/>
      <c r="G18" s="1772">
        <v>22000000</v>
      </c>
      <c r="H18" s="1772" t="s">
        <v>2599</v>
      </c>
      <c r="I18" s="1794" t="s">
        <v>3728</v>
      </c>
      <c r="J18" s="1772">
        <f>G18</f>
        <v>22000000</v>
      </c>
      <c r="K18" s="1772"/>
      <c r="L18" s="1783"/>
    </row>
    <row r="19" spans="1:12" ht="30" customHeight="1" x14ac:dyDescent="0.2">
      <c r="A19" s="4464"/>
      <c r="B19" s="4457" t="s">
        <v>420</v>
      </c>
      <c r="C19" s="4540" t="s">
        <v>359</v>
      </c>
      <c r="D19" s="1469">
        <v>80000000</v>
      </c>
      <c r="E19" s="1466">
        <v>0.06</v>
      </c>
      <c r="F19" s="1469">
        <f t="shared" ref="F19:F25" si="3">D19*E19</f>
        <v>4800000</v>
      </c>
      <c r="G19" s="4742">
        <v>11800000</v>
      </c>
      <c r="H19" s="4742" t="s">
        <v>3583</v>
      </c>
      <c r="I19" s="4742" t="s">
        <v>1946</v>
      </c>
      <c r="J19" s="4413">
        <f>G19</f>
        <v>11800000</v>
      </c>
      <c r="K19" s="4413">
        <f>(F19+F20)-J19</f>
        <v>0</v>
      </c>
      <c r="L19" s="4492" t="s">
        <v>2731</v>
      </c>
    </row>
    <row r="20" spans="1:12" ht="30" customHeight="1" x14ac:dyDescent="0.2">
      <c r="A20" s="4460"/>
      <c r="B20" s="4458"/>
      <c r="C20" s="4538"/>
      <c r="D20" s="1469">
        <v>100000000</v>
      </c>
      <c r="E20" s="1466">
        <v>7.0000000000000007E-2</v>
      </c>
      <c r="F20" s="1469">
        <f t="shared" si="3"/>
        <v>7000000.0000000009</v>
      </c>
      <c r="G20" s="4743"/>
      <c r="H20" s="4743"/>
      <c r="I20" s="4743"/>
      <c r="J20" s="4415"/>
      <c r="K20" s="4415"/>
      <c r="L20" s="4493"/>
    </row>
    <row r="21" spans="1:12" ht="30" customHeight="1" x14ac:dyDescent="0.2">
      <c r="A21" s="1464">
        <v>14</v>
      </c>
      <c r="B21" s="1461" t="s">
        <v>428</v>
      </c>
      <c r="C21" s="1488" t="s">
        <v>1300</v>
      </c>
      <c r="D21" s="1469">
        <v>150000000</v>
      </c>
      <c r="E21" s="1466">
        <v>0.04</v>
      </c>
      <c r="F21" s="1469">
        <f t="shared" si="3"/>
        <v>6000000</v>
      </c>
      <c r="G21" s="1469">
        <v>6000000</v>
      </c>
      <c r="H21" s="1469" t="s">
        <v>3583</v>
      </c>
      <c r="I21" s="64" t="s">
        <v>430</v>
      </c>
      <c r="J21" s="1469">
        <f t="shared" ref="J21:J26" si="4">G21</f>
        <v>6000000</v>
      </c>
      <c r="K21" s="1469">
        <f t="shared" ref="K21:K26" si="5">F21-J21</f>
        <v>0</v>
      </c>
      <c r="L21" s="1471"/>
    </row>
    <row r="22" spans="1:12" ht="30" customHeight="1" x14ac:dyDescent="0.2">
      <c r="A22" s="1464">
        <v>15</v>
      </c>
      <c r="B22" s="1461" t="s">
        <v>436</v>
      </c>
      <c r="C22" s="1488"/>
      <c r="D22" s="1469">
        <v>13000000</v>
      </c>
      <c r="E22" s="1466">
        <v>0.05</v>
      </c>
      <c r="F22" s="1469">
        <f t="shared" si="3"/>
        <v>650000</v>
      </c>
      <c r="G22" s="1469">
        <v>650000</v>
      </c>
      <c r="H22" s="1469" t="s">
        <v>3607</v>
      </c>
      <c r="I22" s="64" t="s">
        <v>3608</v>
      </c>
      <c r="J22" s="1469">
        <f t="shared" si="4"/>
        <v>650000</v>
      </c>
      <c r="K22" s="1469">
        <f t="shared" si="5"/>
        <v>0</v>
      </c>
      <c r="L22" s="1471"/>
    </row>
    <row r="23" spans="1:12" ht="30" customHeight="1" x14ac:dyDescent="0.2">
      <c r="A23" s="1519">
        <v>16</v>
      </c>
      <c r="B23" s="19" t="s">
        <v>487</v>
      </c>
      <c r="C23" s="1518"/>
      <c r="D23" s="1489">
        <v>80000000</v>
      </c>
      <c r="E23" s="1516">
        <v>0.04</v>
      </c>
      <c r="F23" s="1489">
        <f t="shared" si="3"/>
        <v>3200000</v>
      </c>
      <c r="G23" s="1563">
        <v>3200000</v>
      </c>
      <c r="H23" s="1563" t="s">
        <v>3434</v>
      </c>
      <c r="I23" s="1610" t="s">
        <v>2560</v>
      </c>
      <c r="J23" s="1563">
        <f t="shared" si="4"/>
        <v>3200000</v>
      </c>
      <c r="K23" s="1489">
        <f t="shared" si="5"/>
        <v>0</v>
      </c>
      <c r="L23" s="48"/>
    </row>
    <row r="24" spans="1:12" ht="30" customHeight="1" x14ac:dyDescent="0.2">
      <c r="A24" s="1464">
        <v>17</v>
      </c>
      <c r="B24" s="1461" t="s">
        <v>747</v>
      </c>
      <c r="C24" s="1488" t="s">
        <v>1289</v>
      </c>
      <c r="D24" s="1469">
        <v>100000000</v>
      </c>
      <c r="E24" s="1466">
        <v>0.06</v>
      </c>
      <c r="F24" s="1469">
        <f t="shared" si="3"/>
        <v>6000000</v>
      </c>
      <c r="G24" s="1469">
        <v>6000000</v>
      </c>
      <c r="H24" s="1469" t="s">
        <v>3692</v>
      </c>
      <c r="I24" s="64" t="s">
        <v>3208</v>
      </c>
      <c r="J24" s="1469">
        <f t="shared" si="4"/>
        <v>6000000</v>
      </c>
      <c r="K24" s="1469">
        <f t="shared" si="5"/>
        <v>0</v>
      </c>
      <c r="L24" s="1471"/>
    </row>
    <row r="25" spans="1:12" ht="30" customHeight="1" x14ac:dyDescent="0.2">
      <c r="A25" s="1464">
        <v>18</v>
      </c>
      <c r="B25" s="1461" t="s">
        <v>554</v>
      </c>
      <c r="C25" s="1488" t="s">
        <v>1300</v>
      </c>
      <c r="D25" s="1469">
        <v>50000000</v>
      </c>
      <c r="E25" s="1466">
        <v>0.05</v>
      </c>
      <c r="F25" s="1469">
        <f t="shared" si="3"/>
        <v>2500000</v>
      </c>
      <c r="G25" s="1469">
        <v>2500000</v>
      </c>
      <c r="H25" s="1469" t="s">
        <v>3595</v>
      </c>
      <c r="I25" s="64" t="s">
        <v>2974</v>
      </c>
      <c r="J25" s="1469">
        <f t="shared" si="4"/>
        <v>2500000</v>
      </c>
      <c r="K25" s="1469">
        <f t="shared" si="5"/>
        <v>0</v>
      </c>
      <c r="L25" s="1471"/>
    </row>
    <row r="26" spans="1:12" ht="30" customHeight="1" x14ac:dyDescent="0.2">
      <c r="A26" s="4459">
        <v>19</v>
      </c>
      <c r="B26" s="4615" t="s">
        <v>560</v>
      </c>
      <c r="C26" s="4620"/>
      <c r="D26" s="1720">
        <v>50000000</v>
      </c>
      <c r="E26" s="4500">
        <f>F26/(D26+D27)</f>
        <v>0.05</v>
      </c>
      <c r="F26" s="4504">
        <v>3250000</v>
      </c>
      <c r="G26" s="4413">
        <v>3250000</v>
      </c>
      <c r="H26" s="4413" t="s">
        <v>3660</v>
      </c>
      <c r="I26" s="4568" t="s">
        <v>3669</v>
      </c>
      <c r="J26" s="4413">
        <f t="shared" si="4"/>
        <v>3250000</v>
      </c>
      <c r="K26" s="4413">
        <f t="shared" si="5"/>
        <v>0</v>
      </c>
      <c r="L26" s="1734" t="s">
        <v>1995</v>
      </c>
    </row>
    <row r="27" spans="1:12" ht="30" customHeight="1" x14ac:dyDescent="0.2">
      <c r="A27" s="4464"/>
      <c r="B27" s="4615"/>
      <c r="C27" s="4620"/>
      <c r="D27" s="1720">
        <v>15000000</v>
      </c>
      <c r="E27" s="4501"/>
      <c r="F27" s="4505"/>
      <c r="G27" s="4415"/>
      <c r="H27" s="4415"/>
      <c r="I27" s="4569"/>
      <c r="J27" s="4415"/>
      <c r="K27" s="4415"/>
      <c r="L27" s="1734" t="s">
        <v>2912</v>
      </c>
    </row>
    <row r="28" spans="1:12" ht="30" customHeight="1" x14ac:dyDescent="0.2">
      <c r="A28" s="1464">
        <v>20</v>
      </c>
      <c r="B28" s="1461" t="s">
        <v>607</v>
      </c>
      <c r="C28" s="1488"/>
      <c r="D28" s="1469">
        <v>32000000</v>
      </c>
      <c r="E28" s="1466">
        <v>0.05</v>
      </c>
      <c r="F28" s="1469">
        <v>1600000</v>
      </c>
      <c r="G28" s="4413"/>
      <c r="H28" s="4413"/>
      <c r="I28" s="4568"/>
      <c r="J28" s="4413">
        <f>G28</f>
        <v>0</v>
      </c>
      <c r="K28" s="4413">
        <f>(F28+F29)-J28</f>
        <v>2050000</v>
      </c>
      <c r="L28" s="4652"/>
    </row>
    <row r="29" spans="1:12" ht="30" customHeight="1" x14ac:dyDescent="0.2">
      <c r="A29" s="1464">
        <v>21</v>
      </c>
      <c r="B29" s="1461" t="s">
        <v>1546</v>
      </c>
      <c r="C29" s="1488"/>
      <c r="D29" s="1469">
        <v>10000000</v>
      </c>
      <c r="E29" s="1466">
        <v>4.4999999999999998E-2</v>
      </c>
      <c r="F29" s="1469">
        <f>D29*E29</f>
        <v>450000</v>
      </c>
      <c r="G29" s="4415"/>
      <c r="H29" s="4415"/>
      <c r="I29" s="4569"/>
      <c r="J29" s="4415"/>
      <c r="K29" s="4415"/>
      <c r="L29" s="4653"/>
    </row>
    <row r="30" spans="1:12" ht="30" customHeight="1" x14ac:dyDescent="0.2">
      <c r="A30" s="1464">
        <v>22</v>
      </c>
      <c r="B30" s="19" t="s">
        <v>658</v>
      </c>
      <c r="C30" s="1518" t="s">
        <v>1287</v>
      </c>
      <c r="D30" s="1469">
        <v>300000000</v>
      </c>
      <c r="E30" s="1466">
        <v>0.05</v>
      </c>
      <c r="F30" s="1469">
        <f>D30*E30</f>
        <v>15000000</v>
      </c>
      <c r="G30" s="1469">
        <v>15000000</v>
      </c>
      <c r="H30" s="1469" t="s">
        <v>3692</v>
      </c>
      <c r="I30" s="64" t="s">
        <v>2168</v>
      </c>
      <c r="J30" s="1489">
        <f>G30</f>
        <v>15000000</v>
      </c>
      <c r="K30" s="1489">
        <f>F30-J30</f>
        <v>0</v>
      </c>
      <c r="L30" s="48"/>
    </row>
    <row r="31" spans="1:12" ht="30" customHeight="1" x14ac:dyDescent="0.2">
      <c r="A31" s="1029">
        <v>23</v>
      </c>
      <c r="B31" s="19" t="s">
        <v>2121</v>
      </c>
      <c r="C31" s="1700" t="s">
        <v>2004</v>
      </c>
      <c r="D31" s="1469">
        <v>150000000</v>
      </c>
      <c r="E31" s="1466">
        <v>7.0000000000000007E-2</v>
      </c>
      <c r="F31" s="1469">
        <f>D31*E31</f>
        <v>10500000.000000002</v>
      </c>
      <c r="G31" s="1753">
        <v>10500000</v>
      </c>
      <c r="H31" s="1756" t="s">
        <v>3692</v>
      </c>
      <c r="I31" s="64" t="s">
        <v>3704</v>
      </c>
      <c r="J31" s="1757">
        <f>G31</f>
        <v>10500000</v>
      </c>
      <c r="K31" s="1489">
        <f>F31-G31</f>
        <v>0</v>
      </c>
      <c r="L31" s="638"/>
    </row>
    <row r="32" spans="1:12" ht="30" customHeight="1" x14ac:dyDescent="0.2">
      <c r="A32" s="1029"/>
      <c r="B32" s="19" t="s">
        <v>3618</v>
      </c>
      <c r="C32" s="1700" t="s">
        <v>2004</v>
      </c>
      <c r="D32" s="1679">
        <v>70000000</v>
      </c>
      <c r="E32" s="1680">
        <v>0.06</v>
      </c>
      <c r="F32" s="1679">
        <f>D32*E32</f>
        <v>4200000</v>
      </c>
      <c r="G32" s="1753">
        <v>950000</v>
      </c>
      <c r="H32" s="1756" t="s">
        <v>3692</v>
      </c>
      <c r="I32" s="64" t="s">
        <v>3705</v>
      </c>
      <c r="J32" s="1757">
        <f>G32</f>
        <v>950000</v>
      </c>
      <c r="K32" s="1679">
        <v>0</v>
      </c>
      <c r="L32" s="29" t="s">
        <v>3706</v>
      </c>
    </row>
    <row r="33" spans="1:14" ht="30" customHeight="1" x14ac:dyDescent="0.2">
      <c r="A33" s="1464">
        <v>25</v>
      </c>
      <c r="B33" s="1461" t="s">
        <v>718</v>
      </c>
      <c r="C33" s="1488" t="s">
        <v>1296</v>
      </c>
      <c r="D33" s="1469">
        <v>35000000</v>
      </c>
      <c r="E33" s="1466">
        <v>5.8000000000000003E-2</v>
      </c>
      <c r="F33" s="1469">
        <v>2000000</v>
      </c>
      <c r="G33" s="1469">
        <v>2000000</v>
      </c>
      <c r="H33" s="1482" t="s">
        <v>1189</v>
      </c>
      <c r="I33" s="64" t="s">
        <v>2188</v>
      </c>
      <c r="J33" s="1469">
        <f>G33</f>
        <v>2000000</v>
      </c>
      <c r="K33" s="1469">
        <f>F33-G33</f>
        <v>0</v>
      </c>
      <c r="L33" s="1474"/>
    </row>
    <row r="34" spans="1:14" ht="30" customHeight="1" x14ac:dyDescent="0.2">
      <c r="A34" s="4614">
        <v>26</v>
      </c>
      <c r="B34" s="4815" t="s">
        <v>803</v>
      </c>
      <c r="C34" s="4620" t="s">
        <v>1718</v>
      </c>
      <c r="D34" s="1717">
        <v>500000000</v>
      </c>
      <c r="E34" s="436">
        <v>4.4999999999999998E-2</v>
      </c>
      <c r="F34" s="1717">
        <f t="shared" ref="F34:F44" si="6">D34*E34</f>
        <v>22500000</v>
      </c>
      <c r="G34" s="233">
        <v>22500000</v>
      </c>
      <c r="H34" s="1489" t="s">
        <v>3485</v>
      </c>
      <c r="I34" s="640" t="s">
        <v>3156</v>
      </c>
      <c r="J34" s="1495">
        <f>G34</f>
        <v>22500000</v>
      </c>
      <c r="K34" s="1489">
        <f t="shared" ref="K34:K44" si="7">F34-J34</f>
        <v>0</v>
      </c>
      <c r="L34" s="638"/>
    </row>
    <row r="35" spans="1:14" ht="30" customHeight="1" x14ac:dyDescent="0.2">
      <c r="A35" s="4614"/>
      <c r="B35" s="4815"/>
      <c r="C35" s="4620"/>
      <c r="D35" s="1724">
        <v>386000000</v>
      </c>
      <c r="E35" s="1727">
        <v>0.05</v>
      </c>
      <c r="F35" s="1724">
        <f t="shared" si="6"/>
        <v>19300000</v>
      </c>
      <c r="G35" s="233">
        <v>36000000</v>
      </c>
      <c r="H35" s="1590" t="s">
        <v>3463</v>
      </c>
      <c r="I35" s="640" t="s">
        <v>3470</v>
      </c>
      <c r="J35" s="1592">
        <f t="shared" ref="J35" si="8">G35</f>
        <v>36000000</v>
      </c>
      <c r="K35" s="1489">
        <f t="shared" si="7"/>
        <v>-16700000</v>
      </c>
      <c r="L35" s="180" t="s">
        <v>3471</v>
      </c>
    </row>
    <row r="36" spans="1:14" ht="30" customHeight="1" x14ac:dyDescent="0.2">
      <c r="A36" s="4614"/>
      <c r="B36" s="4815"/>
      <c r="C36" s="4620"/>
      <c r="D36" s="1717">
        <v>350000000</v>
      </c>
      <c r="E36" s="436">
        <v>0.05</v>
      </c>
      <c r="F36" s="1717">
        <f t="shared" si="6"/>
        <v>17500000</v>
      </c>
      <c r="G36" s="233"/>
      <c r="H36" s="1590"/>
      <c r="I36" s="640"/>
      <c r="J36" s="1592"/>
      <c r="K36" s="1578"/>
      <c r="L36" s="180"/>
    </row>
    <row r="37" spans="1:14" ht="30" customHeight="1" x14ac:dyDescent="0.2">
      <c r="A37" s="4459"/>
      <c r="B37" s="4813" t="s">
        <v>803</v>
      </c>
      <c r="C37" s="4537" t="s">
        <v>1718</v>
      </c>
      <c r="D37" s="4325" t="s">
        <v>3727</v>
      </c>
      <c r="E37" s="4326"/>
      <c r="F37" s="4563"/>
      <c r="G37" s="233">
        <v>37500000</v>
      </c>
      <c r="H37" s="1775" t="s">
        <v>2599</v>
      </c>
      <c r="I37" s="640" t="s">
        <v>3156</v>
      </c>
      <c r="J37" s="4648">
        <f>G37+G38</f>
        <v>57500000</v>
      </c>
      <c r="K37" s="4413">
        <f>57500000-J37</f>
        <v>0</v>
      </c>
      <c r="L37" s="180"/>
    </row>
    <row r="38" spans="1:14" ht="30" customHeight="1" x14ac:dyDescent="0.2">
      <c r="A38" s="4460"/>
      <c r="B38" s="4814"/>
      <c r="C38" s="4538"/>
      <c r="D38" s="4564"/>
      <c r="E38" s="4596"/>
      <c r="F38" s="4565"/>
      <c r="G38" s="233">
        <v>20000000</v>
      </c>
      <c r="H38" s="1775" t="s">
        <v>2472</v>
      </c>
      <c r="I38" s="640" t="s">
        <v>3470</v>
      </c>
      <c r="J38" s="4650"/>
      <c r="K38" s="4415"/>
      <c r="L38" s="180"/>
    </row>
    <row r="39" spans="1:14" ht="30" customHeight="1" x14ac:dyDescent="0.2">
      <c r="A39" s="1719"/>
      <c r="B39" s="1792" t="s">
        <v>803</v>
      </c>
      <c r="C39" s="1725" t="s">
        <v>359</v>
      </c>
      <c r="D39" s="1785">
        <v>700000000</v>
      </c>
      <c r="E39" s="1793">
        <v>0.05</v>
      </c>
      <c r="F39" s="1785">
        <f t="shared" si="6"/>
        <v>35000000</v>
      </c>
      <c r="G39" s="4854" t="s">
        <v>3686</v>
      </c>
      <c r="H39" s="4855"/>
      <c r="I39" s="4855"/>
      <c r="J39" s="4856"/>
      <c r="K39" s="1772"/>
      <c r="L39" s="180"/>
    </row>
    <row r="40" spans="1:14" ht="30" customHeight="1" x14ac:dyDescent="0.2">
      <c r="A40" s="1462">
        <v>27</v>
      </c>
      <c r="B40" s="1514" t="s">
        <v>807</v>
      </c>
      <c r="C40" s="1487" t="s">
        <v>1299</v>
      </c>
      <c r="D40" s="1467">
        <v>500000000</v>
      </c>
      <c r="E40" s="1465">
        <v>7.0000000000000007E-2</v>
      </c>
      <c r="F40" s="1467">
        <f t="shared" si="6"/>
        <v>35000000</v>
      </c>
      <c r="G40" s="1468">
        <v>35000000</v>
      </c>
      <c r="H40" s="1520" t="s">
        <v>3712</v>
      </c>
      <c r="I40" s="1538" t="s">
        <v>2290</v>
      </c>
      <c r="J40" s="1467">
        <f t="shared" ref="J40:J45" si="9">G40</f>
        <v>35000000</v>
      </c>
      <c r="K40" s="1467">
        <f t="shared" si="7"/>
        <v>0</v>
      </c>
      <c r="L40" s="1470"/>
    </row>
    <row r="41" spans="1:14" ht="30" customHeight="1" x14ac:dyDescent="0.2">
      <c r="A41" s="1519"/>
      <c r="B41" s="19" t="s">
        <v>3369</v>
      </c>
      <c r="C41" s="1518" t="s">
        <v>1299</v>
      </c>
      <c r="D41" s="1489">
        <v>700000000</v>
      </c>
      <c r="E41" s="1516">
        <v>0.06</v>
      </c>
      <c r="F41" s="1489">
        <f t="shared" si="6"/>
        <v>42000000</v>
      </c>
      <c r="G41" s="1489">
        <v>40000000</v>
      </c>
      <c r="H41" s="1489" t="s">
        <v>3712</v>
      </c>
      <c r="I41" s="1489" t="s">
        <v>820</v>
      </c>
      <c r="J41" s="1489">
        <f t="shared" si="9"/>
        <v>40000000</v>
      </c>
      <c r="K41" s="1489">
        <f t="shared" si="7"/>
        <v>2000000</v>
      </c>
      <c r="L41" s="1474" t="s">
        <v>3311</v>
      </c>
    </row>
    <row r="42" spans="1:14" ht="30" customHeight="1" x14ac:dyDescent="0.2">
      <c r="A42" s="1464">
        <v>29</v>
      </c>
      <c r="B42" s="1517" t="s">
        <v>839</v>
      </c>
      <c r="C42" s="1518" t="s">
        <v>1306</v>
      </c>
      <c r="D42" s="1469">
        <v>42000000</v>
      </c>
      <c r="E42" s="1466">
        <v>7.0000000000000007E-2</v>
      </c>
      <c r="F42" s="1469">
        <f t="shared" si="6"/>
        <v>2940000.0000000005</v>
      </c>
      <c r="G42" s="1469">
        <v>2940000</v>
      </c>
      <c r="H42" s="1482" t="s">
        <v>1189</v>
      </c>
      <c r="I42" s="64" t="s">
        <v>3190</v>
      </c>
      <c r="J42" s="1469">
        <f t="shared" si="9"/>
        <v>2940000</v>
      </c>
      <c r="K42" s="1469">
        <f t="shared" si="7"/>
        <v>0</v>
      </c>
      <c r="L42" s="1474"/>
    </row>
    <row r="43" spans="1:14" ht="30" customHeight="1" x14ac:dyDescent="0.2">
      <c r="A43" s="1464">
        <v>30</v>
      </c>
      <c r="B43" s="1461" t="s">
        <v>843</v>
      </c>
      <c r="C43" s="1488" t="s">
        <v>1107</v>
      </c>
      <c r="D43" s="1469">
        <v>20000000</v>
      </c>
      <c r="E43" s="1466">
        <v>0.04</v>
      </c>
      <c r="F43" s="1469">
        <f t="shared" si="6"/>
        <v>800000</v>
      </c>
      <c r="G43" s="1469">
        <v>800000</v>
      </c>
      <c r="H43" s="1482" t="s">
        <v>3731</v>
      </c>
      <c r="I43" s="64" t="s">
        <v>3105</v>
      </c>
      <c r="J43" s="1469">
        <f t="shared" si="9"/>
        <v>800000</v>
      </c>
      <c r="K43" s="1469">
        <f t="shared" si="7"/>
        <v>0</v>
      </c>
      <c r="L43" s="638"/>
    </row>
    <row r="44" spans="1:14" ht="30" customHeight="1" x14ac:dyDescent="0.2">
      <c r="A44" s="1462">
        <v>31</v>
      </c>
      <c r="B44" s="1514" t="s">
        <v>915</v>
      </c>
      <c r="C44" s="1487"/>
      <c r="D44" s="1489">
        <v>100000000</v>
      </c>
      <c r="E44" s="1516">
        <v>7.0000000000000007E-2</v>
      </c>
      <c r="F44" s="1489">
        <f t="shared" si="6"/>
        <v>7000000.0000000009</v>
      </c>
      <c r="G44" s="1469">
        <v>7000000</v>
      </c>
      <c r="H44" s="1482" t="s">
        <v>1189</v>
      </c>
      <c r="I44" s="64" t="s">
        <v>3195</v>
      </c>
      <c r="J44" s="1467">
        <f t="shared" si="9"/>
        <v>7000000</v>
      </c>
      <c r="K44" s="1467">
        <f t="shared" si="7"/>
        <v>0</v>
      </c>
      <c r="L44" s="1470"/>
    </row>
    <row r="45" spans="1:14" ht="30" customHeight="1" x14ac:dyDescent="0.2">
      <c r="A45" s="4614">
        <v>32</v>
      </c>
      <c r="B45" s="4457" t="s">
        <v>982</v>
      </c>
      <c r="C45" s="4537" t="s">
        <v>1306</v>
      </c>
      <c r="D45" s="1469">
        <v>100000000</v>
      </c>
      <c r="E45" s="1466">
        <v>0.05</v>
      </c>
      <c r="F45" s="1469">
        <f t="shared" ref="F45:F47" si="10">D45*E45</f>
        <v>5000000</v>
      </c>
      <c r="G45" s="4413">
        <v>7450000</v>
      </c>
      <c r="H45" s="4325" t="s">
        <v>1189</v>
      </c>
      <c r="I45" s="4857" t="s">
        <v>2377</v>
      </c>
      <c r="J45" s="4413">
        <f t="shared" si="9"/>
        <v>7450000</v>
      </c>
      <c r="K45" s="4413">
        <f>(F45+F46)-J45</f>
        <v>0</v>
      </c>
      <c r="L45" s="4492"/>
    </row>
    <row r="46" spans="1:14" ht="30" customHeight="1" x14ac:dyDescent="0.2">
      <c r="A46" s="4614"/>
      <c r="B46" s="4488"/>
      <c r="C46" s="4540"/>
      <c r="D46" s="1469">
        <v>35000000</v>
      </c>
      <c r="E46" s="1466">
        <v>7.0000000000000007E-2</v>
      </c>
      <c r="F46" s="1469">
        <f t="shared" si="10"/>
        <v>2450000.0000000005</v>
      </c>
      <c r="G46" s="4415"/>
      <c r="H46" s="4612"/>
      <c r="I46" s="4857"/>
      <c r="J46" s="4414"/>
      <c r="K46" s="4414"/>
      <c r="L46" s="4493"/>
    </row>
    <row r="47" spans="1:14" ht="30" customHeight="1" x14ac:dyDescent="0.2">
      <c r="A47" s="1763"/>
      <c r="B47" s="4488"/>
      <c r="C47" s="4540"/>
      <c r="D47" s="4413">
        <v>20000000</v>
      </c>
      <c r="E47" s="4476">
        <v>7.0000000000000007E-2</v>
      </c>
      <c r="F47" s="4413">
        <f t="shared" si="10"/>
        <v>1400000.0000000002</v>
      </c>
      <c r="G47" s="4413">
        <v>800000</v>
      </c>
      <c r="H47" s="4564"/>
      <c r="I47" s="4857"/>
      <c r="J47" s="4415"/>
      <c r="K47" s="4415"/>
      <c r="L47" s="4469" t="s">
        <v>3720</v>
      </c>
      <c r="M47" s="4470"/>
      <c r="N47" s="4471"/>
    </row>
    <row r="48" spans="1:14" ht="30" customHeight="1" x14ac:dyDescent="0.2">
      <c r="A48" s="1763"/>
      <c r="B48" s="4488"/>
      <c r="C48" s="4540"/>
      <c r="D48" s="4414"/>
      <c r="E48" s="4516"/>
      <c r="F48" s="4414"/>
      <c r="G48" s="4414"/>
      <c r="H48" s="4325" t="s">
        <v>3752</v>
      </c>
      <c r="I48" s="4326"/>
      <c r="J48" s="4563"/>
      <c r="K48" s="4413">
        <v>0</v>
      </c>
      <c r="L48" s="4469" t="s">
        <v>3721</v>
      </c>
      <c r="M48" s="4470"/>
      <c r="N48" s="4471"/>
    </row>
    <row r="49" spans="1:14" ht="30" customHeight="1" x14ac:dyDescent="0.2">
      <c r="A49" s="1763"/>
      <c r="B49" s="4458"/>
      <c r="C49" s="4538"/>
      <c r="D49" s="4415"/>
      <c r="E49" s="4477"/>
      <c r="F49" s="4415"/>
      <c r="G49" s="4415"/>
      <c r="H49" s="4564"/>
      <c r="I49" s="4596"/>
      <c r="J49" s="4565"/>
      <c r="K49" s="4415"/>
      <c r="L49" s="4469" t="s">
        <v>3721</v>
      </c>
      <c r="M49" s="4470"/>
      <c r="N49" s="4471"/>
    </row>
    <row r="50" spans="1:14" ht="30" customHeight="1" x14ac:dyDescent="0.2">
      <c r="A50" s="1464">
        <v>33</v>
      </c>
      <c r="B50" s="1517" t="s">
        <v>993</v>
      </c>
      <c r="C50" s="1488" t="s">
        <v>1287</v>
      </c>
      <c r="D50" s="1469">
        <v>63580000</v>
      </c>
      <c r="E50" s="1466">
        <v>7.0000000000000007E-2</v>
      </c>
      <c r="F50" s="1469">
        <v>4450000</v>
      </c>
      <c r="G50" s="1469">
        <v>4450000</v>
      </c>
      <c r="H50" s="1469" t="s">
        <v>3660</v>
      </c>
      <c r="I50" s="64" t="s">
        <v>3750</v>
      </c>
      <c r="J50" s="1469">
        <f>G50</f>
        <v>4450000</v>
      </c>
      <c r="K50" s="1469">
        <f t="shared" ref="K50:K58" si="11">F50-J50</f>
        <v>0</v>
      </c>
      <c r="L50" s="1474" t="s">
        <v>3751</v>
      </c>
    </row>
    <row r="51" spans="1:14" ht="30" customHeight="1" x14ac:dyDescent="0.2">
      <c r="A51" s="1464">
        <v>34</v>
      </c>
      <c r="B51" s="1460" t="s">
        <v>1110</v>
      </c>
      <c r="C51" s="1488"/>
      <c r="D51" s="1469">
        <v>20000000</v>
      </c>
      <c r="E51" s="1466">
        <v>0.04</v>
      </c>
      <c r="F51" s="1469">
        <f>D51*E51</f>
        <v>800000</v>
      </c>
      <c r="G51" s="1469">
        <v>800000</v>
      </c>
      <c r="H51" s="1469" t="s">
        <v>1189</v>
      </c>
      <c r="I51" s="64" t="s">
        <v>1112</v>
      </c>
      <c r="J51" s="1469">
        <f>G51</f>
        <v>800000</v>
      </c>
      <c r="K51" s="1469">
        <f t="shared" si="11"/>
        <v>0</v>
      </c>
      <c r="L51" s="1474"/>
    </row>
    <row r="52" spans="1:14" ht="30" customHeight="1" x14ac:dyDescent="0.2">
      <c r="A52" s="1519">
        <v>35</v>
      </c>
      <c r="B52" s="62" t="s">
        <v>1150</v>
      </c>
      <c r="C52" s="1518" t="s">
        <v>1138</v>
      </c>
      <c r="D52" s="1489">
        <v>175000000</v>
      </c>
      <c r="E52" s="1516">
        <v>0.06</v>
      </c>
      <c r="F52" s="1489">
        <f>D52*E52</f>
        <v>10500000</v>
      </c>
      <c r="G52" s="1933">
        <v>10500000</v>
      </c>
      <c r="H52" s="1933" t="s">
        <v>3943</v>
      </c>
      <c r="I52" s="1933" t="s">
        <v>3949</v>
      </c>
      <c r="J52" s="1933">
        <f>G52</f>
        <v>10500000</v>
      </c>
      <c r="K52" s="1469">
        <f t="shared" si="11"/>
        <v>0</v>
      </c>
      <c r="L52" s="97"/>
    </row>
    <row r="53" spans="1:14" ht="30" customHeight="1" x14ac:dyDescent="0.2">
      <c r="A53" s="1464"/>
      <c r="B53" s="1940" t="s">
        <v>3264</v>
      </c>
      <c r="C53" s="1488" t="s">
        <v>1138</v>
      </c>
      <c r="D53" s="1469">
        <v>100000000</v>
      </c>
      <c r="E53" s="1466">
        <v>0.04</v>
      </c>
      <c r="F53" s="1469">
        <f>D53*E53</f>
        <v>4000000</v>
      </c>
      <c r="G53" s="1939">
        <v>3330000</v>
      </c>
      <c r="H53" s="1939" t="s">
        <v>3943</v>
      </c>
      <c r="I53" s="1939" t="s">
        <v>3948</v>
      </c>
      <c r="J53" s="1939">
        <f>G53</f>
        <v>3330000</v>
      </c>
      <c r="K53" s="1938">
        <f t="shared" si="11"/>
        <v>670000</v>
      </c>
      <c r="L53" s="851" t="s">
        <v>3265</v>
      </c>
    </row>
    <row r="54" spans="1:14" ht="30" customHeight="1" x14ac:dyDescent="0.2">
      <c r="A54" s="1029">
        <v>36</v>
      </c>
      <c r="B54" s="19" t="s">
        <v>3370</v>
      </c>
      <c r="C54" s="1518" t="s">
        <v>1081</v>
      </c>
      <c r="D54" s="1489">
        <v>50000000</v>
      </c>
      <c r="E54" s="1516">
        <v>7.0000000000000007E-2</v>
      </c>
      <c r="F54" s="1489">
        <f>D54*E54</f>
        <v>3500000.0000000005</v>
      </c>
      <c r="G54" s="1489">
        <v>3500000</v>
      </c>
      <c r="H54" s="1489" t="s">
        <v>3886</v>
      </c>
      <c r="I54" s="1539" t="s">
        <v>3888</v>
      </c>
      <c r="J54" s="1489">
        <f>G54</f>
        <v>3500000</v>
      </c>
      <c r="K54" s="1489">
        <f t="shared" si="11"/>
        <v>0</v>
      </c>
      <c r="L54" s="1474"/>
    </row>
    <row r="55" spans="1:14" ht="30" customHeight="1" x14ac:dyDescent="0.2">
      <c r="A55" s="1464">
        <v>38</v>
      </c>
      <c r="B55" s="1459" t="s">
        <v>1254</v>
      </c>
      <c r="C55" s="1488"/>
      <c r="D55" s="298"/>
      <c r="E55" s="299"/>
      <c r="F55" s="298"/>
      <c r="G55" s="1469"/>
      <c r="H55" s="1469"/>
      <c r="I55" s="64"/>
      <c r="J55" s="1469"/>
      <c r="K55" s="1478">
        <f t="shared" si="11"/>
        <v>0</v>
      </c>
      <c r="L55" s="1474"/>
    </row>
    <row r="56" spans="1:14" ht="30" customHeight="1" x14ac:dyDescent="0.2">
      <c r="A56" s="1464">
        <v>39</v>
      </c>
      <c r="B56" s="1459" t="s">
        <v>1213</v>
      </c>
      <c r="C56" s="1488"/>
      <c r="D56" s="298"/>
      <c r="E56" s="299"/>
      <c r="F56" s="298"/>
      <c r="G56" s="1469"/>
      <c r="H56" s="1469"/>
      <c r="I56" s="64"/>
      <c r="J56" s="1469"/>
      <c r="K56" s="1478">
        <f t="shared" si="11"/>
        <v>0</v>
      </c>
      <c r="L56" s="1474"/>
    </row>
    <row r="57" spans="1:14" ht="30" customHeight="1" x14ac:dyDescent="0.2">
      <c r="A57" s="1464">
        <v>40</v>
      </c>
      <c r="B57" s="1459" t="s">
        <v>1265</v>
      </c>
      <c r="C57" s="1488" t="s">
        <v>1289</v>
      </c>
      <c r="D57" s="1532">
        <v>16000000</v>
      </c>
      <c r="E57" s="300">
        <v>0.05</v>
      </c>
      <c r="F57" s="1532">
        <f>D57*E57</f>
        <v>800000</v>
      </c>
      <c r="G57" s="1469">
        <v>800000</v>
      </c>
      <c r="H57" s="1469" t="s">
        <v>3712</v>
      </c>
      <c r="I57" s="64" t="s">
        <v>1268</v>
      </c>
      <c r="J57" s="1469">
        <f>G57</f>
        <v>800000</v>
      </c>
      <c r="K57" s="1469">
        <f t="shared" si="11"/>
        <v>0</v>
      </c>
      <c r="L57" s="1474"/>
    </row>
    <row r="58" spans="1:14" ht="30" customHeight="1" x14ac:dyDescent="0.2">
      <c r="A58" s="1464">
        <v>41</v>
      </c>
      <c r="B58" s="1459" t="s">
        <v>1285</v>
      </c>
      <c r="C58" s="1488"/>
      <c r="D58" s="298"/>
      <c r="E58" s="299"/>
      <c r="F58" s="298"/>
      <c r="G58" s="1469"/>
      <c r="H58" s="1469"/>
      <c r="I58" s="64"/>
      <c r="J58" s="1469"/>
      <c r="K58" s="1478">
        <f t="shared" si="11"/>
        <v>0</v>
      </c>
      <c r="L58" s="1474"/>
    </row>
    <row r="59" spans="1:14" ht="30" customHeight="1" x14ac:dyDescent="0.2">
      <c r="A59" s="1464">
        <v>42</v>
      </c>
      <c r="B59" s="1514" t="s">
        <v>183</v>
      </c>
      <c r="C59" s="1488"/>
      <c r="D59" s="1469">
        <v>60000000</v>
      </c>
      <c r="E59" s="1516">
        <v>0.05</v>
      </c>
      <c r="F59" s="1469">
        <f t="shared" ref="F59:F167" si="12">D59*E59</f>
        <v>3000000</v>
      </c>
      <c r="G59" s="4413">
        <v>3500000</v>
      </c>
      <c r="H59" s="4413" t="s">
        <v>3417</v>
      </c>
      <c r="I59" s="4558" t="s">
        <v>260</v>
      </c>
      <c r="J59" s="4413">
        <f>G59</f>
        <v>3500000</v>
      </c>
      <c r="K59" s="4413">
        <f>(F59+F60)-J59</f>
        <v>0</v>
      </c>
      <c r="L59" s="4599"/>
    </row>
    <row r="60" spans="1:14" ht="30" customHeight="1" x14ac:dyDescent="0.2">
      <c r="A60" s="1464">
        <v>43</v>
      </c>
      <c r="B60" s="1517" t="s">
        <v>1079</v>
      </c>
      <c r="C60" s="1488"/>
      <c r="D60" s="1469">
        <v>10000000</v>
      </c>
      <c r="E60" s="1516">
        <v>0.05</v>
      </c>
      <c r="F60" s="1469">
        <f>D60*E60</f>
        <v>500000</v>
      </c>
      <c r="G60" s="4415"/>
      <c r="H60" s="4415"/>
      <c r="I60" s="4560"/>
      <c r="J60" s="4415"/>
      <c r="K60" s="4415"/>
      <c r="L60" s="4607"/>
    </row>
    <row r="61" spans="1:14" ht="30" customHeight="1" x14ac:dyDescent="0.2">
      <c r="A61" s="1464">
        <v>44</v>
      </c>
      <c r="B61" s="1517" t="s">
        <v>184</v>
      </c>
      <c r="C61" s="1488" t="s">
        <v>889</v>
      </c>
      <c r="D61" s="1469">
        <v>150000000</v>
      </c>
      <c r="E61" s="1516">
        <v>0.05</v>
      </c>
      <c r="F61" s="1469">
        <f t="shared" si="12"/>
        <v>7500000</v>
      </c>
      <c r="G61" s="1469">
        <v>7500000</v>
      </c>
      <c r="H61" s="1469" t="s">
        <v>3362</v>
      </c>
      <c r="I61" s="1489" t="s">
        <v>1339</v>
      </c>
      <c r="J61" s="1469">
        <f>G61</f>
        <v>7500000</v>
      </c>
      <c r="K61" s="1469">
        <f>F61-J61</f>
        <v>0</v>
      </c>
      <c r="L61" s="1517"/>
    </row>
    <row r="62" spans="1:14" ht="30" customHeight="1" x14ac:dyDescent="0.2">
      <c r="A62" s="4459">
        <v>45</v>
      </c>
      <c r="B62" s="4457" t="s">
        <v>185</v>
      </c>
      <c r="C62" s="4537" t="s">
        <v>1295</v>
      </c>
      <c r="D62" s="4413">
        <v>1190000000</v>
      </c>
      <c r="E62" s="4476">
        <v>7.0000000000000007E-2</v>
      </c>
      <c r="F62" s="4413">
        <f t="shared" si="12"/>
        <v>83300000.000000015</v>
      </c>
      <c r="G62" s="1469">
        <v>50000000</v>
      </c>
      <c r="H62" s="1469" t="s">
        <v>3427</v>
      </c>
      <c r="I62" s="21" t="s">
        <v>2696</v>
      </c>
      <c r="J62" s="4413">
        <f>G62+G63</f>
        <v>83300000</v>
      </c>
      <c r="K62" s="4413">
        <f>F62-J62</f>
        <v>0</v>
      </c>
      <c r="L62" s="4599"/>
    </row>
    <row r="63" spans="1:14" ht="30" customHeight="1" x14ac:dyDescent="0.2">
      <c r="A63" s="4460"/>
      <c r="B63" s="4458"/>
      <c r="C63" s="4538"/>
      <c r="D63" s="4415"/>
      <c r="E63" s="4477"/>
      <c r="F63" s="4415"/>
      <c r="G63" s="1558">
        <v>33300000</v>
      </c>
      <c r="H63" s="1558" t="s">
        <v>3463</v>
      </c>
      <c r="I63" s="21" t="s">
        <v>2696</v>
      </c>
      <c r="J63" s="4415"/>
      <c r="K63" s="4415"/>
      <c r="L63" s="4607"/>
    </row>
    <row r="64" spans="1:14" ht="30" customHeight="1" x14ac:dyDescent="0.2">
      <c r="A64" s="4459">
        <v>46</v>
      </c>
      <c r="B64" s="4457" t="s">
        <v>186</v>
      </c>
      <c r="C64" s="4537" t="s">
        <v>1081</v>
      </c>
      <c r="D64" s="4413">
        <v>1200000000</v>
      </c>
      <c r="E64" s="4476">
        <v>0.08</v>
      </c>
      <c r="F64" s="4413">
        <f>D64*E64</f>
        <v>96000000</v>
      </c>
      <c r="G64" s="1469">
        <v>50000000</v>
      </c>
      <c r="H64" s="1469" t="s">
        <v>2472</v>
      </c>
      <c r="I64" s="21" t="s">
        <v>1076</v>
      </c>
      <c r="J64" s="4413">
        <f>G64+G65</f>
        <v>100000000</v>
      </c>
      <c r="K64" s="4413">
        <f>F64-J64</f>
        <v>-4000000</v>
      </c>
      <c r="L64" s="388"/>
    </row>
    <row r="65" spans="1:12" ht="30" customHeight="1" x14ac:dyDescent="0.2">
      <c r="A65" s="4464"/>
      <c r="B65" s="4488"/>
      <c r="C65" s="4540"/>
      <c r="D65" s="4414"/>
      <c r="E65" s="4516"/>
      <c r="F65" s="4414"/>
      <c r="G65" s="1469">
        <v>50000000</v>
      </c>
      <c r="H65" s="1469" t="s">
        <v>3507</v>
      </c>
      <c r="I65" s="21" t="s">
        <v>1076</v>
      </c>
      <c r="J65" s="4415"/>
      <c r="K65" s="4415"/>
      <c r="L65" s="1497"/>
    </row>
    <row r="66" spans="1:12" ht="30" customHeight="1" x14ac:dyDescent="0.2">
      <c r="A66" s="4464"/>
      <c r="B66" s="4488"/>
      <c r="C66" s="4540"/>
      <c r="D66" s="4414"/>
      <c r="E66" s="4516"/>
      <c r="F66" s="4414"/>
      <c r="G66" s="4303" t="s">
        <v>3961</v>
      </c>
      <c r="H66" s="4324"/>
      <c r="I66" s="4324"/>
      <c r="J66" s="4324"/>
      <c r="K66" s="4355"/>
      <c r="L66" s="1497"/>
    </row>
    <row r="67" spans="1:12" ht="30" customHeight="1" x14ac:dyDescent="0.2">
      <c r="A67" s="4464"/>
      <c r="B67" s="4488"/>
      <c r="C67" s="4538"/>
      <c r="D67" s="4415"/>
      <c r="E67" s="4477"/>
      <c r="F67" s="4415"/>
      <c r="G67" s="1938">
        <v>5000000</v>
      </c>
      <c r="H67" s="1938" t="s">
        <v>3943</v>
      </c>
      <c r="I67" s="56" t="s">
        <v>3960</v>
      </c>
      <c r="J67" s="1938">
        <f>G67</f>
        <v>5000000</v>
      </c>
      <c r="K67" s="1938"/>
      <c r="L67" s="1947" t="s">
        <v>2079</v>
      </c>
    </row>
    <row r="68" spans="1:12" ht="30" customHeight="1" x14ac:dyDescent="0.2">
      <c r="A68" s="4460"/>
      <c r="B68" s="4458"/>
      <c r="C68" s="1906"/>
      <c r="D68" s="1900">
        <v>1000000000</v>
      </c>
      <c r="E68" s="1898"/>
      <c r="F68" s="1900"/>
      <c r="G68" s="4469" t="s">
        <v>5114</v>
      </c>
      <c r="H68" s="4470"/>
      <c r="I68" s="4470"/>
      <c r="J68" s="4471"/>
      <c r="K68" s="1900"/>
      <c r="L68" s="1911"/>
    </row>
    <row r="69" spans="1:12" ht="30" customHeight="1" x14ac:dyDescent="0.2">
      <c r="A69" s="1462">
        <v>47</v>
      </c>
      <c r="B69" s="1514" t="s">
        <v>187</v>
      </c>
      <c r="C69" s="1518" t="s">
        <v>1080</v>
      </c>
      <c r="D69" s="1469">
        <v>20000000</v>
      </c>
      <c r="E69" s="1466">
        <v>0.05</v>
      </c>
      <c r="F69" s="1469">
        <f t="shared" si="12"/>
        <v>1000000</v>
      </c>
      <c r="G69" s="1469">
        <v>1000000</v>
      </c>
      <c r="H69" s="1469" t="s">
        <v>3362</v>
      </c>
      <c r="I69" s="1490" t="s">
        <v>1048</v>
      </c>
      <c r="J69" s="1469">
        <f>G69</f>
        <v>1000000</v>
      </c>
      <c r="K69" s="1469">
        <f>F69-J69</f>
        <v>0</v>
      </c>
      <c r="L69" s="764" t="s">
        <v>2991</v>
      </c>
    </row>
    <row r="70" spans="1:12" ht="30" customHeight="1" x14ac:dyDescent="0.2">
      <c r="A70" s="1519">
        <v>48</v>
      </c>
      <c r="B70" s="1517" t="s">
        <v>1615</v>
      </c>
      <c r="C70" s="1518" t="s">
        <v>1081</v>
      </c>
      <c r="D70" s="1489">
        <v>100000000</v>
      </c>
      <c r="E70" s="1516">
        <v>0.05</v>
      </c>
      <c r="F70" s="1489">
        <f t="shared" si="12"/>
        <v>5000000</v>
      </c>
      <c r="G70" s="1469">
        <v>5000000</v>
      </c>
      <c r="H70" s="1469" t="s">
        <v>3893</v>
      </c>
      <c r="I70" s="21" t="s">
        <v>3909</v>
      </c>
      <c r="J70" s="1469">
        <f>G70</f>
        <v>5000000</v>
      </c>
      <c r="K70" s="1469">
        <f>F70-J70</f>
        <v>0</v>
      </c>
      <c r="L70" s="97"/>
    </row>
    <row r="71" spans="1:12" ht="30" customHeight="1" x14ac:dyDescent="0.2">
      <c r="A71" s="1464">
        <v>49</v>
      </c>
      <c r="B71" s="1461" t="s">
        <v>189</v>
      </c>
      <c r="C71" s="1488" t="s">
        <v>1295</v>
      </c>
      <c r="D71" s="1469">
        <v>230000000</v>
      </c>
      <c r="E71" s="1466">
        <v>0.05</v>
      </c>
      <c r="F71" s="1469">
        <f t="shared" si="12"/>
        <v>11500000</v>
      </c>
      <c r="G71" s="1469">
        <v>11500000</v>
      </c>
      <c r="H71" s="1469" t="s">
        <v>3417</v>
      </c>
      <c r="I71" s="21" t="s">
        <v>1052</v>
      </c>
      <c r="J71" s="1469">
        <f>G71</f>
        <v>11500000</v>
      </c>
      <c r="K71" s="1469">
        <f>F71-J71</f>
        <v>0</v>
      </c>
      <c r="L71" s="1517"/>
    </row>
    <row r="72" spans="1:12" ht="30" customHeight="1" x14ac:dyDescent="0.2">
      <c r="A72" s="4459">
        <v>50</v>
      </c>
      <c r="B72" s="4457" t="s">
        <v>190</v>
      </c>
      <c r="C72" s="4537" t="s">
        <v>889</v>
      </c>
      <c r="D72" s="4413">
        <v>350000000</v>
      </c>
      <c r="E72" s="4476">
        <v>0.05</v>
      </c>
      <c r="F72" s="4413">
        <f t="shared" si="12"/>
        <v>17500000</v>
      </c>
      <c r="G72" s="4852" t="s">
        <v>3371</v>
      </c>
      <c r="H72" s="4853"/>
      <c r="I72" s="4853"/>
      <c r="J72" s="4853"/>
      <c r="K72" s="1609"/>
      <c r="L72" s="97"/>
    </row>
    <row r="73" spans="1:12" ht="30" customHeight="1" x14ac:dyDescent="0.2">
      <c r="A73" s="4464"/>
      <c r="B73" s="4488"/>
      <c r="C73" s="4540"/>
      <c r="D73" s="4414"/>
      <c r="E73" s="4516"/>
      <c r="F73" s="4414"/>
      <c r="G73" s="1674">
        <v>20000000</v>
      </c>
      <c r="H73" s="1674" t="s">
        <v>3583</v>
      </c>
      <c r="I73" s="21" t="s">
        <v>3067</v>
      </c>
      <c r="J73" s="4413">
        <f>G73+G74</f>
        <v>25000000</v>
      </c>
      <c r="K73" s="1674"/>
      <c r="L73" s="1676"/>
    </row>
    <row r="74" spans="1:12" ht="30" customHeight="1" x14ac:dyDescent="0.2">
      <c r="A74" s="4460"/>
      <c r="B74" s="4458"/>
      <c r="C74" s="4538"/>
      <c r="D74" s="4415"/>
      <c r="E74" s="4477"/>
      <c r="F74" s="4415"/>
      <c r="G74" s="1674">
        <v>5000000</v>
      </c>
      <c r="H74" s="1674" t="s">
        <v>3595</v>
      </c>
      <c r="I74" s="21" t="s">
        <v>3596</v>
      </c>
      <c r="J74" s="4415"/>
      <c r="K74" s="1674"/>
      <c r="L74" s="1676"/>
    </row>
    <row r="75" spans="1:12" ht="30" customHeight="1" x14ac:dyDescent="0.2">
      <c r="A75" s="383">
        <v>51</v>
      </c>
      <c r="B75" s="1514" t="s">
        <v>191</v>
      </c>
      <c r="C75" s="1487" t="s">
        <v>889</v>
      </c>
      <c r="D75" s="1489">
        <v>260000000</v>
      </c>
      <c r="E75" s="1516">
        <f>F75/D75</f>
        <v>5.5769230769230772E-2</v>
      </c>
      <c r="F75" s="1489">
        <v>14500000</v>
      </c>
      <c r="G75" s="1590">
        <v>14500000</v>
      </c>
      <c r="H75" s="1590" t="s">
        <v>3427</v>
      </c>
      <c r="I75" s="1590" t="s">
        <v>3500</v>
      </c>
      <c r="J75" s="1590">
        <f>G75</f>
        <v>14500000</v>
      </c>
      <c r="K75" s="1590">
        <f>F75-J75</f>
        <v>0</v>
      </c>
      <c r="L75" s="1459"/>
    </row>
    <row r="76" spans="1:12" ht="30" customHeight="1" x14ac:dyDescent="0.2">
      <c r="A76" s="4459">
        <v>52</v>
      </c>
      <c r="B76" s="4457" t="s">
        <v>192</v>
      </c>
      <c r="C76" s="4537" t="s">
        <v>1297</v>
      </c>
      <c r="D76" s="1469">
        <v>80000000</v>
      </c>
      <c r="E76" s="1516">
        <v>7.0000000000000007E-2</v>
      </c>
      <c r="F76" s="1469">
        <f>D76*E76</f>
        <v>5600000.0000000009</v>
      </c>
      <c r="G76" s="4413">
        <v>5950000</v>
      </c>
      <c r="H76" s="4413" t="s">
        <v>3531</v>
      </c>
      <c r="I76" s="4478" t="s">
        <v>2540</v>
      </c>
      <c r="J76" s="4413">
        <f>G76</f>
        <v>5950000</v>
      </c>
      <c r="K76" s="4413">
        <f>F76-J76</f>
        <v>-349999.99999999907</v>
      </c>
      <c r="L76" s="764" t="s">
        <v>2711</v>
      </c>
    </row>
    <row r="77" spans="1:12" ht="30" customHeight="1" x14ac:dyDescent="0.2">
      <c r="A77" s="4464"/>
      <c r="B77" s="4488"/>
      <c r="C77" s="4540"/>
      <c r="D77" s="1469">
        <v>10000000</v>
      </c>
      <c r="E77" s="1516">
        <v>7.0000000000000007E-2</v>
      </c>
      <c r="F77" s="1469">
        <f>D77*E77</f>
        <v>700000.00000000012</v>
      </c>
      <c r="G77" s="4415"/>
      <c r="H77" s="4415"/>
      <c r="I77" s="4479"/>
      <c r="J77" s="4415"/>
      <c r="K77" s="4415"/>
      <c r="L77" s="764" t="s">
        <v>3372</v>
      </c>
    </row>
    <row r="78" spans="1:12" ht="30" customHeight="1" x14ac:dyDescent="0.2">
      <c r="A78" s="4464"/>
      <c r="B78" s="4488"/>
      <c r="C78" s="4540"/>
      <c r="D78" s="1888">
        <v>10000000</v>
      </c>
      <c r="E78" s="1884"/>
      <c r="F78" s="1888"/>
      <c r="G78" s="4838" t="s">
        <v>3876</v>
      </c>
      <c r="H78" s="4838"/>
      <c r="I78" s="4838"/>
      <c r="J78" s="4838"/>
      <c r="K78" s="4838"/>
      <c r="L78" s="764"/>
    </row>
    <row r="79" spans="1:12" ht="30" customHeight="1" x14ac:dyDescent="0.2">
      <c r="A79" s="4460"/>
      <c r="B79" s="4458"/>
      <c r="C79" s="4538"/>
      <c r="D79" s="1885">
        <v>10000000</v>
      </c>
      <c r="E79" s="1884"/>
      <c r="F79" s="1885"/>
      <c r="G79" s="4838" t="s">
        <v>3873</v>
      </c>
      <c r="H79" s="4838"/>
      <c r="I79" s="4838"/>
      <c r="J79" s="4838"/>
      <c r="K79" s="4838"/>
      <c r="L79" s="764"/>
    </row>
    <row r="80" spans="1:12" ht="30" customHeight="1" x14ac:dyDescent="0.2">
      <c r="A80" s="4459">
        <v>53</v>
      </c>
      <c r="B80" s="4599" t="s">
        <v>193</v>
      </c>
      <c r="C80" s="4537" t="s">
        <v>1294</v>
      </c>
      <c r="D80" s="4413">
        <v>350000000</v>
      </c>
      <c r="E80" s="4476">
        <v>7.0000000000000007E-2</v>
      </c>
      <c r="F80" s="4413">
        <f t="shared" si="12"/>
        <v>24500000.000000004</v>
      </c>
      <c r="G80" s="1489">
        <v>22500000</v>
      </c>
      <c r="H80" s="1467" t="s">
        <v>3692</v>
      </c>
      <c r="I80" s="1486" t="s">
        <v>1810</v>
      </c>
      <c r="J80" s="4413">
        <f>G80+G81</f>
        <v>26500000</v>
      </c>
      <c r="K80" s="4413">
        <f>F80-J80</f>
        <v>-1999999.9999999963</v>
      </c>
      <c r="L80" s="4571" t="s">
        <v>3725</v>
      </c>
    </row>
    <row r="81" spans="1:12" ht="30" customHeight="1" x14ac:dyDescent="0.2">
      <c r="A81" s="4464"/>
      <c r="B81" s="4600"/>
      <c r="C81" s="4540"/>
      <c r="D81" s="4415"/>
      <c r="E81" s="4477"/>
      <c r="F81" s="4415"/>
      <c r="G81" s="1489">
        <v>4000000</v>
      </c>
      <c r="H81" s="1467" t="s">
        <v>3731</v>
      </c>
      <c r="I81" s="1486" t="s">
        <v>1810</v>
      </c>
      <c r="J81" s="4415"/>
      <c r="K81" s="4415"/>
      <c r="L81" s="4839"/>
    </row>
    <row r="82" spans="1:12" ht="30" customHeight="1" x14ac:dyDescent="0.2">
      <c r="A82" s="4460"/>
      <c r="B82" s="4607"/>
      <c r="C82" s="4538"/>
      <c r="D82" s="1773">
        <v>500000000</v>
      </c>
      <c r="E82" s="1771">
        <v>7.0000000000000007E-2</v>
      </c>
      <c r="F82" s="1773">
        <f>D82*E82</f>
        <v>35000000</v>
      </c>
      <c r="G82" s="4469" t="s">
        <v>3730</v>
      </c>
      <c r="H82" s="4470"/>
      <c r="I82" s="4470"/>
      <c r="J82" s="4471"/>
      <c r="K82" s="1772"/>
      <c r="L82" s="4572"/>
    </row>
    <row r="83" spans="1:12" ht="30" customHeight="1" x14ac:dyDescent="0.2">
      <c r="A83" s="4459">
        <v>54</v>
      </c>
      <c r="B83" s="4457" t="s">
        <v>1060</v>
      </c>
      <c r="C83" s="4537"/>
      <c r="D83" s="1469">
        <v>35000000</v>
      </c>
      <c r="E83" s="1466">
        <v>7.1999999999999995E-2</v>
      </c>
      <c r="F83" s="1469">
        <v>2500000</v>
      </c>
      <c r="G83" s="4742">
        <v>3500000</v>
      </c>
      <c r="H83" s="4742" t="s">
        <v>3362</v>
      </c>
      <c r="I83" s="4756" t="s">
        <v>3412</v>
      </c>
      <c r="J83" s="4742">
        <f>G83</f>
        <v>3500000</v>
      </c>
      <c r="K83" s="4742">
        <f>(F83+F84)-J83</f>
        <v>0</v>
      </c>
      <c r="L83" s="4599"/>
    </row>
    <row r="84" spans="1:12" ht="30" customHeight="1" x14ac:dyDescent="0.2">
      <c r="A84" s="4464"/>
      <c r="B84" s="4458"/>
      <c r="C84" s="4538"/>
      <c r="D84" s="1469">
        <v>13000000</v>
      </c>
      <c r="E84" s="1516">
        <v>7.6999999999999999E-2</v>
      </c>
      <c r="F84" s="1469">
        <v>1000000</v>
      </c>
      <c r="G84" s="4743"/>
      <c r="H84" s="4743"/>
      <c r="I84" s="4757"/>
      <c r="J84" s="4743"/>
      <c r="K84" s="4743"/>
      <c r="L84" s="4607"/>
    </row>
    <row r="85" spans="1:12" ht="30" customHeight="1" x14ac:dyDescent="0.2">
      <c r="A85" s="4459">
        <v>55</v>
      </c>
      <c r="B85" s="4457" t="s">
        <v>1247</v>
      </c>
      <c r="C85" s="4537" t="s">
        <v>1295</v>
      </c>
      <c r="D85" s="1489">
        <v>175000000</v>
      </c>
      <c r="E85" s="1516">
        <v>0.52</v>
      </c>
      <c r="F85" s="1489">
        <v>9000000</v>
      </c>
      <c r="G85" s="4322">
        <v>18250000</v>
      </c>
      <c r="H85" s="4322" t="s">
        <v>3427</v>
      </c>
      <c r="I85" s="4478" t="s">
        <v>1063</v>
      </c>
      <c r="J85" s="4322">
        <f>G85</f>
        <v>18250000</v>
      </c>
      <c r="K85" s="4322">
        <f>(F85+F86+F87)-J85</f>
        <v>0</v>
      </c>
      <c r="L85" s="180" t="s">
        <v>1931</v>
      </c>
    </row>
    <row r="86" spans="1:12" ht="30" customHeight="1" x14ac:dyDescent="0.2">
      <c r="A86" s="4464"/>
      <c r="B86" s="4488"/>
      <c r="C86" s="4540"/>
      <c r="D86" s="1467">
        <f>85000000+20000000</f>
        <v>105000000</v>
      </c>
      <c r="E86" s="1465">
        <v>7.0000000000000007E-2</v>
      </c>
      <c r="F86" s="1467">
        <v>7500000</v>
      </c>
      <c r="G86" s="4322"/>
      <c r="H86" s="4322"/>
      <c r="I86" s="4520"/>
      <c r="J86" s="4322"/>
      <c r="K86" s="4322"/>
      <c r="L86" s="180" t="s">
        <v>1932</v>
      </c>
    </row>
    <row r="87" spans="1:12" ht="30" customHeight="1" x14ac:dyDescent="0.2">
      <c r="A87" s="4460"/>
      <c r="B87" s="4458"/>
      <c r="C87" s="4538"/>
      <c r="D87" s="1489">
        <v>35000000</v>
      </c>
      <c r="E87" s="1516">
        <v>0.05</v>
      </c>
      <c r="F87" s="1489">
        <f>D87*E87</f>
        <v>1750000</v>
      </c>
      <c r="G87" s="4322"/>
      <c r="H87" s="4322"/>
      <c r="I87" s="4479"/>
      <c r="J87" s="4322"/>
      <c r="K87" s="4322"/>
      <c r="L87" s="1474" t="s">
        <v>2519</v>
      </c>
    </row>
    <row r="88" spans="1:12" ht="30" customHeight="1" x14ac:dyDescent="0.2">
      <c r="A88" s="4459">
        <v>56</v>
      </c>
      <c r="B88" s="4457" t="s">
        <v>35</v>
      </c>
      <c r="C88" s="4537" t="s">
        <v>1295</v>
      </c>
      <c r="D88" s="4413">
        <v>3284000000</v>
      </c>
      <c r="E88" s="4476">
        <v>7.0000000000000007E-2</v>
      </c>
      <c r="F88" s="4413">
        <v>229880000</v>
      </c>
      <c r="G88" s="1489">
        <v>50000000</v>
      </c>
      <c r="H88" s="1489" t="s">
        <v>3499</v>
      </c>
      <c r="I88" s="1597" t="s">
        <v>678</v>
      </c>
      <c r="J88" s="4413">
        <f>G88+G89+G90</f>
        <v>105000000</v>
      </c>
      <c r="K88" s="4413">
        <f>F88-J88</f>
        <v>124880000</v>
      </c>
      <c r="L88" s="4492" t="s">
        <v>3373</v>
      </c>
    </row>
    <row r="89" spans="1:12" ht="30" customHeight="1" x14ac:dyDescent="0.2">
      <c r="A89" s="4464"/>
      <c r="B89" s="4488"/>
      <c r="C89" s="4540"/>
      <c r="D89" s="4414"/>
      <c r="E89" s="4516"/>
      <c r="F89" s="4414"/>
      <c r="G89" s="1469">
        <v>50000000</v>
      </c>
      <c r="H89" s="1489" t="s">
        <v>3440</v>
      </c>
      <c r="I89" s="1513" t="s">
        <v>678</v>
      </c>
      <c r="J89" s="4414"/>
      <c r="K89" s="4414"/>
      <c r="L89" s="4684"/>
    </row>
    <row r="90" spans="1:12" ht="30" customHeight="1" x14ac:dyDescent="0.2">
      <c r="A90" s="4464"/>
      <c r="B90" s="4488"/>
      <c r="C90" s="4540"/>
      <c r="D90" s="4414"/>
      <c r="E90" s="4516"/>
      <c r="F90" s="4414"/>
      <c r="G90" s="1469">
        <v>5000000</v>
      </c>
      <c r="H90" s="1469"/>
      <c r="I90" s="21"/>
      <c r="J90" s="4414"/>
      <c r="K90" s="4414"/>
      <c r="L90" s="4684"/>
    </row>
    <row r="91" spans="1:12" ht="30" customHeight="1" x14ac:dyDescent="0.2">
      <c r="A91" s="4464"/>
      <c r="B91" s="4488"/>
      <c r="C91" s="4540"/>
      <c r="D91" s="4414"/>
      <c r="E91" s="4516"/>
      <c r="F91" s="4414"/>
      <c r="G91" s="4325" t="s">
        <v>3845</v>
      </c>
      <c r="H91" s="4326"/>
      <c r="I91" s="4563"/>
      <c r="J91" s="4414"/>
      <c r="K91" s="4414"/>
      <c r="L91" s="180" t="s">
        <v>3844</v>
      </c>
    </row>
    <row r="92" spans="1:12" ht="30" customHeight="1" x14ac:dyDescent="0.2">
      <c r="A92" s="4464"/>
      <c r="B92" s="4488"/>
      <c r="C92" s="4540"/>
      <c r="D92" s="4414"/>
      <c r="E92" s="4516"/>
      <c r="F92" s="4414"/>
      <c r="G92" s="4612"/>
      <c r="H92" s="4359"/>
      <c r="I92" s="4613"/>
      <c r="J92" s="4414"/>
      <c r="K92" s="4414"/>
      <c r="L92" s="1612" t="s">
        <v>5219</v>
      </c>
    </row>
    <row r="93" spans="1:12" ht="30" customHeight="1" x14ac:dyDescent="0.2">
      <c r="A93" s="4464"/>
      <c r="B93" s="4488"/>
      <c r="C93" s="4540"/>
      <c r="D93" s="4414"/>
      <c r="E93" s="4516"/>
      <c r="F93" s="4414"/>
      <c r="G93" s="4612"/>
      <c r="H93" s="4359"/>
      <c r="I93" s="4613"/>
      <c r="J93" s="4414"/>
      <c r="K93" s="4414"/>
      <c r="L93" s="1612" t="s">
        <v>3840</v>
      </c>
    </row>
    <row r="94" spans="1:12" ht="30" customHeight="1" x14ac:dyDescent="0.2">
      <c r="A94" s="4464"/>
      <c r="B94" s="4488"/>
      <c r="C94" s="4540"/>
      <c r="D94" s="4414"/>
      <c r="E94" s="4516"/>
      <c r="F94" s="4414"/>
      <c r="G94" s="4564"/>
      <c r="H94" s="4596"/>
      <c r="I94" s="4565"/>
      <c r="J94" s="4415"/>
      <c r="K94" s="4415"/>
      <c r="L94" s="1613" t="s">
        <v>3841</v>
      </c>
    </row>
    <row r="95" spans="1:12" ht="30" customHeight="1" x14ac:dyDescent="0.2">
      <c r="A95" s="4464"/>
      <c r="B95" s="4488"/>
      <c r="C95" s="4540"/>
      <c r="D95" s="1899"/>
      <c r="E95" s="1897"/>
      <c r="F95" s="1899"/>
      <c r="G95" s="4303" t="s">
        <v>3908</v>
      </c>
      <c r="H95" s="4324"/>
      <c r="I95" s="4355"/>
      <c r="J95" s="1899"/>
      <c r="K95" s="1899"/>
      <c r="L95" s="1612"/>
    </row>
    <row r="96" spans="1:12" ht="30" customHeight="1" x14ac:dyDescent="0.2">
      <c r="A96" s="4464"/>
      <c r="B96" s="4488"/>
      <c r="C96" s="4538"/>
      <c r="D96" s="1899"/>
      <c r="E96" s="1897"/>
      <c r="F96" s="1899"/>
      <c r="G96" s="1910">
        <v>5000000</v>
      </c>
      <c r="H96" s="1910" t="s">
        <v>3893</v>
      </c>
      <c r="I96" s="1910" t="s">
        <v>678</v>
      </c>
      <c r="J96" s="1899"/>
      <c r="K96" s="1899"/>
      <c r="L96" s="1612" t="s">
        <v>3337</v>
      </c>
    </row>
    <row r="97" spans="1:12" ht="30" customHeight="1" x14ac:dyDescent="0.2">
      <c r="A97" s="4460"/>
      <c r="B97" s="4458"/>
      <c r="C97" s="1847" t="s">
        <v>1306</v>
      </c>
      <c r="D97" s="1904">
        <f>983000000+K88+F98-70000</f>
        <v>1130000000</v>
      </c>
      <c r="E97" s="1846">
        <v>0.08</v>
      </c>
      <c r="F97" s="1844">
        <f>D97*E97</f>
        <v>90400000</v>
      </c>
      <c r="G97" s="1837"/>
      <c r="H97" s="1837"/>
      <c r="I97" s="21"/>
      <c r="J97" s="1836"/>
      <c r="K97" s="1836"/>
      <c r="L97" s="1612" t="s">
        <v>3843</v>
      </c>
    </row>
    <row r="98" spans="1:12" ht="30" customHeight="1" x14ac:dyDescent="0.2">
      <c r="A98" s="4459">
        <v>57</v>
      </c>
      <c r="B98" s="4457" t="s">
        <v>1077</v>
      </c>
      <c r="C98" s="4537" t="s">
        <v>1298</v>
      </c>
      <c r="D98" s="4413">
        <v>317000000</v>
      </c>
      <c r="E98" s="4476">
        <v>7.0000000000000007E-2</v>
      </c>
      <c r="F98" s="4413">
        <f>D98*E98</f>
        <v>22190000.000000004</v>
      </c>
      <c r="G98" s="4325" t="s">
        <v>3842</v>
      </c>
      <c r="H98" s="4326"/>
      <c r="I98" s="4563"/>
      <c r="J98" s="4413"/>
      <c r="K98" s="4413"/>
      <c r="L98" s="4682" t="s">
        <v>3373</v>
      </c>
    </row>
    <row r="99" spans="1:12" ht="30" customHeight="1" x14ac:dyDescent="0.2">
      <c r="A99" s="4460"/>
      <c r="B99" s="4458"/>
      <c r="C99" s="4538"/>
      <c r="D99" s="4415"/>
      <c r="E99" s="4477"/>
      <c r="F99" s="4415"/>
      <c r="G99" s="4564"/>
      <c r="H99" s="4596"/>
      <c r="I99" s="4565"/>
      <c r="J99" s="4415"/>
      <c r="K99" s="4415"/>
      <c r="L99" s="4683"/>
    </row>
    <row r="100" spans="1:12" ht="30" customHeight="1" x14ac:dyDescent="0.2">
      <c r="A100" s="1462">
        <v>58</v>
      </c>
      <c r="B100" s="1517" t="s">
        <v>1064</v>
      </c>
      <c r="C100" s="1488" t="s">
        <v>889</v>
      </c>
      <c r="D100" s="1469">
        <v>11000000</v>
      </c>
      <c r="E100" s="1516">
        <v>5.5E-2</v>
      </c>
      <c r="F100" s="1469">
        <v>600000</v>
      </c>
      <c r="G100" s="1469">
        <v>600000</v>
      </c>
      <c r="H100" s="1469" t="s">
        <v>3362</v>
      </c>
      <c r="I100" s="1529" t="s">
        <v>1066</v>
      </c>
      <c r="J100" s="1469">
        <f>G100</f>
        <v>600000</v>
      </c>
      <c r="K100" s="1469">
        <f>F100-J100</f>
        <v>0</v>
      </c>
      <c r="L100" s="1517"/>
    </row>
    <row r="101" spans="1:12" ht="30" customHeight="1" x14ac:dyDescent="0.2">
      <c r="A101" s="4459"/>
      <c r="B101" s="4457" t="s">
        <v>194</v>
      </c>
      <c r="C101" s="4537" t="s">
        <v>1295</v>
      </c>
      <c r="D101" s="1469">
        <v>90000000</v>
      </c>
      <c r="E101" s="1516">
        <v>0.05</v>
      </c>
      <c r="F101" s="1469">
        <f t="shared" si="12"/>
        <v>4500000</v>
      </c>
      <c r="G101" s="4840" t="s">
        <v>3355</v>
      </c>
      <c r="H101" s="4841"/>
      <c r="I101" s="4841"/>
      <c r="J101" s="4842"/>
      <c r="K101" s="4413">
        <f>(F101+F102)-J101</f>
        <v>5200000</v>
      </c>
      <c r="L101" s="4492" t="s">
        <v>3373</v>
      </c>
    </row>
    <row r="102" spans="1:12" ht="30" customHeight="1" x14ac:dyDescent="0.2">
      <c r="A102" s="4464"/>
      <c r="B102" s="4488"/>
      <c r="C102" s="4540"/>
      <c r="D102" s="1469">
        <v>10000000</v>
      </c>
      <c r="E102" s="1516">
        <v>7.0000000000000007E-2</v>
      </c>
      <c r="F102" s="1469">
        <f t="shared" si="12"/>
        <v>700000.00000000012</v>
      </c>
      <c r="G102" s="4843"/>
      <c r="H102" s="4844"/>
      <c r="I102" s="4844"/>
      <c r="J102" s="4845"/>
      <c r="K102" s="4415"/>
      <c r="L102" s="4684"/>
    </row>
    <row r="103" spans="1:12" ht="30" customHeight="1" x14ac:dyDescent="0.2">
      <c r="A103" s="4460"/>
      <c r="B103" s="4458"/>
      <c r="C103" s="4538"/>
      <c r="D103" s="1469">
        <v>15000000</v>
      </c>
      <c r="E103" s="1516">
        <v>7.0000000000000007E-2</v>
      </c>
      <c r="F103" s="2038">
        <f t="shared" si="12"/>
        <v>1050000</v>
      </c>
      <c r="G103" s="4846"/>
      <c r="H103" s="4847"/>
      <c r="I103" s="4847"/>
      <c r="J103" s="4848"/>
      <c r="K103" s="1469"/>
      <c r="L103" s="4493"/>
    </row>
    <row r="104" spans="1:12" ht="30" customHeight="1" x14ac:dyDescent="0.2">
      <c r="A104" s="1519">
        <v>60</v>
      </c>
      <c r="B104" s="1517" t="s">
        <v>1498</v>
      </c>
      <c r="C104" s="1488"/>
      <c r="D104" s="1478"/>
      <c r="E104" s="40"/>
      <c r="F104" s="1478">
        <f t="shared" si="12"/>
        <v>0</v>
      </c>
      <c r="G104" s="1469">
        <v>10000000</v>
      </c>
      <c r="H104" s="1469" t="s">
        <v>3362</v>
      </c>
      <c r="I104" s="21" t="s">
        <v>1810</v>
      </c>
      <c r="J104" s="1469">
        <f>G104</f>
        <v>10000000</v>
      </c>
      <c r="K104" s="1478">
        <f>F104-J104</f>
        <v>-10000000</v>
      </c>
      <c r="L104" s="1517" t="s">
        <v>2516</v>
      </c>
    </row>
    <row r="105" spans="1:12" ht="30" customHeight="1" x14ac:dyDescent="0.2">
      <c r="A105" s="1464">
        <v>61</v>
      </c>
      <c r="B105" s="1517" t="s">
        <v>196</v>
      </c>
      <c r="C105" s="1488"/>
      <c r="D105" s="1469">
        <v>100000000</v>
      </c>
      <c r="E105" s="1516">
        <v>7.0000000000000007E-2</v>
      </c>
      <c r="F105" s="1469">
        <f t="shared" si="12"/>
        <v>7000000.0000000009</v>
      </c>
      <c r="G105" s="1469">
        <v>7000000</v>
      </c>
      <c r="H105" s="1469" t="s">
        <v>3463</v>
      </c>
      <c r="I105" s="21" t="s">
        <v>3466</v>
      </c>
      <c r="J105" s="1469">
        <f>G105</f>
        <v>7000000</v>
      </c>
      <c r="K105" s="1469">
        <f>F105-J105</f>
        <v>0</v>
      </c>
      <c r="L105" s="1517"/>
    </row>
    <row r="106" spans="1:12" ht="30" customHeight="1" x14ac:dyDescent="0.2">
      <c r="A106" s="383">
        <v>62</v>
      </c>
      <c r="B106" s="1514" t="s">
        <v>197</v>
      </c>
      <c r="C106" s="1487"/>
      <c r="D106" s="1489">
        <v>125000000</v>
      </c>
      <c r="E106" s="1516">
        <v>5.1999999999999998E-2</v>
      </c>
      <c r="F106" s="1489">
        <f t="shared" si="12"/>
        <v>6500000</v>
      </c>
      <c r="G106" s="1489">
        <v>3300000</v>
      </c>
      <c r="H106" s="1489" t="s">
        <v>3886</v>
      </c>
      <c r="I106" s="1910" t="s">
        <v>1251</v>
      </c>
      <c r="J106" s="1489">
        <f>G106</f>
        <v>3300000</v>
      </c>
      <c r="K106" s="1489">
        <f>F106-J106</f>
        <v>3200000</v>
      </c>
      <c r="L106" s="97"/>
    </row>
    <row r="107" spans="1:12" ht="30" customHeight="1" x14ac:dyDescent="0.2">
      <c r="A107" s="4459">
        <v>63</v>
      </c>
      <c r="B107" s="4457" t="s">
        <v>198</v>
      </c>
      <c r="C107" s="4537" t="s">
        <v>889</v>
      </c>
      <c r="D107" s="1489">
        <v>1600000000</v>
      </c>
      <c r="E107" s="1516">
        <v>6.5000000000000002E-2</v>
      </c>
      <c r="F107" s="1489">
        <f>D107*E107</f>
        <v>104000000</v>
      </c>
      <c r="G107" s="1489">
        <v>4000000</v>
      </c>
      <c r="H107" s="1489" t="s">
        <v>3362</v>
      </c>
      <c r="I107" s="1489" t="s">
        <v>2582</v>
      </c>
      <c r="J107" s="1489">
        <f>G107</f>
        <v>4000000</v>
      </c>
      <c r="K107" s="1489"/>
      <c r="L107" s="4492" t="s">
        <v>3374</v>
      </c>
    </row>
    <row r="108" spans="1:12" ht="30" customHeight="1" x14ac:dyDescent="0.2">
      <c r="A108" s="4464"/>
      <c r="B108" s="4488"/>
      <c r="C108" s="4540"/>
      <c r="D108" s="1489"/>
      <c r="E108" s="1516"/>
      <c r="F108" s="1489"/>
      <c r="G108" s="4849" t="s">
        <v>3375</v>
      </c>
      <c r="H108" s="4850"/>
      <c r="I108" s="4850"/>
      <c r="J108" s="4851"/>
      <c r="K108" s="1469"/>
      <c r="L108" s="4493"/>
    </row>
    <row r="109" spans="1:12" ht="30" customHeight="1" x14ac:dyDescent="0.2">
      <c r="A109" s="4460"/>
      <c r="B109" s="4458"/>
      <c r="C109" s="4538"/>
      <c r="D109" s="1873">
        <v>1700000000</v>
      </c>
      <c r="E109" s="1872">
        <v>6.5000000000000002E-2</v>
      </c>
      <c r="F109" s="1873">
        <f>D109*E109</f>
        <v>110500000</v>
      </c>
      <c r="G109" s="1890"/>
      <c r="H109" s="1891"/>
      <c r="I109" s="1891"/>
      <c r="J109" s="1892"/>
      <c r="K109" s="1873"/>
      <c r="L109" s="1874"/>
    </row>
    <row r="110" spans="1:12" ht="30" customHeight="1" x14ac:dyDescent="0.2">
      <c r="A110" s="1519">
        <v>64</v>
      </c>
      <c r="B110" s="1461" t="s">
        <v>1336</v>
      </c>
      <c r="C110" s="1488" t="s">
        <v>889</v>
      </c>
      <c r="D110" s="1469">
        <v>200000000</v>
      </c>
      <c r="E110" s="1466">
        <v>5.0999999999999997E-2</v>
      </c>
      <c r="F110" s="1469">
        <f t="shared" si="12"/>
        <v>10200000</v>
      </c>
      <c r="G110" s="1469">
        <v>10200000</v>
      </c>
      <c r="H110" s="1469" t="s">
        <v>3362</v>
      </c>
      <c r="I110" s="21" t="s">
        <v>1335</v>
      </c>
      <c r="J110" s="1469">
        <f>G110</f>
        <v>10200000</v>
      </c>
      <c r="K110" s="1469">
        <f>F110-J110</f>
        <v>0</v>
      </c>
      <c r="L110" s="97" t="s">
        <v>1337</v>
      </c>
    </row>
    <row r="111" spans="1:12" ht="30" customHeight="1" x14ac:dyDescent="0.2">
      <c r="A111" s="383">
        <v>66</v>
      </c>
      <c r="B111" s="1514" t="s">
        <v>201</v>
      </c>
      <c r="C111" s="1518" t="s">
        <v>889</v>
      </c>
      <c r="D111" s="2626">
        <v>252000000</v>
      </c>
      <c r="E111" s="2644">
        <v>5.1999999999999998E-2</v>
      </c>
      <c r="F111" s="2626">
        <v>13140000</v>
      </c>
      <c r="G111" s="2626">
        <v>13140000</v>
      </c>
      <c r="H111" s="2626" t="s">
        <v>3499</v>
      </c>
      <c r="I111" s="2643" t="s">
        <v>3501</v>
      </c>
      <c r="J111" s="2626">
        <f>G111</f>
        <v>13140000</v>
      </c>
      <c r="K111" s="2626">
        <f>F111-J111</f>
        <v>0</v>
      </c>
      <c r="L111" s="97"/>
    </row>
    <row r="112" spans="1:12" ht="30" customHeight="1" x14ac:dyDescent="0.2">
      <c r="A112" s="4459">
        <v>68</v>
      </c>
      <c r="B112" s="4457" t="s">
        <v>202</v>
      </c>
      <c r="C112" s="4537" t="s">
        <v>1295</v>
      </c>
      <c r="D112" s="4413">
        <v>150000000</v>
      </c>
      <c r="E112" s="4476">
        <v>0.05</v>
      </c>
      <c r="F112" s="4413">
        <f t="shared" si="12"/>
        <v>7500000</v>
      </c>
      <c r="G112" s="1469">
        <v>750000</v>
      </c>
      <c r="H112" s="1469" t="s">
        <v>3362</v>
      </c>
      <c r="I112" s="65" t="s">
        <v>2538</v>
      </c>
      <c r="J112" s="4413">
        <f>G112+G113</f>
        <v>7500000</v>
      </c>
      <c r="K112" s="4413">
        <f>F112-J112</f>
        <v>0</v>
      </c>
      <c r="L112" s="4599"/>
    </row>
    <row r="113" spans="1:12" ht="30" customHeight="1" x14ac:dyDescent="0.2">
      <c r="A113" s="4460"/>
      <c r="B113" s="4458"/>
      <c r="C113" s="4538"/>
      <c r="D113" s="4415"/>
      <c r="E113" s="4477"/>
      <c r="F113" s="4415"/>
      <c r="G113" s="1558">
        <v>6750000</v>
      </c>
      <c r="H113" s="1558" t="s">
        <v>3362</v>
      </c>
      <c r="I113" s="65" t="s">
        <v>2538</v>
      </c>
      <c r="J113" s="4415"/>
      <c r="K113" s="4415"/>
      <c r="L113" s="4607"/>
    </row>
    <row r="114" spans="1:12" ht="30" customHeight="1" x14ac:dyDescent="0.2">
      <c r="A114" s="1462">
        <v>69</v>
      </c>
      <c r="B114" s="1514" t="s">
        <v>203</v>
      </c>
      <c r="C114" s="1518" t="s">
        <v>889</v>
      </c>
      <c r="D114" s="1489">
        <v>280000000</v>
      </c>
      <c r="E114" s="1516">
        <f>F114/D114</f>
        <v>7.0000000000000007E-2</v>
      </c>
      <c r="F114" s="1489">
        <v>19600000</v>
      </c>
      <c r="G114" s="1489">
        <v>19600000</v>
      </c>
      <c r="H114" s="1489" t="s">
        <v>3417</v>
      </c>
      <c r="I114" s="1513" t="s">
        <v>934</v>
      </c>
      <c r="J114" s="1489">
        <f>G114</f>
        <v>19600000</v>
      </c>
      <c r="K114" s="1489">
        <f>F114-J114</f>
        <v>0</v>
      </c>
      <c r="L114" s="1506"/>
    </row>
    <row r="115" spans="1:12" ht="30" customHeight="1" x14ac:dyDescent="0.2">
      <c r="A115" s="4459">
        <v>70</v>
      </c>
      <c r="B115" s="4457" t="s">
        <v>204</v>
      </c>
      <c r="C115" s="4537" t="s">
        <v>889</v>
      </c>
      <c r="D115" s="4413">
        <v>100000000</v>
      </c>
      <c r="E115" s="4476">
        <v>0.04</v>
      </c>
      <c r="F115" s="4413">
        <f t="shared" si="12"/>
        <v>4000000</v>
      </c>
      <c r="G115" s="1469">
        <v>400000</v>
      </c>
      <c r="H115" s="1469" t="s">
        <v>3362</v>
      </c>
      <c r="I115" s="1494" t="s">
        <v>3405</v>
      </c>
      <c r="J115" s="4413">
        <f>G115+G116</f>
        <v>4000000</v>
      </c>
      <c r="K115" s="4413">
        <f>F115-J115</f>
        <v>0</v>
      </c>
      <c r="L115" s="4599"/>
    </row>
    <row r="116" spans="1:12" ht="30" customHeight="1" x14ac:dyDescent="0.2">
      <c r="A116" s="4460"/>
      <c r="B116" s="4458"/>
      <c r="C116" s="4538"/>
      <c r="D116" s="4415"/>
      <c r="E116" s="4477"/>
      <c r="F116" s="4415"/>
      <c r="G116" s="1558">
        <v>3600000</v>
      </c>
      <c r="H116" s="1558" t="s">
        <v>3362</v>
      </c>
      <c r="I116" s="1564" t="s">
        <v>3405</v>
      </c>
      <c r="J116" s="4415"/>
      <c r="K116" s="4415"/>
      <c r="L116" s="4607"/>
    </row>
    <row r="117" spans="1:12" ht="30" customHeight="1" x14ac:dyDescent="0.2">
      <c r="A117" s="1462"/>
      <c r="B117" s="4457" t="s">
        <v>205</v>
      </c>
      <c r="C117" s="4537" t="s">
        <v>889</v>
      </c>
      <c r="D117" s="1469">
        <v>30000000</v>
      </c>
      <c r="E117" s="1466">
        <v>0.05</v>
      </c>
      <c r="F117" s="1469">
        <f t="shared" si="12"/>
        <v>1500000</v>
      </c>
      <c r="G117" s="1563">
        <v>1500000</v>
      </c>
      <c r="H117" s="1563" t="s">
        <v>3362</v>
      </c>
      <c r="I117" s="1563" t="s">
        <v>1407</v>
      </c>
      <c r="J117" s="1563">
        <f>G117</f>
        <v>1500000</v>
      </c>
      <c r="K117" s="1558">
        <f>F117-J117</f>
        <v>0</v>
      </c>
      <c r="L117" s="1471"/>
    </row>
    <row r="118" spans="1:12" ht="30" customHeight="1" x14ac:dyDescent="0.2">
      <c r="A118" s="2051"/>
      <c r="B118" s="4458"/>
      <c r="C118" s="4538"/>
      <c r="D118" s="2054">
        <v>10000000</v>
      </c>
      <c r="E118" s="2052">
        <v>0.05</v>
      </c>
      <c r="F118" s="2054">
        <f>D118*E118</f>
        <v>500000</v>
      </c>
      <c r="G118" s="2055"/>
      <c r="H118" s="2055"/>
      <c r="I118" s="2056"/>
      <c r="J118" s="2053"/>
      <c r="K118" s="2054"/>
      <c r="L118" s="2057" t="s">
        <v>4270</v>
      </c>
    </row>
    <row r="119" spans="1:12" ht="30" customHeight="1" x14ac:dyDescent="0.2">
      <c r="A119" s="4459">
        <v>72</v>
      </c>
      <c r="B119" s="4457" t="s">
        <v>1023</v>
      </c>
      <c r="C119" s="4537" t="s">
        <v>1718</v>
      </c>
      <c r="D119" s="4413">
        <v>1685000000</v>
      </c>
      <c r="E119" s="4476">
        <v>0.06</v>
      </c>
      <c r="F119" s="4413">
        <f t="shared" si="12"/>
        <v>101100000</v>
      </c>
      <c r="G119" s="1469">
        <v>50000000</v>
      </c>
      <c r="H119" s="1469" t="s">
        <v>3595</v>
      </c>
      <c r="I119" s="21" t="s">
        <v>3067</v>
      </c>
      <c r="J119" s="4413">
        <f>G119+G120</f>
        <v>100000000</v>
      </c>
      <c r="K119" s="4413">
        <f>F119-J119</f>
        <v>1100000</v>
      </c>
      <c r="L119" s="4652" t="s">
        <v>3337</v>
      </c>
    </row>
    <row r="120" spans="1:12" ht="30" customHeight="1" x14ac:dyDescent="0.2">
      <c r="A120" s="4460"/>
      <c r="B120" s="4458"/>
      <c r="C120" s="4538"/>
      <c r="D120" s="4415"/>
      <c r="E120" s="4477"/>
      <c r="F120" s="4415"/>
      <c r="G120" s="1469">
        <v>50000000</v>
      </c>
      <c r="H120" s="1469" t="s">
        <v>3660</v>
      </c>
      <c r="I120" s="21" t="s">
        <v>3067</v>
      </c>
      <c r="J120" s="4415"/>
      <c r="K120" s="4415"/>
      <c r="L120" s="4653"/>
    </row>
    <row r="121" spans="1:12" ht="30" customHeight="1" x14ac:dyDescent="0.2">
      <c r="A121" s="1464">
        <v>73</v>
      </c>
      <c r="B121" s="1517" t="s">
        <v>206</v>
      </c>
      <c r="C121" s="1488" t="s">
        <v>1293</v>
      </c>
      <c r="D121" s="1469">
        <v>20000000</v>
      </c>
      <c r="E121" s="1516">
        <v>0.05</v>
      </c>
      <c r="F121" s="1469">
        <f t="shared" si="12"/>
        <v>1000000</v>
      </c>
      <c r="G121" s="1469">
        <v>1000000</v>
      </c>
      <c r="H121" s="1469" t="s">
        <v>3434</v>
      </c>
      <c r="I121" s="21" t="s">
        <v>944</v>
      </c>
      <c r="J121" s="1469">
        <f t="shared" ref="J121:J126" si="13">G121</f>
        <v>1000000</v>
      </c>
      <c r="K121" s="1469">
        <f>F121-J121</f>
        <v>0</v>
      </c>
      <c r="L121" s="1517"/>
    </row>
    <row r="122" spans="1:12" ht="30" customHeight="1" x14ac:dyDescent="0.2">
      <c r="A122" s="1519">
        <v>74</v>
      </c>
      <c r="B122" s="1517" t="s">
        <v>207</v>
      </c>
      <c r="C122" s="1488" t="s">
        <v>889</v>
      </c>
      <c r="D122" s="1469">
        <v>125000000</v>
      </c>
      <c r="E122" s="1516">
        <v>0.04</v>
      </c>
      <c r="F122" s="1469">
        <f t="shared" si="12"/>
        <v>5000000</v>
      </c>
      <c r="G122" s="1469">
        <v>5000000</v>
      </c>
      <c r="H122" s="1469" t="s">
        <v>3434</v>
      </c>
      <c r="I122" s="21" t="s">
        <v>3438</v>
      </c>
      <c r="J122" s="1469">
        <f t="shared" si="13"/>
        <v>5000000</v>
      </c>
      <c r="K122" s="1469">
        <f>F122-J122</f>
        <v>0</v>
      </c>
      <c r="L122" s="1517"/>
    </row>
    <row r="123" spans="1:12" ht="30" customHeight="1" x14ac:dyDescent="0.2">
      <c r="A123" s="1464">
        <v>75</v>
      </c>
      <c r="B123" s="1517" t="s">
        <v>208</v>
      </c>
      <c r="C123" s="1488" t="s">
        <v>889</v>
      </c>
      <c r="D123" s="1469">
        <v>50000000</v>
      </c>
      <c r="E123" s="1516">
        <v>0.05</v>
      </c>
      <c r="F123" s="1469">
        <f t="shared" si="12"/>
        <v>2500000</v>
      </c>
      <c r="G123" s="1469">
        <v>2500000</v>
      </c>
      <c r="H123" s="1469" t="s">
        <v>3427</v>
      </c>
      <c r="I123" s="21" t="s">
        <v>948</v>
      </c>
      <c r="J123" s="1469">
        <f t="shared" si="13"/>
        <v>2500000</v>
      </c>
      <c r="K123" s="1469">
        <f>F123-J123</f>
        <v>0</v>
      </c>
      <c r="L123" s="1517"/>
    </row>
    <row r="124" spans="1:12" ht="30" customHeight="1" x14ac:dyDescent="0.2">
      <c r="A124" s="4459">
        <v>76</v>
      </c>
      <c r="B124" s="4457" t="s">
        <v>3462</v>
      </c>
      <c r="C124" s="4537" t="s">
        <v>1293</v>
      </c>
      <c r="D124" s="4413">
        <v>100000000</v>
      </c>
      <c r="E124" s="4476">
        <v>0.05</v>
      </c>
      <c r="F124" s="4413">
        <f t="shared" si="12"/>
        <v>5000000</v>
      </c>
      <c r="G124" s="1469">
        <v>5000000</v>
      </c>
      <c r="H124" s="1469" t="s">
        <v>3463</v>
      </c>
      <c r="I124" s="21" t="s">
        <v>1538</v>
      </c>
      <c r="J124" s="1469">
        <f t="shared" si="13"/>
        <v>5000000</v>
      </c>
      <c r="K124" s="1469">
        <f>F124-J124</f>
        <v>0</v>
      </c>
      <c r="L124" s="180" t="s">
        <v>3337</v>
      </c>
    </row>
    <row r="125" spans="1:12" ht="30" customHeight="1" x14ac:dyDescent="0.2">
      <c r="A125" s="4460"/>
      <c r="B125" s="4458"/>
      <c r="C125" s="4538"/>
      <c r="D125" s="4415"/>
      <c r="E125" s="4477"/>
      <c r="F125" s="4415"/>
      <c r="G125" s="1936">
        <v>5000000</v>
      </c>
      <c r="H125" s="1936" t="s">
        <v>3943</v>
      </c>
      <c r="I125" s="384" t="s">
        <v>1538</v>
      </c>
      <c r="J125" s="1936">
        <f t="shared" si="13"/>
        <v>5000000</v>
      </c>
      <c r="K125" s="1937">
        <f>F125-J125</f>
        <v>-5000000</v>
      </c>
      <c r="L125" s="180" t="s">
        <v>3953</v>
      </c>
    </row>
    <row r="126" spans="1:12" ht="30" customHeight="1" x14ac:dyDescent="0.2">
      <c r="A126" s="4459">
        <v>77</v>
      </c>
      <c r="B126" s="4457" t="s">
        <v>210</v>
      </c>
      <c r="C126" s="4537" t="s">
        <v>1717</v>
      </c>
      <c r="D126" s="1469">
        <v>30000000</v>
      </c>
      <c r="E126" s="1516">
        <v>7.0000000000000007E-2</v>
      </c>
      <c r="F126" s="1469">
        <f t="shared" si="12"/>
        <v>2100000</v>
      </c>
      <c r="G126" s="4413">
        <v>3675000</v>
      </c>
      <c r="H126" s="4413" t="s">
        <v>3440</v>
      </c>
      <c r="I126" s="4574" t="s">
        <v>952</v>
      </c>
      <c r="J126" s="4413">
        <f t="shared" si="13"/>
        <v>3675000</v>
      </c>
      <c r="K126" s="4413">
        <f>(F126+F127)-J126</f>
        <v>0</v>
      </c>
      <c r="L126" s="4492"/>
    </row>
    <row r="127" spans="1:12" ht="30" customHeight="1" x14ac:dyDescent="0.2">
      <c r="A127" s="4460"/>
      <c r="B127" s="4458"/>
      <c r="C127" s="4538"/>
      <c r="D127" s="1469">
        <v>35000000</v>
      </c>
      <c r="E127" s="1516">
        <v>4.4999999999999998E-2</v>
      </c>
      <c r="F127" s="1469">
        <f t="shared" si="12"/>
        <v>1575000</v>
      </c>
      <c r="G127" s="4415"/>
      <c r="H127" s="4415"/>
      <c r="I127" s="4575"/>
      <c r="J127" s="4415"/>
      <c r="K127" s="4415"/>
      <c r="L127" s="4493"/>
    </row>
    <row r="128" spans="1:12" ht="30" customHeight="1" x14ac:dyDescent="0.2">
      <c r="A128" s="1519">
        <v>78</v>
      </c>
      <c r="B128" s="1517" t="s">
        <v>211</v>
      </c>
      <c r="C128" s="1488"/>
      <c r="D128" s="1478"/>
      <c r="E128" s="40"/>
      <c r="F128" s="1478">
        <f t="shared" si="12"/>
        <v>0</v>
      </c>
      <c r="G128" s="1469">
        <v>1900000</v>
      </c>
      <c r="H128" s="1469" t="s">
        <v>3421</v>
      </c>
      <c r="I128" s="1529" t="s">
        <v>955</v>
      </c>
      <c r="J128" s="1469">
        <f t="shared" ref="J128:J134" si="14">G128</f>
        <v>1900000</v>
      </c>
      <c r="K128" s="1478">
        <f t="shared" ref="K128:K134" si="15">F128-J128</f>
        <v>-1900000</v>
      </c>
      <c r="L128" s="1517"/>
    </row>
    <row r="129" spans="1:16" ht="30" customHeight="1" x14ac:dyDescent="0.2">
      <c r="A129" s="1519">
        <v>79</v>
      </c>
      <c r="B129" s="1517" t="s">
        <v>212</v>
      </c>
      <c r="C129" s="1488" t="s">
        <v>889</v>
      </c>
      <c r="D129" s="1469">
        <v>15000000</v>
      </c>
      <c r="E129" s="1516">
        <v>4.4999999999999998E-2</v>
      </c>
      <c r="F129" s="1469">
        <f t="shared" si="12"/>
        <v>675000</v>
      </c>
      <c r="G129" s="1469">
        <v>675000</v>
      </c>
      <c r="H129" s="1469" t="s">
        <v>3362</v>
      </c>
      <c r="I129" s="21" t="s">
        <v>1766</v>
      </c>
      <c r="J129" s="1469">
        <f t="shared" si="14"/>
        <v>675000</v>
      </c>
      <c r="K129" s="1469">
        <f t="shared" si="15"/>
        <v>0</v>
      </c>
      <c r="L129" s="1517"/>
    </row>
    <row r="130" spans="1:16" ht="30" customHeight="1" x14ac:dyDescent="0.2">
      <c r="A130" s="1519">
        <v>80</v>
      </c>
      <c r="B130" s="1517" t="s">
        <v>182</v>
      </c>
      <c r="C130" s="1488" t="s">
        <v>1293</v>
      </c>
      <c r="D130" s="1469">
        <v>145000000</v>
      </c>
      <c r="E130" s="1516">
        <v>4.4999999999999998E-2</v>
      </c>
      <c r="F130" s="1469">
        <v>6775000</v>
      </c>
      <c r="G130" s="1469">
        <v>6775000</v>
      </c>
      <c r="H130" s="1469" t="s">
        <v>3427</v>
      </c>
      <c r="I130" s="1489" t="s">
        <v>2569</v>
      </c>
      <c r="J130" s="1469">
        <f t="shared" si="14"/>
        <v>6775000</v>
      </c>
      <c r="K130" s="1469">
        <f t="shared" si="15"/>
        <v>0</v>
      </c>
      <c r="L130" s="1517"/>
    </row>
    <row r="131" spans="1:16" ht="30" customHeight="1" x14ac:dyDescent="0.2">
      <c r="A131" s="1519">
        <v>81</v>
      </c>
      <c r="B131" s="1517" t="s">
        <v>213</v>
      </c>
      <c r="C131" s="1488"/>
      <c r="D131" s="1469">
        <v>5000000</v>
      </c>
      <c r="E131" s="1516">
        <v>0.04</v>
      </c>
      <c r="F131" s="1469">
        <f t="shared" si="12"/>
        <v>200000</v>
      </c>
      <c r="G131" s="1469">
        <v>200000</v>
      </c>
      <c r="H131" s="1469" t="s">
        <v>3434</v>
      </c>
      <c r="I131" s="21" t="s">
        <v>1363</v>
      </c>
      <c r="J131" s="1469">
        <f t="shared" si="14"/>
        <v>200000</v>
      </c>
      <c r="K131" s="1469">
        <f t="shared" si="15"/>
        <v>0</v>
      </c>
      <c r="L131" s="1517"/>
    </row>
    <row r="132" spans="1:16" ht="30" customHeight="1" x14ac:dyDescent="0.2">
      <c r="A132" s="1519">
        <v>82</v>
      </c>
      <c r="B132" s="1517" t="s">
        <v>214</v>
      </c>
      <c r="C132" s="1488"/>
      <c r="D132" s="1469">
        <v>16000000</v>
      </c>
      <c r="E132" s="1516">
        <v>0.05</v>
      </c>
      <c r="F132" s="1469">
        <f t="shared" si="12"/>
        <v>800000</v>
      </c>
      <c r="G132" s="1469">
        <v>800000</v>
      </c>
      <c r="H132" s="1469" t="s">
        <v>3417</v>
      </c>
      <c r="I132" s="1529" t="s">
        <v>964</v>
      </c>
      <c r="J132" s="1469">
        <f t="shared" si="14"/>
        <v>800000</v>
      </c>
      <c r="K132" s="1469">
        <f t="shared" si="15"/>
        <v>0</v>
      </c>
      <c r="L132" s="1517"/>
    </row>
    <row r="133" spans="1:16" ht="30" customHeight="1" x14ac:dyDescent="0.2">
      <c r="A133" s="1519">
        <v>83</v>
      </c>
      <c r="B133" s="1517" t="s">
        <v>215</v>
      </c>
      <c r="C133" s="1488" t="s">
        <v>889</v>
      </c>
      <c r="D133" s="1469">
        <v>160000000</v>
      </c>
      <c r="E133" s="1516">
        <v>0.05</v>
      </c>
      <c r="F133" s="1469">
        <f>D133*E133</f>
        <v>8000000</v>
      </c>
      <c r="G133" s="1469">
        <v>8000000</v>
      </c>
      <c r="H133" s="1469" t="s">
        <v>3417</v>
      </c>
      <c r="I133" s="1489" t="s">
        <v>1689</v>
      </c>
      <c r="J133" s="1469">
        <f t="shared" si="14"/>
        <v>8000000</v>
      </c>
      <c r="K133" s="1469">
        <f t="shared" si="15"/>
        <v>0</v>
      </c>
      <c r="L133" s="1517"/>
    </row>
    <row r="134" spans="1:16" ht="30" customHeight="1" x14ac:dyDescent="0.2">
      <c r="A134" s="1519">
        <v>84</v>
      </c>
      <c r="B134" s="1517" t="s">
        <v>216</v>
      </c>
      <c r="C134" s="1488"/>
      <c r="D134" s="1469">
        <v>400000000</v>
      </c>
      <c r="E134" s="1516">
        <v>6.0999999999999999E-2</v>
      </c>
      <c r="F134" s="1469">
        <f t="shared" si="12"/>
        <v>24400000</v>
      </c>
      <c r="G134" s="1469">
        <v>24400000</v>
      </c>
      <c r="H134" s="1469" t="s">
        <v>3434</v>
      </c>
      <c r="I134" s="1529" t="s">
        <v>1553</v>
      </c>
      <c r="J134" s="1469">
        <f t="shared" si="14"/>
        <v>24400000</v>
      </c>
      <c r="K134" s="1469">
        <f t="shared" si="15"/>
        <v>0</v>
      </c>
      <c r="L134" s="1517"/>
    </row>
    <row r="135" spans="1:16" ht="30" customHeight="1" x14ac:dyDescent="0.2">
      <c r="A135" s="4459"/>
      <c r="B135" s="4457" t="s">
        <v>975</v>
      </c>
      <c r="C135" s="4537" t="s">
        <v>889</v>
      </c>
      <c r="D135" s="4811">
        <v>850000000</v>
      </c>
      <c r="E135" s="4809">
        <f>F135/D135</f>
        <v>6.1647058823529409E-2</v>
      </c>
      <c r="F135" s="4811">
        <v>52400000</v>
      </c>
      <c r="G135" s="233">
        <v>40000000</v>
      </c>
      <c r="H135" s="1632" t="s">
        <v>3440</v>
      </c>
      <c r="I135" s="1632" t="s">
        <v>3515</v>
      </c>
      <c r="J135" s="4413">
        <f>G135+G136</f>
        <v>52400000</v>
      </c>
      <c r="K135" s="4413">
        <f>F135-J135</f>
        <v>0</v>
      </c>
      <c r="L135" s="4537"/>
    </row>
    <row r="136" spans="1:16" ht="30" customHeight="1" x14ac:dyDescent="0.2">
      <c r="A136" s="4460"/>
      <c r="B136" s="4458"/>
      <c r="C136" s="4538"/>
      <c r="D136" s="4812"/>
      <c r="E136" s="4810"/>
      <c r="F136" s="4812"/>
      <c r="G136" s="7">
        <v>12400000</v>
      </c>
      <c r="H136" s="7" t="s">
        <v>3531</v>
      </c>
      <c r="I136" s="1648" t="s">
        <v>2540</v>
      </c>
      <c r="J136" s="4415"/>
      <c r="K136" s="4415"/>
      <c r="L136" s="4538"/>
    </row>
    <row r="137" spans="1:16" ht="30" customHeight="1" x14ac:dyDescent="0.2">
      <c r="A137" s="4459">
        <v>86</v>
      </c>
      <c r="B137" s="4457" t="s">
        <v>217</v>
      </c>
      <c r="C137" s="4537" t="s">
        <v>889</v>
      </c>
      <c r="D137" s="1552">
        <v>108000000</v>
      </c>
      <c r="E137" s="1555">
        <v>0.05</v>
      </c>
      <c r="F137" s="1552">
        <f t="shared" si="12"/>
        <v>5400000</v>
      </c>
      <c r="G137" s="1552">
        <v>2400000</v>
      </c>
      <c r="H137" s="1552" t="s">
        <v>3427</v>
      </c>
      <c r="I137" s="1554" t="s">
        <v>972</v>
      </c>
      <c r="J137" s="1554">
        <f>G137</f>
        <v>2400000</v>
      </c>
      <c r="K137" s="1554">
        <f>F137-J137</f>
        <v>3000000</v>
      </c>
      <c r="L137" s="1461" t="s">
        <v>3398</v>
      </c>
    </row>
    <row r="138" spans="1:16" ht="30" customHeight="1" x14ac:dyDescent="0.2">
      <c r="A138" s="4460"/>
      <c r="B138" s="4458"/>
      <c r="C138" s="4538"/>
      <c r="D138" s="1873">
        <v>111000000</v>
      </c>
      <c r="E138" s="1877">
        <v>0.05</v>
      </c>
      <c r="F138" s="1873">
        <f t="shared" si="12"/>
        <v>5550000</v>
      </c>
      <c r="G138" s="1873"/>
      <c r="H138" s="1873"/>
      <c r="I138" s="1876"/>
      <c r="J138" s="1873"/>
      <c r="K138" s="1873"/>
      <c r="L138" s="1572"/>
    </row>
    <row r="139" spans="1:16" ht="30" customHeight="1" x14ac:dyDescent="0.2">
      <c r="A139" s="1464"/>
      <c r="B139" s="1461" t="s">
        <v>174</v>
      </c>
      <c r="C139" s="1488"/>
      <c r="D139" s="1469">
        <v>723000000</v>
      </c>
      <c r="E139" s="1516">
        <f>F139/D139</f>
        <v>6.5560165975103737E-2</v>
      </c>
      <c r="F139" s="1469">
        <v>47400000</v>
      </c>
      <c r="G139" s="1469">
        <v>47400000</v>
      </c>
      <c r="H139" s="1469" t="s">
        <v>3440</v>
      </c>
      <c r="I139" s="18" t="s">
        <v>3061</v>
      </c>
      <c r="J139" s="1469">
        <f>G139</f>
        <v>47400000</v>
      </c>
      <c r="K139" s="1469">
        <f>F139-J139</f>
        <v>0</v>
      </c>
      <c r="L139" s="4666" t="s">
        <v>2360</v>
      </c>
      <c r="M139" s="4667"/>
      <c r="N139" s="4667"/>
      <c r="O139" s="4667"/>
      <c r="P139" s="4668"/>
    </row>
    <row r="140" spans="1:16" ht="30" customHeight="1" x14ac:dyDescent="0.2">
      <c r="A140" s="1519">
        <v>88</v>
      </c>
      <c r="B140" s="1517" t="s">
        <v>218</v>
      </c>
      <c r="C140" s="1488" t="s">
        <v>1295</v>
      </c>
      <c r="D140" s="1469">
        <v>45000000</v>
      </c>
      <c r="E140" s="1516">
        <v>0.04</v>
      </c>
      <c r="F140" s="1469">
        <v>2050000</v>
      </c>
      <c r="G140" s="1469">
        <v>2050000</v>
      </c>
      <c r="H140" s="1469" t="s">
        <v>3362</v>
      </c>
      <c r="I140" s="18" t="s">
        <v>756</v>
      </c>
      <c r="J140" s="1469">
        <f>G140</f>
        <v>2050000</v>
      </c>
      <c r="K140" s="1469">
        <f>F140-J140</f>
        <v>0</v>
      </c>
      <c r="L140" s="1517"/>
    </row>
    <row r="141" spans="1:16" ht="30" customHeight="1" x14ac:dyDescent="0.2">
      <c r="A141" s="4459">
        <v>89</v>
      </c>
      <c r="B141" s="4457" t="s">
        <v>219</v>
      </c>
      <c r="C141" s="4537" t="s">
        <v>1293</v>
      </c>
      <c r="D141" s="1458">
        <v>93000000</v>
      </c>
      <c r="E141" s="1516">
        <v>7.0000000000000007E-2</v>
      </c>
      <c r="F141" s="1489">
        <v>6500000</v>
      </c>
      <c r="G141" s="1537"/>
      <c r="H141" s="1537"/>
      <c r="I141" s="1537"/>
      <c r="J141" s="1468"/>
      <c r="K141" s="1468"/>
      <c r="L141" s="180" t="s">
        <v>3373</v>
      </c>
    </row>
    <row r="142" spans="1:16" ht="30" customHeight="1" x14ac:dyDescent="0.2">
      <c r="A142" s="4460"/>
      <c r="B142" s="4458"/>
      <c r="C142" s="4538"/>
      <c r="D142" s="1458">
        <v>450000000</v>
      </c>
      <c r="E142" s="1516">
        <v>0.05</v>
      </c>
      <c r="F142" s="1469">
        <f>D142*E142</f>
        <v>22500000</v>
      </c>
      <c r="G142" s="1537"/>
      <c r="H142" s="1537"/>
      <c r="I142" s="1537"/>
      <c r="J142" s="1468"/>
      <c r="K142" s="1468"/>
      <c r="L142" s="29" t="s">
        <v>3319</v>
      </c>
    </row>
    <row r="143" spans="1:16" ht="30" customHeight="1" x14ac:dyDescent="0.2">
      <c r="A143" s="4459">
        <v>90</v>
      </c>
      <c r="B143" s="4457" t="s">
        <v>220</v>
      </c>
      <c r="C143" s="4537" t="s">
        <v>1172</v>
      </c>
      <c r="D143" s="1469">
        <v>130000000</v>
      </c>
      <c r="E143" s="1516">
        <v>7.0000000000000007E-2</v>
      </c>
      <c r="F143" s="1469">
        <f>D143*E143</f>
        <v>9100000</v>
      </c>
      <c r="G143" s="4413">
        <v>14460000</v>
      </c>
      <c r="H143" s="4413" t="s">
        <v>3434</v>
      </c>
      <c r="I143" s="4478" t="s">
        <v>1808</v>
      </c>
      <c r="J143" s="4413">
        <f>G143</f>
        <v>14460000</v>
      </c>
      <c r="K143" s="4413">
        <f>(F143+F144)-J143</f>
        <v>0</v>
      </c>
      <c r="L143" s="4599"/>
    </row>
    <row r="144" spans="1:16" ht="30" customHeight="1" x14ac:dyDescent="0.2">
      <c r="A144" s="4460"/>
      <c r="B144" s="4458"/>
      <c r="C144" s="4538"/>
      <c r="D144" s="1469">
        <v>100000000</v>
      </c>
      <c r="E144" s="1516">
        <v>5.3999999999999999E-2</v>
      </c>
      <c r="F144" s="1469">
        <v>5360000</v>
      </c>
      <c r="G144" s="4415"/>
      <c r="H144" s="4415"/>
      <c r="I144" s="4479"/>
      <c r="J144" s="4415"/>
      <c r="K144" s="4415"/>
      <c r="L144" s="4607"/>
    </row>
    <row r="145" spans="1:12" ht="30" customHeight="1" x14ac:dyDescent="0.2">
      <c r="A145" s="4459">
        <v>91</v>
      </c>
      <c r="B145" s="4457" t="s">
        <v>221</v>
      </c>
      <c r="C145" s="4537"/>
      <c r="D145" s="1469">
        <v>50000000</v>
      </c>
      <c r="E145" s="1516">
        <v>0.05</v>
      </c>
      <c r="F145" s="1469">
        <f t="shared" si="12"/>
        <v>2500000</v>
      </c>
      <c r="G145" s="1469">
        <v>2500000</v>
      </c>
      <c r="H145" s="1469" t="s">
        <v>3485</v>
      </c>
      <c r="I145" s="18" t="s">
        <v>764</v>
      </c>
      <c r="J145" s="1469">
        <f>G145</f>
        <v>2500000</v>
      </c>
      <c r="K145" s="1469">
        <f>F145-J145</f>
        <v>0</v>
      </c>
      <c r="L145" s="4599"/>
    </row>
    <row r="146" spans="1:12" ht="30" customHeight="1" x14ac:dyDescent="0.2">
      <c r="A146" s="4460"/>
      <c r="B146" s="4458"/>
      <c r="C146" s="4538"/>
      <c r="D146" s="1720">
        <v>80000000</v>
      </c>
      <c r="E146" s="436">
        <v>0.05</v>
      </c>
      <c r="F146" s="1720">
        <f>D146*E146</f>
        <v>4000000</v>
      </c>
      <c r="G146" s="4527" t="s">
        <v>3915</v>
      </c>
      <c r="H146" s="4528"/>
      <c r="I146" s="4528"/>
      <c r="J146" s="4529"/>
      <c r="K146" s="1718"/>
      <c r="L146" s="4607"/>
    </row>
    <row r="147" spans="1:12" ht="30" customHeight="1" x14ac:dyDescent="0.2">
      <c r="A147" s="4459">
        <v>92</v>
      </c>
      <c r="B147" s="4599" t="s">
        <v>749</v>
      </c>
      <c r="C147" s="1518" t="s">
        <v>889</v>
      </c>
      <c r="D147" s="1489">
        <v>450000000</v>
      </c>
      <c r="E147" s="1516">
        <v>5.5E-2</v>
      </c>
      <c r="F147" s="1489">
        <v>24400000</v>
      </c>
      <c r="G147" s="1489">
        <v>24400000</v>
      </c>
      <c r="H147" s="1489" t="s">
        <v>3427</v>
      </c>
      <c r="I147" s="1513" t="s">
        <v>3009</v>
      </c>
      <c r="J147" s="1489">
        <f>G147</f>
        <v>24400000</v>
      </c>
      <c r="K147" s="1489">
        <f>F147-J147</f>
        <v>0</v>
      </c>
      <c r="L147" s="1514"/>
    </row>
    <row r="148" spans="1:12" ht="30" customHeight="1" x14ac:dyDescent="0.2">
      <c r="A148" s="4464"/>
      <c r="B148" s="4600"/>
      <c r="C148" s="4537" t="s">
        <v>1287</v>
      </c>
      <c r="D148" s="1469">
        <v>273000000</v>
      </c>
      <c r="E148" s="1466">
        <f>F148/D148</f>
        <v>5.4615384615384614E-2</v>
      </c>
      <c r="F148" s="1469">
        <v>14910000</v>
      </c>
      <c r="G148" s="4303" t="s">
        <v>3603</v>
      </c>
      <c r="H148" s="4324"/>
      <c r="I148" s="4324"/>
      <c r="J148" s="4355"/>
      <c r="K148" s="1489"/>
      <c r="L148" s="180" t="s">
        <v>3605</v>
      </c>
    </row>
    <row r="149" spans="1:12" ht="30" customHeight="1" x14ac:dyDescent="0.2">
      <c r="A149" s="4460"/>
      <c r="B149" s="4607"/>
      <c r="C149" s="4538"/>
      <c r="D149" s="1683">
        <v>100000000</v>
      </c>
      <c r="E149" s="3048">
        <v>0.05</v>
      </c>
      <c r="F149" s="3046">
        <f>D149*E149</f>
        <v>5000000</v>
      </c>
      <c r="G149" s="1679"/>
      <c r="H149" s="7"/>
      <c r="I149" s="523"/>
      <c r="J149" s="1678"/>
      <c r="K149" s="1678"/>
      <c r="L149" s="180" t="s">
        <v>3604</v>
      </c>
    </row>
    <row r="150" spans="1:12" ht="30" customHeight="1" x14ac:dyDescent="0.2">
      <c r="A150" s="3045"/>
      <c r="B150" s="4457" t="s">
        <v>222</v>
      </c>
      <c r="C150" s="4537"/>
      <c r="D150" s="3050">
        <v>150000000</v>
      </c>
      <c r="E150" s="3053">
        <v>5.5E-2</v>
      </c>
      <c r="F150" s="3044">
        <f>D150*E150</f>
        <v>8250000</v>
      </c>
      <c r="G150" s="4527" t="s">
        <v>4955</v>
      </c>
      <c r="H150" s="4528"/>
      <c r="I150" s="4528"/>
      <c r="J150" s="4529"/>
      <c r="K150" s="3046"/>
      <c r="L150" s="180"/>
    </row>
    <row r="151" spans="1:12" ht="30" customHeight="1" x14ac:dyDescent="0.2">
      <c r="A151" s="4459"/>
      <c r="B151" s="4488"/>
      <c r="C151" s="4540"/>
      <c r="D151" s="4325" t="s">
        <v>3474</v>
      </c>
      <c r="E151" s="4326"/>
      <c r="F151" s="4563"/>
      <c r="G151" s="1580">
        <v>50000000</v>
      </c>
      <c r="H151" s="1580" t="s">
        <v>3440</v>
      </c>
      <c r="I151" s="1588" t="s">
        <v>3441</v>
      </c>
      <c r="J151" s="4413">
        <f>G151+G152</f>
        <v>100000000</v>
      </c>
      <c r="K151" s="4413">
        <f>100000000-J151</f>
        <v>0</v>
      </c>
      <c r="L151" s="4537"/>
    </row>
    <row r="152" spans="1:12" ht="30" customHeight="1" x14ac:dyDescent="0.2">
      <c r="A152" s="4464"/>
      <c r="B152" s="4488"/>
      <c r="C152" s="4540"/>
      <c r="D152" s="4564"/>
      <c r="E152" s="4596"/>
      <c r="F152" s="4565"/>
      <c r="G152" s="1580">
        <v>50000000</v>
      </c>
      <c r="H152" s="1580" t="s">
        <v>3463</v>
      </c>
      <c r="I152" s="21" t="s">
        <v>3441</v>
      </c>
      <c r="J152" s="4415"/>
      <c r="K152" s="4415"/>
      <c r="L152" s="4540"/>
    </row>
    <row r="153" spans="1:12" ht="30" customHeight="1" x14ac:dyDescent="0.2">
      <c r="A153" s="4460"/>
      <c r="B153" s="4458"/>
      <c r="C153" s="4538"/>
      <c r="D153" s="1580">
        <v>50000000</v>
      </c>
      <c r="E153" s="2970">
        <v>5.5E-2</v>
      </c>
      <c r="F153" s="1580">
        <f>D153*E153</f>
        <v>2750000</v>
      </c>
      <c r="G153" s="4469" t="s">
        <v>3475</v>
      </c>
      <c r="H153" s="4470"/>
      <c r="I153" s="4470"/>
      <c r="J153" s="4471"/>
      <c r="K153" s="1580"/>
      <c r="L153" s="4538"/>
    </row>
    <row r="154" spans="1:12" ht="30" customHeight="1" x14ac:dyDescent="0.2">
      <c r="A154" s="1519">
        <v>94</v>
      </c>
      <c r="B154" s="1517" t="s">
        <v>1144</v>
      </c>
      <c r="C154" s="1488"/>
      <c r="D154" s="1469">
        <v>25000000</v>
      </c>
      <c r="E154" s="1516">
        <v>0.04</v>
      </c>
      <c r="F154" s="1469">
        <f>D154*E154</f>
        <v>1000000</v>
      </c>
      <c r="G154" s="1469">
        <v>1000000</v>
      </c>
      <c r="H154" s="1469" t="s">
        <v>3463</v>
      </c>
      <c r="I154" s="21" t="s">
        <v>1146</v>
      </c>
      <c r="J154" s="1469">
        <f>G154</f>
        <v>1000000</v>
      </c>
      <c r="K154" s="1469">
        <f>F154-J154</f>
        <v>0</v>
      </c>
      <c r="L154" s="1517"/>
    </row>
    <row r="155" spans="1:12" ht="30" customHeight="1" x14ac:dyDescent="0.2">
      <c r="A155" s="4459">
        <v>95</v>
      </c>
      <c r="B155" s="4457" t="s">
        <v>223</v>
      </c>
      <c r="C155" s="4537"/>
      <c r="D155" s="4413">
        <v>350000000</v>
      </c>
      <c r="E155" s="4476">
        <v>0.05</v>
      </c>
      <c r="F155" s="4413">
        <f>D155*E155</f>
        <v>17500000</v>
      </c>
      <c r="G155" s="1469">
        <v>12500000</v>
      </c>
      <c r="H155" s="1469" t="s">
        <v>3427</v>
      </c>
      <c r="I155" s="21" t="s">
        <v>3431</v>
      </c>
      <c r="J155" s="1716">
        <f>G155</f>
        <v>12500000</v>
      </c>
      <c r="K155" s="1716">
        <f>F155-J155</f>
        <v>5000000</v>
      </c>
      <c r="L155" s="4643" t="s">
        <v>1579</v>
      </c>
    </row>
    <row r="156" spans="1:12" ht="30" customHeight="1" x14ac:dyDescent="0.2">
      <c r="A156" s="4464"/>
      <c r="B156" s="4488"/>
      <c r="C156" s="4540"/>
      <c r="D156" s="4415"/>
      <c r="E156" s="4477"/>
      <c r="F156" s="4415"/>
      <c r="G156" s="4623" t="s">
        <v>3668</v>
      </c>
      <c r="H156" s="4624"/>
      <c r="I156" s="4624"/>
      <c r="J156" s="4625"/>
      <c r="K156" s="7"/>
      <c r="L156" s="4647"/>
    </row>
    <row r="157" spans="1:12" ht="30" customHeight="1" x14ac:dyDescent="0.2">
      <c r="A157" s="4460"/>
      <c r="B157" s="4458"/>
      <c r="C157" s="4538"/>
      <c r="D157" s="1713">
        <v>355000000</v>
      </c>
      <c r="E157" s="1711">
        <v>0.05</v>
      </c>
      <c r="F157" s="1713">
        <f>D157*E157</f>
        <v>17750000</v>
      </c>
      <c r="G157" s="1713"/>
      <c r="H157" s="1713"/>
      <c r="I157" s="21"/>
      <c r="J157" s="1716"/>
      <c r="K157" s="7"/>
      <c r="L157" s="4644"/>
    </row>
    <row r="158" spans="1:12" ht="30" customHeight="1" x14ac:dyDescent="0.2">
      <c r="A158" s="1519">
        <v>96</v>
      </c>
      <c r="B158" s="1517" t="s">
        <v>224</v>
      </c>
      <c r="C158" s="1488"/>
      <c r="D158" s="1469">
        <v>70000000</v>
      </c>
      <c r="E158" s="1516">
        <v>0.05</v>
      </c>
      <c r="F158" s="1469">
        <f>D158*E158</f>
        <v>3500000</v>
      </c>
      <c r="G158" s="1469">
        <v>3500000</v>
      </c>
      <c r="H158" s="1469" t="s">
        <v>3434</v>
      </c>
      <c r="I158" s="1489" t="s">
        <v>1440</v>
      </c>
      <c r="J158" s="1469">
        <f>F158</f>
        <v>3500000</v>
      </c>
      <c r="K158" s="1469">
        <f>F158-J158</f>
        <v>0</v>
      </c>
      <c r="L158" s="1517"/>
    </row>
    <row r="159" spans="1:12" ht="30" customHeight="1" x14ac:dyDescent="0.2">
      <c r="A159" s="1519">
        <v>97</v>
      </c>
      <c r="B159" s="1517" t="s">
        <v>225</v>
      </c>
      <c r="C159" s="1488"/>
      <c r="D159" s="1469">
        <v>100000000</v>
      </c>
      <c r="E159" s="1516">
        <v>0.04</v>
      </c>
      <c r="F159" s="1558">
        <f t="shared" ref="F159:F160" si="16">D159*E159</f>
        <v>4000000</v>
      </c>
      <c r="G159" s="1469"/>
      <c r="H159" s="1469"/>
      <c r="I159" s="21"/>
      <c r="J159" s="1469"/>
      <c r="K159" s="1469">
        <f>F159-J159</f>
        <v>4000000</v>
      </c>
      <c r="L159" s="1517"/>
    </row>
    <row r="160" spans="1:12" ht="30" customHeight="1" x14ac:dyDescent="0.2">
      <c r="A160" s="1519">
        <v>98</v>
      </c>
      <c r="B160" s="1517" t="s">
        <v>226</v>
      </c>
      <c r="C160" s="1488"/>
      <c r="D160" s="1469">
        <v>20000000</v>
      </c>
      <c r="E160" s="1516">
        <v>0.05</v>
      </c>
      <c r="F160" s="1558">
        <f t="shared" si="16"/>
        <v>1000000</v>
      </c>
      <c r="G160" s="1469">
        <v>1000000</v>
      </c>
      <c r="H160" s="1469" t="s">
        <v>3485</v>
      </c>
      <c r="I160" s="1489" t="s">
        <v>789</v>
      </c>
      <c r="J160" s="1469">
        <f>G160</f>
        <v>1000000</v>
      </c>
      <c r="K160" s="1469">
        <f>F160-J160</f>
        <v>0</v>
      </c>
      <c r="L160" s="1517"/>
    </row>
    <row r="161" spans="1:12" ht="30" customHeight="1" x14ac:dyDescent="0.2">
      <c r="A161" s="1519">
        <v>99</v>
      </c>
      <c r="B161" s="1517" t="s">
        <v>227</v>
      </c>
      <c r="C161" s="1488" t="s">
        <v>1297</v>
      </c>
      <c r="D161" s="1469">
        <v>100000000</v>
      </c>
      <c r="E161" s="1516">
        <v>0.04</v>
      </c>
      <c r="F161" s="1469">
        <f>D161*E161</f>
        <v>4000000</v>
      </c>
      <c r="G161" s="1469">
        <v>4000000</v>
      </c>
      <c r="H161" s="1469" t="s">
        <v>3362</v>
      </c>
      <c r="I161" s="1529" t="s">
        <v>3403</v>
      </c>
      <c r="J161" s="1469">
        <f>G161</f>
        <v>4000000</v>
      </c>
      <c r="K161" s="1469">
        <f>F161-J161</f>
        <v>0</v>
      </c>
      <c r="L161" s="1517"/>
    </row>
    <row r="162" spans="1:12" ht="30" customHeight="1" x14ac:dyDescent="0.2">
      <c r="A162" s="1519">
        <v>100</v>
      </c>
      <c r="B162" s="1517" t="s">
        <v>228</v>
      </c>
      <c r="C162" s="1488" t="s">
        <v>392</v>
      </c>
      <c r="D162" s="1469">
        <v>101000000</v>
      </c>
      <c r="E162" s="1516">
        <v>5.0999999999999997E-2</v>
      </c>
      <c r="F162" s="1558">
        <v>5100000</v>
      </c>
      <c r="G162" s="1469">
        <v>5100000</v>
      </c>
      <c r="H162" s="1469" t="s">
        <v>3463</v>
      </c>
      <c r="I162" s="21" t="s">
        <v>2860</v>
      </c>
      <c r="J162" s="1469">
        <f>G162</f>
        <v>5100000</v>
      </c>
      <c r="K162" s="1469">
        <f>F162-J162</f>
        <v>0</v>
      </c>
      <c r="L162" s="1517"/>
    </row>
    <row r="163" spans="1:12" ht="30" customHeight="1" x14ac:dyDescent="0.2">
      <c r="A163" s="4459"/>
      <c r="B163" s="4457" t="s">
        <v>177</v>
      </c>
      <c r="C163" s="4537" t="s">
        <v>1080</v>
      </c>
      <c r="D163" s="1489">
        <v>13000000</v>
      </c>
      <c r="E163" s="1944">
        <v>0.06</v>
      </c>
      <c r="F163" s="1937">
        <f>D163*E163</f>
        <v>780000</v>
      </c>
      <c r="G163" s="4413">
        <v>6000000</v>
      </c>
      <c r="H163" s="4413" t="s">
        <v>3943</v>
      </c>
      <c r="I163" s="4413" t="s">
        <v>3345</v>
      </c>
      <c r="J163" s="4413">
        <f>G163</f>
        <v>6000000</v>
      </c>
      <c r="K163" s="4413">
        <f>(F163+F164+F165)-J163</f>
        <v>0</v>
      </c>
      <c r="L163" s="1511" t="s">
        <v>3303</v>
      </c>
    </row>
    <row r="164" spans="1:12" ht="30" customHeight="1" x14ac:dyDescent="0.2">
      <c r="A164" s="4460"/>
      <c r="B164" s="4488"/>
      <c r="C164" s="4540"/>
      <c r="D164" s="1933">
        <v>80000000</v>
      </c>
      <c r="E164" s="1944">
        <v>0.06</v>
      </c>
      <c r="F164" s="1937">
        <f>D164*E164</f>
        <v>4800000</v>
      </c>
      <c r="G164" s="4414"/>
      <c r="H164" s="4414"/>
      <c r="I164" s="4414"/>
      <c r="J164" s="4414"/>
      <c r="K164" s="4414"/>
      <c r="L164" s="1511" t="s">
        <v>3344</v>
      </c>
    </row>
    <row r="165" spans="1:12" ht="30" customHeight="1" x14ac:dyDescent="0.2">
      <c r="A165" s="1463"/>
      <c r="B165" s="4458"/>
      <c r="C165" s="4538"/>
      <c r="D165" s="1936">
        <v>7000000</v>
      </c>
      <c r="E165" s="1934">
        <v>0.06</v>
      </c>
      <c r="F165" s="1936">
        <f t="shared" si="12"/>
        <v>420000</v>
      </c>
      <c r="G165" s="4415"/>
      <c r="H165" s="4415"/>
      <c r="I165" s="4415"/>
      <c r="J165" s="4415"/>
      <c r="K165" s="4415"/>
      <c r="L165" s="1571"/>
    </row>
    <row r="166" spans="1:12" s="1540" customFormat="1" ht="30" customHeight="1" x14ac:dyDescent="0.2">
      <c r="A166" s="1519"/>
      <c r="B166" s="19" t="s">
        <v>230</v>
      </c>
      <c r="C166" s="1518" t="s">
        <v>1172</v>
      </c>
      <c r="D166" s="1489">
        <v>37000000</v>
      </c>
      <c r="E166" s="1516">
        <v>5.5E-2</v>
      </c>
      <c r="F166" s="1489">
        <v>2000000</v>
      </c>
      <c r="G166" s="1489">
        <v>2000000</v>
      </c>
      <c r="H166" s="1489" t="s">
        <v>3427</v>
      </c>
      <c r="I166" s="1489" t="s">
        <v>1551</v>
      </c>
      <c r="J166" s="1489">
        <f>G166</f>
        <v>2000000</v>
      </c>
      <c r="K166" s="1489">
        <f>F166-J166</f>
        <v>0</v>
      </c>
      <c r="L166" s="159" t="s">
        <v>3376</v>
      </c>
    </row>
    <row r="167" spans="1:12" ht="30" customHeight="1" x14ac:dyDescent="0.2">
      <c r="A167" s="1464">
        <v>104</v>
      </c>
      <c r="B167" s="1461" t="s">
        <v>231</v>
      </c>
      <c r="C167" s="1488" t="s">
        <v>1172</v>
      </c>
      <c r="D167" s="1469">
        <v>20000000</v>
      </c>
      <c r="E167" s="1466">
        <v>0.05</v>
      </c>
      <c r="F167" s="1469">
        <f t="shared" si="12"/>
        <v>1000000</v>
      </c>
      <c r="G167" s="1469">
        <v>1000000</v>
      </c>
      <c r="H167" s="1469" t="s">
        <v>3434</v>
      </c>
      <c r="I167" s="21" t="s">
        <v>3437</v>
      </c>
      <c r="J167" s="1469">
        <f>G167</f>
        <v>1000000</v>
      </c>
      <c r="K167" s="1469">
        <f>F167-J167</f>
        <v>0</v>
      </c>
      <c r="L167" s="1461"/>
    </row>
    <row r="168" spans="1:12" ht="30" customHeight="1" x14ac:dyDescent="0.2">
      <c r="A168" s="4459">
        <v>105</v>
      </c>
      <c r="B168" s="4626" t="s">
        <v>232</v>
      </c>
      <c r="C168" s="4537"/>
      <c r="D168" s="4506"/>
      <c r="E168" s="4512"/>
      <c r="F168" s="4506">
        <f t="shared" ref="F168:F205" si="17">D168*E168</f>
        <v>0</v>
      </c>
      <c r="G168" s="1469">
        <v>1900000</v>
      </c>
      <c r="H168" s="1469" t="s">
        <v>3417</v>
      </c>
      <c r="I168" s="21" t="s">
        <v>772</v>
      </c>
      <c r="J168" s="1469">
        <f>G168</f>
        <v>1900000</v>
      </c>
      <c r="K168" s="1478">
        <f>F168-J168</f>
        <v>-1900000</v>
      </c>
      <c r="L168" s="1517"/>
    </row>
    <row r="169" spans="1:12" ht="30" customHeight="1" x14ac:dyDescent="0.2">
      <c r="A169" s="4460"/>
      <c r="B169" s="4628"/>
      <c r="C169" s="4538"/>
      <c r="D169" s="4508"/>
      <c r="E169" s="4514"/>
      <c r="F169" s="4508"/>
      <c r="G169" s="1642">
        <v>2000000</v>
      </c>
      <c r="H169" s="1642" t="s">
        <v>3547</v>
      </c>
      <c r="I169" s="21" t="s">
        <v>3548</v>
      </c>
      <c r="J169" s="1642">
        <f>G169</f>
        <v>2000000</v>
      </c>
      <c r="K169" s="1646"/>
      <c r="L169" s="97" t="s">
        <v>3549</v>
      </c>
    </row>
    <row r="170" spans="1:12" ht="30" customHeight="1" x14ac:dyDescent="0.2">
      <c r="A170" s="4459">
        <v>106</v>
      </c>
      <c r="B170" s="4457" t="s">
        <v>233</v>
      </c>
      <c r="C170" s="4537"/>
      <c r="D170" s="1469">
        <v>100000000</v>
      </c>
      <c r="E170" s="1516">
        <v>0.04</v>
      </c>
      <c r="F170" s="1469">
        <f t="shared" si="17"/>
        <v>4000000</v>
      </c>
      <c r="G170" s="1469">
        <v>4000000</v>
      </c>
      <c r="H170" s="1469" t="s">
        <v>3531</v>
      </c>
      <c r="I170" s="1489" t="s">
        <v>774</v>
      </c>
      <c r="J170" s="1469">
        <f>F170</f>
        <v>4000000</v>
      </c>
      <c r="K170" s="1469">
        <f>F170-J170</f>
        <v>0</v>
      </c>
      <c r="L170" s="1517"/>
    </row>
    <row r="171" spans="1:12" ht="30" customHeight="1" x14ac:dyDescent="0.2">
      <c r="A171" s="4460"/>
      <c r="B171" s="4458"/>
      <c r="C171" s="4538"/>
      <c r="D171" s="1543">
        <v>180000000</v>
      </c>
      <c r="E171" s="1545">
        <v>0.05</v>
      </c>
      <c r="F171" s="1543">
        <f>D171*E171</f>
        <v>9000000</v>
      </c>
      <c r="G171" s="4816" t="s">
        <v>3689</v>
      </c>
      <c r="H171" s="4817"/>
      <c r="I171" s="4817"/>
      <c r="J171" s="4818"/>
      <c r="K171" s="1718"/>
      <c r="L171" s="1730"/>
    </row>
    <row r="172" spans="1:12" ht="30" customHeight="1" x14ac:dyDescent="0.2">
      <c r="A172" s="1519">
        <v>107</v>
      </c>
      <c r="B172" s="1517" t="s">
        <v>234</v>
      </c>
      <c r="C172" s="1488"/>
      <c r="D172" s="1469">
        <v>65000000</v>
      </c>
      <c r="E172" s="1516">
        <v>3.4000000000000002E-2</v>
      </c>
      <c r="F172" s="1469">
        <v>2200000</v>
      </c>
      <c r="G172" s="1469">
        <v>2200000</v>
      </c>
      <c r="H172" s="1469" t="s">
        <v>3427</v>
      </c>
      <c r="I172" s="1489" t="s">
        <v>798</v>
      </c>
      <c r="J172" s="1469">
        <f>G172</f>
        <v>2200000</v>
      </c>
      <c r="K172" s="1469">
        <f>F172-J172</f>
        <v>0</v>
      </c>
      <c r="L172" s="1517"/>
    </row>
    <row r="173" spans="1:12" ht="30" customHeight="1" x14ac:dyDescent="0.2">
      <c r="A173" s="4459">
        <v>108</v>
      </c>
      <c r="B173" s="4457" t="s">
        <v>235</v>
      </c>
      <c r="C173" s="4537"/>
      <c r="D173" s="4413">
        <v>1430000000</v>
      </c>
      <c r="E173" s="4476">
        <v>5.5E-2</v>
      </c>
      <c r="F173" s="4413">
        <f t="shared" si="17"/>
        <v>78650000</v>
      </c>
      <c r="G173" s="1826">
        <v>50000000</v>
      </c>
      <c r="H173" s="1826" t="s">
        <v>3440</v>
      </c>
      <c r="I173" s="21" t="s">
        <v>1669</v>
      </c>
      <c r="J173" s="4413">
        <f>G173+G174+G175</f>
        <v>78650000</v>
      </c>
      <c r="K173" s="4413">
        <f>F173-J173</f>
        <v>0</v>
      </c>
      <c r="L173" s="4643"/>
    </row>
    <row r="174" spans="1:12" ht="30" customHeight="1" x14ac:dyDescent="0.2">
      <c r="A174" s="4464"/>
      <c r="B174" s="4488"/>
      <c r="C174" s="4540"/>
      <c r="D174" s="4414"/>
      <c r="E174" s="4516"/>
      <c r="F174" s="4414"/>
      <c r="G174" s="1826">
        <v>20000000</v>
      </c>
      <c r="H174" s="1826" t="s">
        <v>3485</v>
      </c>
      <c r="I174" s="21" t="s">
        <v>1669</v>
      </c>
      <c r="J174" s="4414"/>
      <c r="K174" s="4414"/>
      <c r="L174" s="4647"/>
    </row>
    <row r="175" spans="1:12" ht="30" customHeight="1" x14ac:dyDescent="0.2">
      <c r="A175" s="4460"/>
      <c r="B175" s="4458"/>
      <c r="C175" s="4538"/>
      <c r="D175" s="4415"/>
      <c r="E175" s="4477"/>
      <c r="F175" s="4415"/>
      <c r="G175" s="1826">
        <v>8650000</v>
      </c>
      <c r="H175" s="1826" t="s">
        <v>3531</v>
      </c>
      <c r="I175" s="21" t="s">
        <v>1669</v>
      </c>
      <c r="J175" s="4415"/>
      <c r="K175" s="4415"/>
      <c r="L175" s="4644"/>
    </row>
    <row r="176" spans="1:12" ht="30" customHeight="1" x14ac:dyDescent="0.2">
      <c r="A176" s="1519">
        <v>109</v>
      </c>
      <c r="B176" s="1517" t="s">
        <v>236</v>
      </c>
      <c r="C176" s="1488"/>
      <c r="D176" s="1469">
        <v>1000000000</v>
      </c>
      <c r="E176" s="1516">
        <v>0.05</v>
      </c>
      <c r="F176" s="1469">
        <f t="shared" si="17"/>
        <v>50000000</v>
      </c>
      <c r="G176" s="1469">
        <v>50000000</v>
      </c>
      <c r="H176" s="1469" t="s">
        <v>3434</v>
      </c>
      <c r="I176" s="21" t="s">
        <v>3435</v>
      </c>
      <c r="J176" s="1469">
        <f>G176</f>
        <v>50000000</v>
      </c>
      <c r="K176" s="1469">
        <f>F176-J176</f>
        <v>0</v>
      </c>
      <c r="L176" s="1517"/>
    </row>
    <row r="177" spans="1:12" ht="30" customHeight="1" x14ac:dyDescent="0.2">
      <c r="A177" s="1519">
        <v>110</v>
      </c>
      <c r="B177" s="1514" t="s">
        <v>1842</v>
      </c>
      <c r="C177" s="1487" t="s">
        <v>1292</v>
      </c>
      <c r="D177" s="1469">
        <v>14000000</v>
      </c>
      <c r="E177" s="1516">
        <v>4.2999999999999997E-2</v>
      </c>
      <c r="F177" s="1469">
        <v>600000</v>
      </c>
      <c r="G177" s="1469">
        <v>600000</v>
      </c>
      <c r="H177" s="1469" t="s">
        <v>3558</v>
      </c>
      <c r="I177" s="21" t="s">
        <v>1852</v>
      </c>
      <c r="J177" s="1489">
        <f>G177</f>
        <v>600000</v>
      </c>
      <c r="K177" s="1489">
        <f>F177-J177</f>
        <v>0</v>
      </c>
      <c r="L177" s="19"/>
    </row>
    <row r="178" spans="1:12" ht="30" customHeight="1" x14ac:dyDescent="0.2">
      <c r="A178" s="4459">
        <v>111</v>
      </c>
      <c r="B178" s="4457" t="s">
        <v>237</v>
      </c>
      <c r="C178" s="4537" t="s">
        <v>392</v>
      </c>
      <c r="D178" s="1469">
        <v>20000000</v>
      </c>
      <c r="E178" s="1516">
        <v>4.4999999999999998E-2</v>
      </c>
      <c r="F178" s="1469">
        <f>D178*E178</f>
        <v>900000</v>
      </c>
      <c r="G178" s="1469">
        <v>900000</v>
      </c>
      <c r="H178" s="1469" t="s">
        <v>3427</v>
      </c>
      <c r="I178" s="21" t="s">
        <v>550</v>
      </c>
      <c r="J178" s="1489">
        <f>G178</f>
        <v>900000</v>
      </c>
      <c r="K178" s="1489">
        <f>F178-J178</f>
        <v>0</v>
      </c>
      <c r="L178" s="19"/>
    </row>
    <row r="179" spans="1:12" ht="30" customHeight="1" x14ac:dyDescent="0.2">
      <c r="A179" s="4460"/>
      <c r="B179" s="4458"/>
      <c r="C179" s="4538"/>
      <c r="D179" s="1580">
        <v>30000000</v>
      </c>
      <c r="E179" s="1599">
        <v>0.05</v>
      </c>
      <c r="F179" s="1580">
        <f>D179*E179</f>
        <v>1500000</v>
      </c>
      <c r="G179" s="4469" t="s">
        <v>3450</v>
      </c>
      <c r="H179" s="4470"/>
      <c r="I179" s="4470"/>
      <c r="J179" s="4471"/>
      <c r="K179" s="1580"/>
      <c r="L179" s="19"/>
    </row>
    <row r="180" spans="1:12" ht="30" customHeight="1" x14ac:dyDescent="0.2">
      <c r="A180" s="1519">
        <v>112</v>
      </c>
      <c r="B180" s="1517" t="s">
        <v>238</v>
      </c>
      <c r="C180" s="1518"/>
      <c r="D180" s="1469">
        <v>40000000</v>
      </c>
      <c r="E180" s="1516">
        <v>0.05</v>
      </c>
      <c r="F180" s="1469">
        <f t="shared" si="17"/>
        <v>2000000</v>
      </c>
      <c r="G180" s="1469">
        <v>2000000</v>
      </c>
      <c r="H180" s="1469" t="s">
        <v>3463</v>
      </c>
      <c r="I180" s="1529" t="s">
        <v>3465</v>
      </c>
      <c r="J180" s="1469">
        <f>G180</f>
        <v>2000000</v>
      </c>
      <c r="K180" s="1469">
        <f>F180-J180</f>
        <v>0</v>
      </c>
      <c r="L180" s="1517"/>
    </row>
    <row r="181" spans="1:12" ht="30" customHeight="1" x14ac:dyDescent="0.2">
      <c r="A181" s="1464"/>
      <c r="B181" s="1459" t="s">
        <v>239</v>
      </c>
      <c r="C181" s="1518" t="s">
        <v>402</v>
      </c>
      <c r="D181" s="1469">
        <v>250000000</v>
      </c>
      <c r="E181" s="1516">
        <v>0.05</v>
      </c>
      <c r="F181" s="1469">
        <f>D181*E181</f>
        <v>12500000</v>
      </c>
      <c r="G181" s="4632" t="s">
        <v>2773</v>
      </c>
      <c r="H181" s="4633"/>
      <c r="I181" s="4633"/>
      <c r="J181" s="4634"/>
      <c r="K181" s="1469"/>
      <c r="L181" s="1485"/>
    </row>
    <row r="182" spans="1:12" ht="30" customHeight="1" x14ac:dyDescent="0.2">
      <c r="A182" s="1519">
        <v>114</v>
      </c>
      <c r="B182" s="1517" t="s">
        <v>240</v>
      </c>
      <c r="C182" s="1488"/>
      <c r="D182" s="1469">
        <v>100000000</v>
      </c>
      <c r="E182" s="1516">
        <v>4.4999999999999998E-2</v>
      </c>
      <c r="F182" s="1469">
        <f t="shared" si="17"/>
        <v>4500000</v>
      </c>
      <c r="G182" s="1469"/>
      <c r="H182" s="1469"/>
      <c r="I182" s="84"/>
      <c r="J182" s="1469">
        <f>G182</f>
        <v>0</v>
      </c>
      <c r="K182" s="1469">
        <f>F182-J182</f>
        <v>4500000</v>
      </c>
      <c r="L182" s="1517"/>
    </row>
    <row r="183" spans="1:12" ht="30" customHeight="1" x14ac:dyDescent="0.2">
      <c r="A183" s="383">
        <v>115</v>
      </c>
      <c r="B183" s="1514" t="s">
        <v>241</v>
      </c>
      <c r="C183" s="1487" t="s">
        <v>1138</v>
      </c>
      <c r="D183" s="1467">
        <v>20000000</v>
      </c>
      <c r="E183" s="1465">
        <v>0.05</v>
      </c>
      <c r="F183" s="1467">
        <f t="shared" si="17"/>
        <v>1000000</v>
      </c>
      <c r="G183" s="1469">
        <v>1000000</v>
      </c>
      <c r="H183" s="1469" t="s">
        <v>3886</v>
      </c>
      <c r="I183" s="21" t="s">
        <v>1372</v>
      </c>
      <c r="J183" s="1469">
        <f>G183</f>
        <v>1000000</v>
      </c>
      <c r="K183" s="1469">
        <f>F183-J183</f>
        <v>0</v>
      </c>
      <c r="L183" s="1473"/>
    </row>
    <row r="184" spans="1:12" ht="30" customHeight="1" x14ac:dyDescent="0.2">
      <c r="A184" s="1029"/>
      <c r="B184" s="19" t="s">
        <v>243</v>
      </c>
      <c r="C184" s="1518" t="s">
        <v>889</v>
      </c>
      <c r="D184" s="1489">
        <v>445000000</v>
      </c>
      <c r="E184" s="1516">
        <v>4.4999999999999998E-2</v>
      </c>
      <c r="F184" s="1489">
        <v>20000000</v>
      </c>
      <c r="G184" s="1469">
        <v>20000000</v>
      </c>
      <c r="H184" s="1469" t="s">
        <v>3943</v>
      </c>
      <c r="I184" s="84" t="s">
        <v>3946</v>
      </c>
      <c r="J184" s="1469">
        <f>G184</f>
        <v>20000000</v>
      </c>
      <c r="K184" s="1469">
        <f>F184-J184</f>
        <v>0</v>
      </c>
      <c r="L184" s="97" t="s">
        <v>3947</v>
      </c>
    </row>
    <row r="185" spans="1:12" ht="30" customHeight="1" x14ac:dyDescent="0.2">
      <c r="A185" s="1464">
        <v>118</v>
      </c>
      <c r="B185" s="1461" t="s">
        <v>244</v>
      </c>
      <c r="C185" s="1488"/>
      <c r="D185" s="1469">
        <v>20000000</v>
      </c>
      <c r="E185" s="1466">
        <v>0.05</v>
      </c>
      <c r="F185" s="1469">
        <f t="shared" si="17"/>
        <v>1000000</v>
      </c>
      <c r="G185" s="1469">
        <v>1000000</v>
      </c>
      <c r="H185" s="1469" t="s">
        <v>3427</v>
      </c>
      <c r="I185" s="84" t="s">
        <v>3432</v>
      </c>
      <c r="J185" s="1469">
        <f>G185</f>
        <v>1000000</v>
      </c>
      <c r="K185" s="1469">
        <f>F185-J185</f>
        <v>0</v>
      </c>
      <c r="L185" s="1517"/>
    </row>
    <row r="186" spans="1:12" ht="30" customHeight="1" x14ac:dyDescent="0.2">
      <c r="A186" s="4459">
        <v>120</v>
      </c>
      <c r="B186" s="4457" t="s">
        <v>246</v>
      </c>
      <c r="C186" s="4537" t="s">
        <v>371</v>
      </c>
      <c r="D186" s="4413">
        <v>617000000</v>
      </c>
      <c r="E186" s="4476">
        <v>7.0000000000000007E-2</v>
      </c>
      <c r="F186" s="4413">
        <v>43200000</v>
      </c>
      <c r="G186" s="1489">
        <v>10200000</v>
      </c>
      <c r="H186" s="1489" t="s">
        <v>3583</v>
      </c>
      <c r="I186" s="1513" t="s">
        <v>2866</v>
      </c>
      <c r="J186" s="4413">
        <f>G186+G187</f>
        <v>43200000</v>
      </c>
      <c r="K186" s="4413">
        <f>F186-J186</f>
        <v>0</v>
      </c>
      <c r="L186" s="4599"/>
    </row>
    <row r="187" spans="1:12" ht="30" customHeight="1" x14ac:dyDescent="0.2">
      <c r="A187" s="4460"/>
      <c r="B187" s="4458"/>
      <c r="C187" s="4538"/>
      <c r="D187" s="4415"/>
      <c r="E187" s="4477"/>
      <c r="F187" s="4415"/>
      <c r="G187" s="1469">
        <v>33000000</v>
      </c>
      <c r="H187" s="1469" t="s">
        <v>3676</v>
      </c>
      <c r="I187" s="1513" t="s">
        <v>2866</v>
      </c>
      <c r="J187" s="4415"/>
      <c r="K187" s="4415"/>
      <c r="L187" s="4607"/>
    </row>
    <row r="188" spans="1:12" ht="30" customHeight="1" x14ac:dyDescent="0.2">
      <c r="A188" s="1519">
        <v>122</v>
      </c>
      <c r="B188" s="1517" t="s">
        <v>248</v>
      </c>
      <c r="C188" s="1488"/>
      <c r="D188" s="1469">
        <v>50000000</v>
      </c>
      <c r="E188" s="1516">
        <v>4.4999999999999998E-2</v>
      </c>
      <c r="F188" s="1469">
        <f t="shared" si="17"/>
        <v>2250000</v>
      </c>
      <c r="G188" s="1469">
        <v>2250000</v>
      </c>
      <c r="H188" s="1469" t="s">
        <v>3463</v>
      </c>
      <c r="I188" s="18" t="s">
        <v>1568</v>
      </c>
      <c r="J188" s="1469">
        <f>G188</f>
        <v>2250000</v>
      </c>
      <c r="K188" s="1469">
        <f>F188-J188</f>
        <v>0</v>
      </c>
      <c r="L188" s="1517"/>
    </row>
    <row r="189" spans="1:12" ht="30" customHeight="1" x14ac:dyDescent="0.2">
      <c r="A189" s="4459">
        <v>123</v>
      </c>
      <c r="B189" s="4599" t="s">
        <v>1650</v>
      </c>
      <c r="C189" s="4537" t="s">
        <v>1176</v>
      </c>
      <c r="D189" s="1469">
        <v>60000000</v>
      </c>
      <c r="E189" s="1516">
        <v>0.05</v>
      </c>
      <c r="F189" s="1469">
        <f t="shared" si="17"/>
        <v>3000000</v>
      </c>
      <c r="G189" s="4413">
        <v>4400000</v>
      </c>
      <c r="H189" s="4413" t="s">
        <v>3531</v>
      </c>
      <c r="I189" s="4478" t="s">
        <v>3533</v>
      </c>
      <c r="J189" s="4413">
        <f>G189</f>
        <v>4400000</v>
      </c>
      <c r="K189" s="4413">
        <f>(F189+F190)-J189</f>
        <v>0</v>
      </c>
      <c r="L189" s="4599"/>
    </row>
    <row r="190" spans="1:12" ht="30" customHeight="1" x14ac:dyDescent="0.2">
      <c r="A190" s="4464"/>
      <c r="B190" s="4600"/>
      <c r="C190" s="4538"/>
      <c r="D190" s="1469">
        <v>20000000</v>
      </c>
      <c r="E190" s="1516">
        <v>7.0000000000000007E-2</v>
      </c>
      <c r="F190" s="1469">
        <f t="shared" si="17"/>
        <v>1400000.0000000002</v>
      </c>
      <c r="G190" s="4415"/>
      <c r="H190" s="4415"/>
      <c r="I190" s="4479"/>
      <c r="J190" s="4415"/>
      <c r="K190" s="4415"/>
      <c r="L190" s="4607"/>
    </row>
    <row r="191" spans="1:12" ht="30" customHeight="1" x14ac:dyDescent="0.2">
      <c r="A191" s="4464"/>
      <c r="B191" s="4600"/>
      <c r="C191" s="1589"/>
      <c r="D191" s="1580">
        <v>52000000</v>
      </c>
      <c r="E191" s="1599"/>
      <c r="F191" s="1580"/>
      <c r="G191" s="4469" t="s">
        <v>3457</v>
      </c>
      <c r="H191" s="4470"/>
      <c r="I191" s="4470"/>
      <c r="J191" s="4471"/>
      <c r="K191" s="1580"/>
      <c r="L191" s="1586"/>
    </row>
    <row r="192" spans="1:12" ht="30" customHeight="1" x14ac:dyDescent="0.2">
      <c r="A192" s="4464"/>
      <c r="B192" s="4600"/>
      <c r="C192" s="4715" t="s">
        <v>3749</v>
      </c>
      <c r="D192" s="4716"/>
      <c r="E192" s="4716"/>
      <c r="F192" s="4717"/>
      <c r="G192" s="4386"/>
      <c r="H192" s="4654"/>
      <c r="I192" s="4654"/>
      <c r="J192" s="4655"/>
      <c r="K192" s="1805"/>
      <c r="L192" s="1803"/>
    </row>
    <row r="193" spans="1:12" ht="30" customHeight="1" x14ac:dyDescent="0.2">
      <c r="A193" s="4464"/>
      <c r="B193" s="4600"/>
      <c r="C193" s="4718"/>
      <c r="D193" s="4719"/>
      <c r="E193" s="4719"/>
      <c r="F193" s="4720"/>
      <c r="G193" s="4838" t="s">
        <v>3745</v>
      </c>
      <c r="H193" s="4838"/>
      <c r="I193" s="4838"/>
      <c r="J193" s="4838"/>
      <c r="K193" s="1605"/>
      <c r="L193" s="1803"/>
    </row>
    <row r="194" spans="1:12" ht="30" customHeight="1" x14ac:dyDescent="0.2">
      <c r="A194" s="4464"/>
      <c r="B194" s="4600"/>
      <c r="C194" s="4718"/>
      <c r="D194" s="4719"/>
      <c r="E194" s="4719"/>
      <c r="F194" s="4720"/>
      <c r="G194" s="4469" t="s">
        <v>3746</v>
      </c>
      <c r="H194" s="4470"/>
      <c r="I194" s="4470"/>
      <c r="J194" s="4470"/>
      <c r="K194" s="1799"/>
      <c r="L194" s="1803"/>
    </row>
    <row r="195" spans="1:12" ht="30" customHeight="1" x14ac:dyDescent="0.2">
      <c r="A195" s="4464"/>
      <c r="B195" s="4600"/>
      <c r="C195" s="4718"/>
      <c r="D195" s="4719"/>
      <c r="E195" s="4719"/>
      <c r="F195" s="4720"/>
      <c r="G195" s="4469" t="s">
        <v>3747</v>
      </c>
      <c r="H195" s="4470"/>
      <c r="I195" s="4470"/>
      <c r="J195" s="4470"/>
      <c r="K195" s="1799"/>
      <c r="L195" s="1803"/>
    </row>
    <row r="196" spans="1:12" ht="30" customHeight="1" x14ac:dyDescent="0.2">
      <c r="A196" s="4460"/>
      <c r="B196" s="4607"/>
      <c r="C196" s="4721"/>
      <c r="D196" s="4722"/>
      <c r="E196" s="4722"/>
      <c r="F196" s="4723"/>
      <c r="G196" s="4469" t="s">
        <v>3748</v>
      </c>
      <c r="H196" s="4470"/>
      <c r="I196" s="4470"/>
      <c r="J196" s="4470"/>
      <c r="K196" s="1799"/>
      <c r="L196" s="1803"/>
    </row>
    <row r="197" spans="1:12" ht="30" customHeight="1" x14ac:dyDescent="0.2">
      <c r="A197" s="1519">
        <v>124</v>
      </c>
      <c r="B197" s="1517" t="s">
        <v>250</v>
      </c>
      <c r="C197" s="1488" t="s">
        <v>392</v>
      </c>
      <c r="D197" s="1469">
        <v>200000000</v>
      </c>
      <c r="E197" s="1516">
        <v>0.05</v>
      </c>
      <c r="F197" s="1469">
        <f t="shared" si="17"/>
        <v>10000000</v>
      </c>
      <c r="G197" s="1469">
        <v>10000000</v>
      </c>
      <c r="H197" s="1469" t="s">
        <v>3558</v>
      </c>
      <c r="I197" s="18" t="s">
        <v>1401</v>
      </c>
      <c r="J197" s="1469">
        <f>G197</f>
        <v>10000000</v>
      </c>
      <c r="K197" s="1469">
        <f>F197-J197</f>
        <v>0</v>
      </c>
      <c r="L197" s="1517"/>
    </row>
    <row r="198" spans="1:12" ht="30" customHeight="1" x14ac:dyDescent="0.2">
      <c r="A198" s="383">
        <v>125</v>
      </c>
      <c r="B198" s="1514" t="s">
        <v>251</v>
      </c>
      <c r="C198" s="1518"/>
      <c r="D198" s="1489">
        <v>160000000</v>
      </c>
      <c r="E198" s="1516">
        <v>7.0000000000000007E-2</v>
      </c>
      <c r="F198" s="1489">
        <v>11000000</v>
      </c>
      <c r="G198" s="1469">
        <v>11000000</v>
      </c>
      <c r="H198" s="1469" t="s">
        <v>3463</v>
      </c>
      <c r="I198" s="21" t="s">
        <v>1630</v>
      </c>
      <c r="J198" s="1469">
        <f>G198</f>
        <v>11000000</v>
      </c>
      <c r="K198" s="1469">
        <f>F198-J198</f>
        <v>0</v>
      </c>
      <c r="L198" s="1517"/>
    </row>
    <row r="199" spans="1:12" ht="30" customHeight="1" x14ac:dyDescent="0.2">
      <c r="A199" s="1519">
        <v>126</v>
      </c>
      <c r="B199" s="1517" t="s">
        <v>252</v>
      </c>
      <c r="C199" s="1488" t="s">
        <v>402</v>
      </c>
      <c r="D199" s="1469">
        <v>180000000</v>
      </c>
      <c r="E199" s="1466">
        <v>4.4999999999999998E-2</v>
      </c>
      <c r="F199" s="1469">
        <f t="shared" si="17"/>
        <v>8100000</v>
      </c>
      <c r="G199" s="1469">
        <v>8100000</v>
      </c>
      <c r="H199" s="1469" t="s">
        <v>3440</v>
      </c>
      <c r="I199" s="21" t="s">
        <v>618</v>
      </c>
      <c r="J199" s="1469">
        <f>G199</f>
        <v>8100000</v>
      </c>
      <c r="K199" s="1469">
        <f>F199-J199</f>
        <v>0</v>
      </c>
      <c r="L199" s="1517"/>
    </row>
    <row r="200" spans="1:12" ht="30" customHeight="1" x14ac:dyDescent="0.2">
      <c r="A200" s="4459">
        <v>127</v>
      </c>
      <c r="B200" s="4457" t="s">
        <v>253</v>
      </c>
      <c r="C200" s="4537"/>
      <c r="D200" s="4413">
        <v>800000000</v>
      </c>
      <c r="E200" s="4476">
        <v>0.05</v>
      </c>
      <c r="F200" s="4413">
        <f t="shared" si="17"/>
        <v>40000000</v>
      </c>
      <c r="G200" s="4413">
        <v>40000000</v>
      </c>
      <c r="H200" s="4413" t="s">
        <v>3499</v>
      </c>
      <c r="I200" s="4478" t="s">
        <v>3505</v>
      </c>
      <c r="J200" s="4413">
        <f>G200+G201</f>
        <v>40000000</v>
      </c>
      <c r="K200" s="4413">
        <f>F200-J200</f>
        <v>0</v>
      </c>
      <c r="L200" s="4599"/>
    </row>
    <row r="201" spans="1:12" ht="30" customHeight="1" x14ac:dyDescent="0.2">
      <c r="A201" s="4460"/>
      <c r="B201" s="4458"/>
      <c r="C201" s="4538"/>
      <c r="D201" s="4415"/>
      <c r="E201" s="4477"/>
      <c r="F201" s="4415"/>
      <c r="G201" s="4415"/>
      <c r="H201" s="4415"/>
      <c r="I201" s="4479"/>
      <c r="J201" s="4415"/>
      <c r="K201" s="4415"/>
      <c r="L201" s="4607"/>
    </row>
    <row r="202" spans="1:12" ht="30" customHeight="1" x14ac:dyDescent="0.2">
      <c r="A202" s="1519">
        <v>128</v>
      </c>
      <c r="B202" s="1517" t="s">
        <v>254</v>
      </c>
      <c r="C202" s="1488"/>
      <c r="D202" s="1478"/>
      <c r="E202" s="40"/>
      <c r="F202" s="1478">
        <f t="shared" si="17"/>
        <v>0</v>
      </c>
      <c r="G202" s="1469"/>
      <c r="H202" s="1469"/>
      <c r="I202" s="21"/>
      <c r="J202" s="1469">
        <f t="shared" ref="J202:J209" si="18">G202</f>
        <v>0</v>
      </c>
      <c r="K202" s="1478">
        <f>F202-J202</f>
        <v>0</v>
      </c>
      <c r="L202" s="1517"/>
    </row>
    <row r="203" spans="1:12" ht="30" customHeight="1" x14ac:dyDescent="0.2">
      <c r="A203" s="1519">
        <v>129</v>
      </c>
      <c r="B203" s="19" t="s">
        <v>255</v>
      </c>
      <c r="C203" s="1518" t="s">
        <v>1107</v>
      </c>
      <c r="D203" s="1489">
        <v>200000000</v>
      </c>
      <c r="E203" s="1516">
        <v>0.06</v>
      </c>
      <c r="F203" s="1489">
        <f>D203*E203</f>
        <v>12000000</v>
      </c>
      <c r="G203" s="1469">
        <v>12000000</v>
      </c>
      <c r="H203" s="1469" t="s">
        <v>3893</v>
      </c>
      <c r="I203" s="21" t="s">
        <v>3252</v>
      </c>
      <c r="J203" s="1469">
        <f t="shared" si="18"/>
        <v>12000000</v>
      </c>
      <c r="K203" s="1469">
        <f>F203-J203</f>
        <v>0</v>
      </c>
      <c r="L203" s="97"/>
    </row>
    <row r="204" spans="1:12" ht="30" customHeight="1" x14ac:dyDescent="0.2">
      <c r="A204" s="1519"/>
      <c r="B204" s="19" t="s">
        <v>1171</v>
      </c>
      <c r="C204" s="1518" t="s">
        <v>1299</v>
      </c>
      <c r="D204" s="1489">
        <v>150000000</v>
      </c>
      <c r="E204" s="1516">
        <v>0.05</v>
      </c>
      <c r="F204" s="1489">
        <f>D204*E204</f>
        <v>7500000</v>
      </c>
      <c r="G204" s="1979">
        <v>10000000</v>
      </c>
      <c r="H204" s="1979" t="s">
        <v>3676</v>
      </c>
      <c r="I204" s="1979" t="s">
        <v>1693</v>
      </c>
      <c r="J204" s="1979">
        <f t="shared" si="18"/>
        <v>10000000</v>
      </c>
      <c r="K204" s="1979">
        <f>F204-J204</f>
        <v>-2500000</v>
      </c>
      <c r="L204" s="97" t="s">
        <v>4069</v>
      </c>
    </row>
    <row r="205" spans="1:12" ht="30" customHeight="1" x14ac:dyDescent="0.2">
      <c r="A205" s="1519">
        <v>131</v>
      </c>
      <c r="B205" s="1461" t="s">
        <v>256</v>
      </c>
      <c r="C205" s="1488"/>
      <c r="D205" s="1469">
        <v>200000000</v>
      </c>
      <c r="E205" s="1466">
        <v>0.05</v>
      </c>
      <c r="F205" s="1469">
        <f t="shared" si="17"/>
        <v>10000000</v>
      </c>
      <c r="G205" s="1469">
        <v>10000000</v>
      </c>
      <c r="H205" s="1469" t="s">
        <v>3434</v>
      </c>
      <c r="I205" s="24" t="s">
        <v>3436</v>
      </c>
      <c r="J205" s="1469">
        <f t="shared" si="18"/>
        <v>10000000</v>
      </c>
      <c r="K205" s="1469">
        <f>F205-J205</f>
        <v>0</v>
      </c>
      <c r="L205" s="97"/>
    </row>
    <row r="206" spans="1:12" ht="30" customHeight="1" x14ac:dyDescent="0.2">
      <c r="A206" s="4459"/>
      <c r="B206" s="4457" t="s">
        <v>1218</v>
      </c>
      <c r="C206" s="4537" t="s">
        <v>1652</v>
      </c>
      <c r="D206" s="4413">
        <v>490000000</v>
      </c>
      <c r="E206" s="4476">
        <v>0.05</v>
      </c>
      <c r="F206" s="4413">
        <f>D206*E206</f>
        <v>24500000</v>
      </c>
      <c r="G206" s="1469">
        <v>10000000</v>
      </c>
      <c r="H206" s="1469" t="s">
        <v>3440</v>
      </c>
      <c r="I206" s="1482" t="s">
        <v>1220</v>
      </c>
      <c r="J206" s="1469">
        <f t="shared" si="18"/>
        <v>10000000</v>
      </c>
      <c r="K206" s="1469">
        <f>F206-14500000-J206</f>
        <v>0</v>
      </c>
      <c r="L206" s="97" t="s">
        <v>3377</v>
      </c>
    </row>
    <row r="207" spans="1:12" ht="30" customHeight="1" x14ac:dyDescent="0.2">
      <c r="A207" s="4460"/>
      <c r="B207" s="4458"/>
      <c r="C207" s="4538"/>
      <c r="D207" s="4415"/>
      <c r="E207" s="4477"/>
      <c r="F207" s="4415"/>
      <c r="G207" s="1753">
        <v>10000000</v>
      </c>
      <c r="H207" s="1753" t="s">
        <v>3712</v>
      </c>
      <c r="I207" s="1756" t="s">
        <v>1220</v>
      </c>
      <c r="J207" s="1753">
        <f t="shared" si="18"/>
        <v>10000000</v>
      </c>
      <c r="K207" s="1753"/>
      <c r="L207" s="1754" t="s">
        <v>3713</v>
      </c>
    </row>
    <row r="208" spans="1:12" ht="30" customHeight="1" x14ac:dyDescent="0.2">
      <c r="A208" s="1519">
        <v>133</v>
      </c>
      <c r="B208" s="1461" t="s">
        <v>175</v>
      </c>
      <c r="C208" s="1488" t="s">
        <v>1718</v>
      </c>
      <c r="D208" s="1469">
        <v>100000000</v>
      </c>
      <c r="E208" s="1466">
        <v>0.05</v>
      </c>
      <c r="F208" s="1469">
        <f t="shared" ref="F208:F297" si="19">D208*E208</f>
        <v>5000000</v>
      </c>
      <c r="G208" s="1469">
        <v>5000000</v>
      </c>
      <c r="H208" s="1469" t="s">
        <v>3463</v>
      </c>
      <c r="I208" s="21" t="s">
        <v>521</v>
      </c>
      <c r="J208" s="1469">
        <f t="shared" si="18"/>
        <v>5000000</v>
      </c>
      <c r="K208" s="1469">
        <f>F208-J208</f>
        <v>0</v>
      </c>
      <c r="L208" s="1473" t="s">
        <v>3112</v>
      </c>
    </row>
    <row r="209" spans="1:12" ht="30" customHeight="1" x14ac:dyDescent="0.2">
      <c r="A209" s="1462">
        <v>134</v>
      </c>
      <c r="B209" s="1514" t="s">
        <v>166</v>
      </c>
      <c r="C209" s="1518"/>
      <c r="D209" s="1489">
        <v>110000000</v>
      </c>
      <c r="E209" s="1516">
        <v>0.04</v>
      </c>
      <c r="F209" s="1489">
        <f t="shared" si="19"/>
        <v>4400000</v>
      </c>
      <c r="G209" s="1469">
        <v>4400000</v>
      </c>
      <c r="H209" s="1469" t="s">
        <v>3485</v>
      </c>
      <c r="I209" s="21" t="s">
        <v>510</v>
      </c>
      <c r="J209" s="1467">
        <f t="shared" si="18"/>
        <v>4400000</v>
      </c>
      <c r="K209" s="1467">
        <f>F209-J209</f>
        <v>0</v>
      </c>
      <c r="L209" s="1484"/>
    </row>
    <row r="210" spans="1:12" ht="30" customHeight="1" x14ac:dyDescent="0.2">
      <c r="A210" s="4459">
        <v>135</v>
      </c>
      <c r="B210" s="4457" t="s">
        <v>6</v>
      </c>
      <c r="C210" s="1518" t="s">
        <v>392</v>
      </c>
      <c r="D210" s="1469">
        <v>100000000</v>
      </c>
      <c r="E210" s="1516">
        <v>0.05</v>
      </c>
      <c r="F210" s="1469">
        <f t="shared" si="19"/>
        <v>5000000</v>
      </c>
      <c r="G210" s="1469">
        <v>5000000</v>
      </c>
      <c r="H210" s="1469" t="s">
        <v>3427</v>
      </c>
      <c r="I210" s="26" t="s">
        <v>2196</v>
      </c>
      <c r="J210" s="4413">
        <f>G210+G211</f>
        <v>11000000</v>
      </c>
      <c r="K210" s="4413">
        <f>(F210+F211)-J210</f>
        <v>0</v>
      </c>
      <c r="L210" s="4599"/>
    </row>
    <row r="211" spans="1:12" ht="30" customHeight="1" x14ac:dyDescent="0.2">
      <c r="A211" s="4460"/>
      <c r="B211" s="4458"/>
      <c r="C211" s="1518" t="s">
        <v>1299</v>
      </c>
      <c r="D211" s="1469">
        <v>124000000</v>
      </c>
      <c r="E211" s="1516">
        <v>4.9000000000000002E-2</v>
      </c>
      <c r="F211" s="1469">
        <v>6000000</v>
      </c>
      <c r="G211" s="1469">
        <v>6000000</v>
      </c>
      <c r="H211" s="1469" t="s">
        <v>3692</v>
      </c>
      <c r="I211" s="52" t="s">
        <v>1549</v>
      </c>
      <c r="J211" s="4415"/>
      <c r="K211" s="4415"/>
      <c r="L211" s="4607"/>
    </row>
    <row r="212" spans="1:12" ht="30" customHeight="1" x14ac:dyDescent="0.2">
      <c r="A212" s="1519">
        <v>136</v>
      </c>
      <c r="B212" s="1517" t="s">
        <v>257</v>
      </c>
      <c r="C212" s="1488"/>
      <c r="D212" s="1478"/>
      <c r="E212" s="40"/>
      <c r="F212" s="1478">
        <f t="shared" si="19"/>
        <v>0</v>
      </c>
      <c r="G212" s="1469"/>
      <c r="H212" s="1469"/>
      <c r="I212" s="24"/>
      <c r="J212" s="1469"/>
      <c r="K212" s="1478">
        <f>F212-J212</f>
        <v>0</v>
      </c>
      <c r="L212" s="1473" t="s">
        <v>3162</v>
      </c>
    </row>
    <row r="213" spans="1:12" ht="30" customHeight="1" x14ac:dyDescent="0.2">
      <c r="A213" s="4459">
        <v>137</v>
      </c>
      <c r="B213" s="4457" t="s">
        <v>179</v>
      </c>
      <c r="C213" s="4537" t="s">
        <v>1176</v>
      </c>
      <c r="D213" s="1469">
        <v>210000000</v>
      </c>
      <c r="E213" s="1516">
        <f>F213/D213</f>
        <v>4.8571428571428571E-2</v>
      </c>
      <c r="F213" s="1469">
        <v>10200000</v>
      </c>
      <c r="G213" s="1469"/>
      <c r="H213" s="1469"/>
      <c r="I213" s="24"/>
      <c r="J213" s="1469">
        <f>G213</f>
        <v>0</v>
      </c>
      <c r="K213" s="1469">
        <f>F213-J213</f>
        <v>10200000</v>
      </c>
      <c r="L213" s="1473"/>
    </row>
    <row r="214" spans="1:12" ht="30" customHeight="1" x14ac:dyDescent="0.2">
      <c r="A214" s="4464"/>
      <c r="B214" s="4488"/>
      <c r="C214" s="4540"/>
      <c r="D214" s="1648">
        <v>210000000</v>
      </c>
      <c r="E214" s="1654">
        <v>4.9000000000000002E-2</v>
      </c>
      <c r="F214" s="1648">
        <v>10200000</v>
      </c>
      <c r="G214" s="1648">
        <v>10200000</v>
      </c>
      <c r="H214" s="1648" t="s">
        <v>3531</v>
      </c>
      <c r="I214" s="234" t="s">
        <v>1711</v>
      </c>
      <c r="J214" s="1648">
        <f>G214</f>
        <v>10200000</v>
      </c>
      <c r="K214" s="1648">
        <f>F214-J214</f>
        <v>0</v>
      </c>
      <c r="L214" s="1582"/>
    </row>
    <row r="215" spans="1:12" ht="30" customHeight="1" x14ac:dyDescent="0.2">
      <c r="A215" s="4464"/>
      <c r="B215" s="4488"/>
      <c r="C215" s="4540"/>
      <c r="D215" s="4612" t="s">
        <v>3498</v>
      </c>
      <c r="E215" s="4359"/>
      <c r="F215" s="4613"/>
      <c r="G215" s="1641">
        <v>100000000</v>
      </c>
      <c r="H215" s="1641" t="s">
        <v>3485</v>
      </c>
      <c r="I215" s="1611" t="s">
        <v>1711</v>
      </c>
      <c r="J215" s="1641">
        <f>G215</f>
        <v>100000000</v>
      </c>
      <c r="K215" s="1648"/>
      <c r="L215" s="1644"/>
    </row>
    <row r="216" spans="1:12" ht="30" customHeight="1" x14ac:dyDescent="0.2">
      <c r="A216" s="4460"/>
      <c r="B216" s="4458"/>
      <c r="C216" s="4538"/>
      <c r="D216" s="1590">
        <v>110000000</v>
      </c>
      <c r="E216" s="1599">
        <v>4.9000000000000002E-2</v>
      </c>
      <c r="F216" s="1590">
        <f>D216*E216</f>
        <v>5390000</v>
      </c>
      <c r="G216" s="4838" t="s">
        <v>3445</v>
      </c>
      <c r="H216" s="4838"/>
      <c r="I216" s="4838"/>
      <c r="J216" s="4838"/>
      <c r="K216" s="1648"/>
      <c r="L216" s="1582"/>
    </row>
    <row r="217" spans="1:12" ht="30" customHeight="1" x14ac:dyDescent="0.2">
      <c r="A217" s="4459">
        <v>138</v>
      </c>
      <c r="B217" s="4457" t="s">
        <v>259</v>
      </c>
      <c r="C217" s="4537" t="s">
        <v>1172</v>
      </c>
      <c r="D217" s="4413">
        <v>1000000000</v>
      </c>
      <c r="E217" s="4512">
        <v>0.06</v>
      </c>
      <c r="F217" s="4506">
        <f t="shared" si="19"/>
        <v>60000000</v>
      </c>
      <c r="G217" s="1580">
        <v>30000000</v>
      </c>
      <c r="H217" s="4413" t="s">
        <v>3440</v>
      </c>
      <c r="I217" s="4478" t="s">
        <v>529</v>
      </c>
      <c r="J217" s="4413">
        <f>G217+G218</f>
        <v>50000000</v>
      </c>
      <c r="K217" s="4413">
        <f>F217-J217</f>
        <v>10000000</v>
      </c>
      <c r="L217" s="4599"/>
    </row>
    <row r="218" spans="1:12" ht="30" customHeight="1" x14ac:dyDescent="0.2">
      <c r="A218" s="4464"/>
      <c r="B218" s="4488"/>
      <c r="C218" s="4540"/>
      <c r="D218" s="4414"/>
      <c r="E218" s="4513"/>
      <c r="F218" s="4507"/>
      <c r="G218" s="1590">
        <v>20000000</v>
      </c>
      <c r="H218" s="4415"/>
      <c r="I218" s="4479"/>
      <c r="J218" s="4415"/>
      <c r="K218" s="4415"/>
      <c r="L218" s="4600"/>
    </row>
    <row r="219" spans="1:12" ht="30" customHeight="1" x14ac:dyDescent="0.2">
      <c r="A219" s="4464"/>
      <c r="B219" s="4488"/>
      <c r="C219" s="4540"/>
      <c r="D219" s="4414"/>
      <c r="E219" s="4513"/>
      <c r="F219" s="4507"/>
      <c r="G219" s="233"/>
      <c r="H219" s="233"/>
      <c r="I219" s="233"/>
      <c r="J219" s="1469"/>
      <c r="K219" s="1469"/>
      <c r="L219" s="2909" t="s">
        <v>3442</v>
      </c>
    </row>
    <row r="220" spans="1:12" ht="30" customHeight="1" x14ac:dyDescent="0.2">
      <c r="A220" s="4464"/>
      <c r="B220" s="4488"/>
      <c r="C220" s="4540"/>
      <c r="D220" s="4414"/>
      <c r="E220" s="4513"/>
      <c r="F220" s="4507"/>
      <c r="G220" s="233"/>
      <c r="H220" s="233"/>
      <c r="I220" s="233"/>
      <c r="J220" s="1469"/>
      <c r="K220" s="1469"/>
      <c r="L220" s="1517"/>
    </row>
    <row r="221" spans="1:12" ht="30" customHeight="1" x14ac:dyDescent="0.2">
      <c r="A221" s="4464"/>
      <c r="B221" s="4488"/>
      <c r="C221" s="4540"/>
      <c r="D221" s="4414"/>
      <c r="E221" s="4513"/>
      <c r="F221" s="4507"/>
      <c r="G221" s="233"/>
      <c r="H221" s="233"/>
      <c r="I221" s="233"/>
      <c r="J221" s="1469"/>
      <c r="K221" s="1469"/>
      <c r="L221" s="1517"/>
    </row>
    <row r="222" spans="1:12" ht="30" customHeight="1" x14ac:dyDescent="0.2">
      <c r="A222" s="4460"/>
      <c r="B222" s="4458"/>
      <c r="C222" s="4538"/>
      <c r="D222" s="4415"/>
      <c r="E222" s="4514"/>
      <c r="F222" s="4508"/>
      <c r="G222" s="1175"/>
      <c r="H222" s="1175"/>
      <c r="I222" s="1175"/>
      <c r="J222" s="1469"/>
      <c r="K222" s="1469"/>
      <c r="L222" s="1517"/>
    </row>
    <row r="223" spans="1:12" ht="30" customHeight="1" x14ac:dyDescent="0.2">
      <c r="A223" s="1519">
        <v>139</v>
      </c>
      <c r="B223" s="19" t="s">
        <v>160</v>
      </c>
      <c r="C223" s="1488" t="s">
        <v>1718</v>
      </c>
      <c r="D223" s="1489">
        <v>110000000</v>
      </c>
      <c r="E223" s="1516">
        <v>0.05</v>
      </c>
      <c r="F223" s="1489">
        <f t="shared" si="19"/>
        <v>5500000</v>
      </c>
      <c r="G223" s="1469">
        <v>5500000</v>
      </c>
      <c r="H223" s="1469" t="s">
        <v>3485</v>
      </c>
      <c r="I223" s="26" t="s">
        <v>2757</v>
      </c>
      <c r="J223" s="1489">
        <f>G223</f>
        <v>5500000</v>
      </c>
      <c r="K223" s="1489">
        <f>F223-J223</f>
        <v>0</v>
      </c>
      <c r="L223" s="19"/>
    </row>
    <row r="224" spans="1:12" ht="30" customHeight="1" x14ac:dyDescent="0.2">
      <c r="A224" s="1519"/>
      <c r="B224" s="19" t="s">
        <v>2270</v>
      </c>
      <c r="C224" s="1488" t="s">
        <v>262</v>
      </c>
      <c r="D224" s="1489">
        <v>50000000</v>
      </c>
      <c r="E224" s="1516">
        <v>0.05</v>
      </c>
      <c r="F224" s="1489">
        <f>D224*E224</f>
        <v>2500000</v>
      </c>
      <c r="G224" s="1469">
        <v>2500000</v>
      </c>
      <c r="H224" s="1469" t="s">
        <v>3558</v>
      </c>
      <c r="I224" s="26" t="s">
        <v>1734</v>
      </c>
      <c r="J224" s="1489">
        <f>G224</f>
        <v>2500000</v>
      </c>
      <c r="K224" s="1489">
        <f>F224-J224</f>
        <v>0</v>
      </c>
      <c r="L224" s="19"/>
    </row>
    <row r="225" spans="1:12" ht="30" customHeight="1" x14ac:dyDescent="0.2">
      <c r="A225" s="1519">
        <v>140</v>
      </c>
      <c r="B225" s="1517" t="s">
        <v>533</v>
      </c>
      <c r="C225" s="1488" t="s">
        <v>372</v>
      </c>
      <c r="D225" s="1469">
        <v>150000000</v>
      </c>
      <c r="E225" s="1516">
        <v>0.04</v>
      </c>
      <c r="F225" s="1469">
        <f t="shared" si="19"/>
        <v>6000000</v>
      </c>
      <c r="G225" s="1469">
        <v>6000000</v>
      </c>
      <c r="H225" s="1469" t="s">
        <v>3485</v>
      </c>
      <c r="I225" s="18" t="s">
        <v>2682</v>
      </c>
      <c r="J225" s="1469">
        <f>G225</f>
        <v>6000000</v>
      </c>
      <c r="K225" s="1469">
        <f>F225-J225</f>
        <v>0</v>
      </c>
      <c r="L225" s="1517"/>
    </row>
    <row r="226" spans="1:12" ht="30" customHeight="1" x14ac:dyDescent="0.2">
      <c r="A226" s="1519">
        <v>141</v>
      </c>
      <c r="B226" s="1517" t="s">
        <v>7</v>
      </c>
      <c r="C226" s="1488"/>
      <c r="D226" s="1469">
        <v>30000000</v>
      </c>
      <c r="E226" s="1516">
        <v>0.05</v>
      </c>
      <c r="F226" s="1469">
        <f t="shared" si="19"/>
        <v>1500000</v>
      </c>
      <c r="G226" s="1469"/>
      <c r="H226" s="1469"/>
      <c r="I226" s="21"/>
      <c r="J226" s="1469">
        <f>G226</f>
        <v>0</v>
      </c>
      <c r="K226" s="1469">
        <f>F226-J226</f>
        <v>1500000</v>
      </c>
      <c r="L226" s="1517"/>
    </row>
    <row r="227" spans="1:12" ht="30" customHeight="1" x14ac:dyDescent="0.2">
      <c r="A227" s="4459">
        <v>142</v>
      </c>
      <c r="B227" s="4599" t="s">
        <v>8</v>
      </c>
      <c r="C227" s="4537"/>
      <c r="D227" s="4413">
        <v>2000000000</v>
      </c>
      <c r="E227" s="4476">
        <v>0.08</v>
      </c>
      <c r="F227" s="4413">
        <f>D227*E227</f>
        <v>160000000</v>
      </c>
      <c r="G227" s="233"/>
      <c r="H227" s="233"/>
      <c r="I227" s="233"/>
      <c r="J227" s="4413">
        <f>SUM(G228:G233)</f>
        <v>102000000</v>
      </c>
      <c r="K227" s="4413">
        <f>160000000-J227</f>
        <v>58000000</v>
      </c>
      <c r="L227" s="4492" t="s">
        <v>3378</v>
      </c>
    </row>
    <row r="228" spans="1:12" ht="30" customHeight="1" x14ac:dyDescent="0.2">
      <c r="A228" s="4464"/>
      <c r="B228" s="4600"/>
      <c r="C228" s="4540"/>
      <c r="D228" s="4414"/>
      <c r="E228" s="4516"/>
      <c r="F228" s="4414"/>
      <c r="G228" s="2555">
        <v>30000000</v>
      </c>
      <c r="H228" s="1469" t="s">
        <v>3558</v>
      </c>
      <c r="I228" s="1513" t="s">
        <v>1937</v>
      </c>
      <c r="J228" s="4414"/>
      <c r="K228" s="4414"/>
      <c r="L228" s="4684"/>
    </row>
    <row r="229" spans="1:12" ht="30" customHeight="1" x14ac:dyDescent="0.2">
      <c r="A229" s="4464"/>
      <c r="B229" s="4600"/>
      <c r="C229" s="4540"/>
      <c r="D229" s="4414"/>
      <c r="E229" s="4516"/>
      <c r="F229" s="4414"/>
      <c r="G229" s="2556">
        <v>23000000</v>
      </c>
      <c r="H229" s="1724" t="s">
        <v>3676</v>
      </c>
      <c r="I229" s="1724" t="s">
        <v>1937</v>
      </c>
      <c r="J229" s="4414"/>
      <c r="K229" s="4414"/>
      <c r="L229" s="4684"/>
    </row>
    <row r="230" spans="1:12" ht="30" customHeight="1" x14ac:dyDescent="0.2">
      <c r="A230" s="4464"/>
      <c r="B230" s="4600"/>
      <c r="C230" s="4540"/>
      <c r="D230" s="4414"/>
      <c r="E230" s="4516"/>
      <c r="F230" s="4414"/>
      <c r="G230" s="2556">
        <v>10000000</v>
      </c>
      <c r="H230" s="1718" t="s">
        <v>3676</v>
      </c>
      <c r="I230" s="1724" t="s">
        <v>1937</v>
      </c>
      <c r="J230" s="4414"/>
      <c r="K230" s="4414"/>
      <c r="L230" s="4684"/>
    </row>
    <row r="231" spans="1:12" ht="30" customHeight="1" x14ac:dyDescent="0.2">
      <c r="A231" s="4464"/>
      <c r="B231" s="4600"/>
      <c r="C231" s="4540"/>
      <c r="D231" s="4414"/>
      <c r="E231" s="4516"/>
      <c r="F231" s="4414"/>
      <c r="G231" s="1469">
        <v>17000000</v>
      </c>
      <c r="H231" s="1469" t="s">
        <v>3676</v>
      </c>
      <c r="I231" s="1513" t="s">
        <v>537</v>
      </c>
      <c r="J231" s="4414"/>
      <c r="K231" s="4414"/>
      <c r="L231" s="4684"/>
    </row>
    <row r="232" spans="1:12" ht="30" customHeight="1" x14ac:dyDescent="0.2">
      <c r="A232" s="4464"/>
      <c r="B232" s="4600"/>
      <c r="C232" s="4540"/>
      <c r="D232" s="4414"/>
      <c r="E232" s="4516"/>
      <c r="F232" s="4414"/>
      <c r="G232" s="1469">
        <v>10000000</v>
      </c>
      <c r="H232" s="1469" t="s">
        <v>3731</v>
      </c>
      <c r="I232" s="1513" t="s">
        <v>3733</v>
      </c>
      <c r="J232" s="4414"/>
      <c r="K232" s="4414"/>
      <c r="L232" s="4684"/>
    </row>
    <row r="233" spans="1:12" ht="30" customHeight="1" x14ac:dyDescent="0.2">
      <c r="A233" s="4464"/>
      <c r="B233" s="4600"/>
      <c r="C233" s="4540"/>
      <c r="D233" s="4414"/>
      <c r="E233" s="4516"/>
      <c r="F233" s="4414"/>
      <c r="G233" s="2556">
        <v>12000000</v>
      </c>
      <c r="H233" s="1469" t="s">
        <v>3731</v>
      </c>
      <c r="I233" s="384" t="s">
        <v>1937</v>
      </c>
      <c r="J233" s="4414"/>
      <c r="K233" s="4414"/>
      <c r="L233" s="4684"/>
    </row>
    <row r="234" spans="1:12" ht="30" customHeight="1" x14ac:dyDescent="0.2">
      <c r="A234" s="4464"/>
      <c r="B234" s="4600"/>
      <c r="C234" s="4540"/>
      <c r="D234" s="4414"/>
      <c r="E234" s="4516"/>
      <c r="F234" s="4414"/>
      <c r="G234" s="1469"/>
      <c r="H234" s="1469"/>
      <c r="I234" s="1513"/>
      <c r="J234" s="4414"/>
      <c r="K234" s="4414"/>
      <c r="L234" s="4684"/>
    </row>
    <row r="235" spans="1:12" ht="30" customHeight="1" x14ac:dyDescent="0.2">
      <c r="A235" s="4464"/>
      <c r="B235" s="4600"/>
      <c r="C235" s="4540"/>
      <c r="D235" s="4414"/>
      <c r="E235" s="4516"/>
      <c r="F235" s="4414"/>
      <c r="G235" s="1469"/>
      <c r="H235" s="1469"/>
      <c r="I235" s="1513"/>
      <c r="J235" s="4414"/>
      <c r="K235" s="4414"/>
      <c r="L235" s="4684"/>
    </row>
    <row r="236" spans="1:12" ht="30" customHeight="1" x14ac:dyDescent="0.2">
      <c r="A236" s="4460"/>
      <c r="B236" s="4607"/>
      <c r="C236" s="4538"/>
      <c r="D236" s="4415"/>
      <c r="E236" s="4477"/>
      <c r="F236" s="4415"/>
      <c r="G236" s="1469"/>
      <c r="H236" s="1469"/>
      <c r="I236" s="1513"/>
      <c r="J236" s="4415"/>
      <c r="K236" s="4415"/>
      <c r="L236" s="4493"/>
    </row>
    <row r="237" spans="1:12" ht="30" customHeight="1" x14ac:dyDescent="0.2">
      <c r="A237" s="1519">
        <v>143</v>
      </c>
      <c r="B237" s="1517" t="s">
        <v>9</v>
      </c>
      <c r="C237" s="1488"/>
      <c r="D237" s="1469">
        <v>50000000</v>
      </c>
      <c r="E237" s="1516">
        <v>0.04</v>
      </c>
      <c r="F237" s="1469">
        <f t="shared" si="19"/>
        <v>2000000</v>
      </c>
      <c r="G237" s="1469">
        <v>2000000</v>
      </c>
      <c r="H237" s="1469" t="s">
        <v>3463</v>
      </c>
      <c r="I237" s="26" t="s">
        <v>2930</v>
      </c>
      <c r="J237" s="1469">
        <f>G237</f>
        <v>2000000</v>
      </c>
      <c r="K237" s="1469">
        <f>F237-J237</f>
        <v>0</v>
      </c>
      <c r="L237" s="97" t="s">
        <v>3337</v>
      </c>
    </row>
    <row r="238" spans="1:12" ht="30" customHeight="1" x14ac:dyDescent="0.2">
      <c r="A238" s="1519">
        <v>144</v>
      </c>
      <c r="B238" s="1517" t="s">
        <v>514</v>
      </c>
      <c r="C238" s="1488"/>
      <c r="D238" s="1469">
        <v>5000000</v>
      </c>
      <c r="E238" s="1516">
        <v>0.05</v>
      </c>
      <c r="F238" s="1469">
        <f t="shared" si="19"/>
        <v>250000</v>
      </c>
      <c r="G238" s="1469">
        <v>250000</v>
      </c>
      <c r="H238" s="1469" t="s">
        <v>3427</v>
      </c>
      <c r="I238" s="21" t="s">
        <v>3433</v>
      </c>
      <c r="J238" s="1469">
        <f>G238</f>
        <v>250000</v>
      </c>
      <c r="K238" s="1469">
        <f>F238-J238</f>
        <v>0</v>
      </c>
      <c r="L238" s="1517"/>
    </row>
    <row r="239" spans="1:12" ht="30" customHeight="1" x14ac:dyDescent="0.2">
      <c r="A239" s="1519">
        <v>145</v>
      </c>
      <c r="B239" s="1517" t="s">
        <v>10</v>
      </c>
      <c r="C239" s="1488" t="s">
        <v>1172</v>
      </c>
      <c r="D239" s="1469">
        <v>105000000</v>
      </c>
      <c r="E239" s="1516">
        <v>0.04</v>
      </c>
      <c r="F239" s="1469">
        <f t="shared" si="19"/>
        <v>4200000</v>
      </c>
      <c r="G239" s="1469">
        <v>4200000</v>
      </c>
      <c r="H239" s="1469" t="s">
        <v>3485</v>
      </c>
      <c r="I239" s="18" t="s">
        <v>3525</v>
      </c>
      <c r="J239" s="1469">
        <f>G239</f>
        <v>4200000</v>
      </c>
      <c r="K239" s="1469">
        <f>F239-J239</f>
        <v>0</v>
      </c>
      <c r="L239" s="1517"/>
    </row>
    <row r="240" spans="1:12" ht="30" customHeight="1" x14ac:dyDescent="0.2">
      <c r="A240" s="1519">
        <v>146</v>
      </c>
      <c r="B240" s="1517" t="s">
        <v>11</v>
      </c>
      <c r="C240" s="1488"/>
      <c r="D240" s="1469">
        <v>50000000</v>
      </c>
      <c r="E240" s="1516">
        <v>4.4999999999999998E-2</v>
      </c>
      <c r="F240" s="1469">
        <f t="shared" si="19"/>
        <v>2250000</v>
      </c>
      <c r="G240" s="1469"/>
      <c r="H240" s="1469"/>
      <c r="I240" s="21"/>
      <c r="J240" s="1469"/>
      <c r="K240" s="1469">
        <f>F240-J240</f>
        <v>2250000</v>
      </c>
      <c r="L240" s="1517"/>
    </row>
    <row r="241" spans="1:16" ht="30" customHeight="1" x14ac:dyDescent="0.2">
      <c r="A241" s="1519">
        <v>147</v>
      </c>
      <c r="B241" s="4457" t="s">
        <v>12</v>
      </c>
      <c r="C241" s="4537" t="s">
        <v>1295</v>
      </c>
      <c r="D241" s="1469">
        <v>30000000</v>
      </c>
      <c r="E241" s="1516">
        <v>0.04</v>
      </c>
      <c r="F241" s="1469">
        <f t="shared" si="19"/>
        <v>1200000</v>
      </c>
      <c r="G241" s="1888">
        <v>1960000</v>
      </c>
      <c r="H241" s="1888" t="s">
        <v>3417</v>
      </c>
      <c r="I241" s="26" t="s">
        <v>3419</v>
      </c>
      <c r="J241" s="1888">
        <f>G241</f>
        <v>1960000</v>
      </c>
      <c r="K241" s="1887">
        <f>F241-J241</f>
        <v>-760000</v>
      </c>
      <c r="L241" s="4824"/>
    </row>
    <row r="242" spans="1:16" ht="30" customHeight="1" x14ac:dyDescent="0.2">
      <c r="A242" s="1883"/>
      <c r="B242" s="4488"/>
      <c r="C242" s="4540"/>
      <c r="D242" s="1886">
        <v>10000000</v>
      </c>
      <c r="E242" s="1889">
        <v>0.04</v>
      </c>
      <c r="F242" s="1886">
        <f t="shared" si="19"/>
        <v>400000</v>
      </c>
      <c r="G242" s="4325" t="s">
        <v>3874</v>
      </c>
      <c r="H242" s="4326"/>
      <c r="I242" s="4326"/>
      <c r="J242" s="4563"/>
      <c r="K242" s="178"/>
      <c r="L242" s="4825"/>
    </row>
    <row r="243" spans="1:16" ht="30" customHeight="1" x14ac:dyDescent="0.2">
      <c r="A243" s="1883"/>
      <c r="B243" s="4488"/>
      <c r="C243" s="4540"/>
      <c r="D243" s="1886">
        <v>10000000</v>
      </c>
      <c r="E243" s="1889">
        <v>0.04</v>
      </c>
      <c r="F243" s="1886">
        <f t="shared" si="19"/>
        <v>400000</v>
      </c>
      <c r="G243" s="4325" t="s">
        <v>3875</v>
      </c>
      <c r="H243" s="4326"/>
      <c r="I243" s="4326"/>
      <c r="J243" s="4563"/>
      <c r="K243" s="178"/>
      <c r="L243" s="4825"/>
    </row>
    <row r="244" spans="1:16" ht="30" customHeight="1" x14ac:dyDescent="0.2">
      <c r="A244" s="1556"/>
      <c r="B244" s="4458"/>
      <c r="C244" s="4538"/>
      <c r="D244" s="1886">
        <v>10000000</v>
      </c>
      <c r="E244" s="1889">
        <v>0.04</v>
      </c>
      <c r="F244" s="1886">
        <f t="shared" si="19"/>
        <v>400000</v>
      </c>
      <c r="G244" s="4325" t="s">
        <v>3875</v>
      </c>
      <c r="H244" s="4326"/>
      <c r="I244" s="4326"/>
      <c r="J244" s="4563"/>
      <c r="K244" s="7"/>
      <c r="L244" s="4826"/>
    </row>
    <row r="245" spans="1:16" ht="30" customHeight="1" x14ac:dyDescent="0.2">
      <c r="A245" s="1462">
        <v>148</v>
      </c>
      <c r="B245" s="1514" t="s">
        <v>13</v>
      </c>
      <c r="C245" s="1518" t="s">
        <v>1497</v>
      </c>
      <c r="D245" s="1489">
        <v>55000000</v>
      </c>
      <c r="E245" s="1516">
        <v>0.05</v>
      </c>
      <c r="F245" s="1489">
        <f t="shared" si="19"/>
        <v>2750000</v>
      </c>
      <c r="G245" s="1489">
        <v>2750000</v>
      </c>
      <c r="H245" s="1489" t="s">
        <v>3558</v>
      </c>
      <c r="I245" s="1513" t="s">
        <v>3569</v>
      </c>
      <c r="J245" s="1489">
        <f t="shared" ref="J245:J251" si="20">G245</f>
        <v>2750000</v>
      </c>
      <c r="K245" s="1489">
        <f t="shared" ref="K245:K252" si="21">F245-J245</f>
        <v>0</v>
      </c>
      <c r="L245" s="1484"/>
    </row>
    <row r="246" spans="1:16" ht="30" customHeight="1" x14ac:dyDescent="0.2">
      <c r="A246" s="1519">
        <v>149</v>
      </c>
      <c r="B246" s="1517" t="s">
        <v>14</v>
      </c>
      <c r="C246" s="1488" t="s">
        <v>1291</v>
      </c>
      <c r="D246" s="1469">
        <v>80000000</v>
      </c>
      <c r="E246" s="1466">
        <v>0.05</v>
      </c>
      <c r="F246" s="1469">
        <f t="shared" si="19"/>
        <v>4000000</v>
      </c>
      <c r="G246" s="1469">
        <v>4000000</v>
      </c>
      <c r="H246" s="1469" t="s">
        <v>3682</v>
      </c>
      <c r="I246" s="382" t="s">
        <v>3683</v>
      </c>
      <c r="J246" s="1469">
        <f t="shared" si="20"/>
        <v>4000000</v>
      </c>
      <c r="K246" s="1469">
        <f t="shared" si="21"/>
        <v>0</v>
      </c>
      <c r="L246" s="159" t="s">
        <v>357</v>
      </c>
    </row>
    <row r="247" spans="1:16" ht="30" customHeight="1" x14ac:dyDescent="0.2">
      <c r="A247" s="1519">
        <v>150</v>
      </c>
      <c r="B247" s="1517" t="s">
        <v>15</v>
      </c>
      <c r="C247" s="1488" t="s">
        <v>1294</v>
      </c>
      <c r="D247" s="1478"/>
      <c r="E247" s="40"/>
      <c r="F247" s="1478">
        <f t="shared" si="19"/>
        <v>0</v>
      </c>
      <c r="G247" s="1469">
        <v>6400000</v>
      </c>
      <c r="H247" s="1469" t="s">
        <v>3692</v>
      </c>
      <c r="I247" s="21" t="s">
        <v>2986</v>
      </c>
      <c r="J247" s="1469">
        <f t="shared" si="20"/>
        <v>6400000</v>
      </c>
      <c r="K247" s="1478">
        <f t="shared" si="21"/>
        <v>-6400000</v>
      </c>
      <c r="L247" s="1473" t="s">
        <v>2987</v>
      </c>
    </row>
    <row r="248" spans="1:16" ht="30" customHeight="1" x14ac:dyDescent="0.2">
      <c r="A248" s="1519">
        <v>151</v>
      </c>
      <c r="B248" s="1517" t="s">
        <v>16</v>
      </c>
      <c r="C248" s="1488" t="s">
        <v>1107</v>
      </c>
      <c r="D248" s="1469">
        <v>180000000</v>
      </c>
      <c r="E248" s="1516">
        <v>0.05</v>
      </c>
      <c r="F248" s="1469">
        <f t="shared" si="19"/>
        <v>9000000</v>
      </c>
      <c r="G248" s="1469">
        <v>9000000</v>
      </c>
      <c r="H248" s="1469" t="s">
        <v>3692</v>
      </c>
      <c r="I248" s="21" t="s">
        <v>2149</v>
      </c>
      <c r="J248" s="1469">
        <f t="shared" si="20"/>
        <v>9000000</v>
      </c>
      <c r="K248" s="1469">
        <f t="shared" si="21"/>
        <v>0</v>
      </c>
      <c r="L248" s="1517"/>
    </row>
    <row r="249" spans="1:16" ht="30" customHeight="1" x14ac:dyDescent="0.2">
      <c r="A249" s="1519">
        <v>152</v>
      </c>
      <c r="B249" s="1517" t="s">
        <v>1115</v>
      </c>
      <c r="C249" s="1488" t="s">
        <v>3007</v>
      </c>
      <c r="D249" s="1469">
        <v>35000000</v>
      </c>
      <c r="E249" s="1516">
        <v>4.7E-2</v>
      </c>
      <c r="F249" s="1469">
        <v>1650000</v>
      </c>
      <c r="G249" s="1469">
        <v>1650000</v>
      </c>
      <c r="H249" s="1469" t="s">
        <v>3692</v>
      </c>
      <c r="I249" s="21" t="s">
        <v>3703</v>
      </c>
      <c r="J249" s="1469">
        <f t="shared" si="20"/>
        <v>1650000</v>
      </c>
      <c r="K249" s="1469">
        <f t="shared" si="21"/>
        <v>0</v>
      </c>
      <c r="L249" s="1517"/>
    </row>
    <row r="250" spans="1:16" ht="30" customHeight="1" x14ac:dyDescent="0.2">
      <c r="A250" s="1519">
        <v>153</v>
      </c>
      <c r="B250" s="1517" t="s">
        <v>17</v>
      </c>
      <c r="C250" s="1488"/>
      <c r="D250" s="1469">
        <v>30000000</v>
      </c>
      <c r="E250" s="1516">
        <v>0.04</v>
      </c>
      <c r="F250" s="1469">
        <f t="shared" si="19"/>
        <v>1200000</v>
      </c>
      <c r="G250" s="1469">
        <v>1200000</v>
      </c>
      <c r="H250" s="1469" t="s">
        <v>3692</v>
      </c>
      <c r="I250" s="21" t="s">
        <v>3700</v>
      </c>
      <c r="J250" s="1469">
        <f t="shared" si="20"/>
        <v>1200000</v>
      </c>
      <c r="K250" s="1469">
        <f t="shared" si="21"/>
        <v>0</v>
      </c>
      <c r="L250" s="1517"/>
    </row>
    <row r="251" spans="1:16" ht="30" customHeight="1" x14ac:dyDescent="0.2">
      <c r="A251" s="1519">
        <v>154</v>
      </c>
      <c r="B251" s="1517" t="s">
        <v>18</v>
      </c>
      <c r="C251" s="1488" t="s">
        <v>1796</v>
      </c>
      <c r="D251" s="1469">
        <v>15000000</v>
      </c>
      <c r="E251" s="1516">
        <v>7.0000000000000007E-2</v>
      </c>
      <c r="F251" s="1469">
        <f t="shared" si="19"/>
        <v>1050000</v>
      </c>
      <c r="G251" s="1469">
        <v>1050000</v>
      </c>
      <c r="H251" s="1469" t="s">
        <v>3507</v>
      </c>
      <c r="I251" s="21" t="s">
        <v>1278</v>
      </c>
      <c r="J251" s="1469">
        <f t="shared" si="20"/>
        <v>1050000</v>
      </c>
      <c r="K251" s="1469">
        <f t="shared" si="21"/>
        <v>0</v>
      </c>
      <c r="L251" s="1517"/>
    </row>
    <row r="252" spans="1:16" ht="30" customHeight="1" x14ac:dyDescent="0.2">
      <c r="A252" s="1519">
        <v>155</v>
      </c>
      <c r="B252" s="1517" t="s">
        <v>19</v>
      </c>
      <c r="C252" s="1488"/>
      <c r="D252" s="1478"/>
      <c r="E252" s="40"/>
      <c r="F252" s="1478">
        <f t="shared" si="19"/>
        <v>0</v>
      </c>
      <c r="G252" s="1469"/>
      <c r="H252" s="1469"/>
      <c r="I252" s="21"/>
      <c r="J252" s="1469"/>
      <c r="K252" s="1478">
        <f t="shared" si="21"/>
        <v>0</v>
      </c>
      <c r="L252" s="1517"/>
    </row>
    <row r="253" spans="1:16" ht="30" customHeight="1" x14ac:dyDescent="0.2">
      <c r="A253" s="1462">
        <v>156</v>
      </c>
      <c r="B253" s="1514" t="s">
        <v>20</v>
      </c>
      <c r="C253" s="378"/>
      <c r="D253" s="1489">
        <v>50000000</v>
      </c>
      <c r="E253" s="1516">
        <v>0.04</v>
      </c>
      <c r="F253" s="1489">
        <f t="shared" si="19"/>
        <v>2000000</v>
      </c>
      <c r="G253" s="1469">
        <v>2000000</v>
      </c>
      <c r="H253" s="1469" t="s">
        <v>3660</v>
      </c>
      <c r="I253" s="18" t="s">
        <v>3664</v>
      </c>
      <c r="J253" s="1489">
        <f>G253</f>
        <v>2000000</v>
      </c>
      <c r="K253" s="1489">
        <f>F253-500000</f>
        <v>1500000</v>
      </c>
      <c r="L253" s="1473" t="s">
        <v>3665</v>
      </c>
    </row>
    <row r="254" spans="1:16" ht="30" customHeight="1" x14ac:dyDescent="0.2">
      <c r="A254" s="1519">
        <v>157</v>
      </c>
      <c r="B254" s="1517" t="s">
        <v>21</v>
      </c>
      <c r="C254" s="1488" t="s">
        <v>1294</v>
      </c>
      <c r="D254" s="1469">
        <v>20000000</v>
      </c>
      <c r="E254" s="1466">
        <v>0.05</v>
      </c>
      <c r="F254" s="1469">
        <f t="shared" si="19"/>
        <v>1000000</v>
      </c>
      <c r="G254" s="1469">
        <v>1000000</v>
      </c>
      <c r="H254" s="1469" t="s">
        <v>3676</v>
      </c>
      <c r="I254" s="21" t="s">
        <v>3680</v>
      </c>
      <c r="J254" s="1469">
        <f>G254</f>
        <v>1000000</v>
      </c>
      <c r="K254" s="1469">
        <f>F254-J254</f>
        <v>0</v>
      </c>
      <c r="L254" s="1517"/>
    </row>
    <row r="255" spans="1:16" ht="30" customHeight="1" x14ac:dyDescent="0.2">
      <c r="A255" s="4464"/>
      <c r="B255" s="4457" t="s">
        <v>822</v>
      </c>
      <c r="C255" s="1488" t="s">
        <v>1306</v>
      </c>
      <c r="D255" s="1469">
        <v>160000000</v>
      </c>
      <c r="E255" s="1516">
        <v>0.05</v>
      </c>
      <c r="F255" s="1469">
        <f>D255*E255</f>
        <v>8000000</v>
      </c>
      <c r="G255" s="4413">
        <v>9200000</v>
      </c>
      <c r="H255" s="4413" t="s">
        <v>3731</v>
      </c>
      <c r="I255" s="4413" t="s">
        <v>3129</v>
      </c>
      <c r="J255" s="4413">
        <f>G255</f>
        <v>9200000</v>
      </c>
      <c r="K255" s="4413">
        <f>(F255+F256)-J255</f>
        <v>0</v>
      </c>
      <c r="L255" s="233"/>
      <c r="M255" s="233"/>
      <c r="N255" s="233"/>
      <c r="O255" s="233"/>
      <c r="P255" s="233"/>
    </row>
    <row r="256" spans="1:16" ht="30" customHeight="1" x14ac:dyDescent="0.2">
      <c r="A256" s="4460"/>
      <c r="B256" s="4458"/>
      <c r="C256" s="1488" t="s">
        <v>1306</v>
      </c>
      <c r="D256" s="1469">
        <v>22000000</v>
      </c>
      <c r="E256" s="1516">
        <v>5.5E-2</v>
      </c>
      <c r="F256" s="1469">
        <v>1200000</v>
      </c>
      <c r="G256" s="4415"/>
      <c r="H256" s="4415"/>
      <c r="I256" s="4415"/>
      <c r="J256" s="4415"/>
      <c r="K256" s="4415"/>
      <c r="L256" s="1811"/>
    </row>
    <row r="257" spans="1:16" ht="30" customHeight="1" x14ac:dyDescent="0.2">
      <c r="A257" s="1519">
        <v>159</v>
      </c>
      <c r="B257" s="1517" t="s">
        <v>22</v>
      </c>
      <c r="C257" s="1488" t="s">
        <v>1300</v>
      </c>
      <c r="D257" s="1469">
        <v>25000000</v>
      </c>
      <c r="E257" s="1516">
        <v>0.05</v>
      </c>
      <c r="F257" s="1469">
        <f t="shared" si="19"/>
        <v>1250000</v>
      </c>
      <c r="G257" s="1469"/>
      <c r="H257" s="1469"/>
      <c r="I257" s="21"/>
      <c r="J257" s="1469">
        <f>G257</f>
        <v>0</v>
      </c>
      <c r="K257" s="1469">
        <f t="shared" ref="K257:K268" si="22">F257-J257</f>
        <v>1250000</v>
      </c>
      <c r="L257" s="1517"/>
    </row>
    <row r="258" spans="1:16" ht="30" customHeight="1" x14ac:dyDescent="0.2">
      <c r="A258" s="1519">
        <v>160</v>
      </c>
      <c r="B258" s="1517" t="s">
        <v>23</v>
      </c>
      <c r="C258" s="1488"/>
      <c r="D258" s="1469">
        <v>55000000</v>
      </c>
      <c r="E258" s="1516">
        <v>0.05</v>
      </c>
      <c r="F258" s="1469">
        <f t="shared" si="19"/>
        <v>2750000</v>
      </c>
      <c r="G258" s="1469"/>
      <c r="H258" s="1469"/>
      <c r="I258" s="21"/>
      <c r="J258" s="1469">
        <f>G258</f>
        <v>0</v>
      </c>
      <c r="K258" s="1469">
        <f t="shared" si="22"/>
        <v>2750000</v>
      </c>
      <c r="L258" s="1517"/>
    </row>
    <row r="259" spans="1:16" ht="30" customHeight="1" x14ac:dyDescent="0.2">
      <c r="A259" s="1519">
        <v>161</v>
      </c>
      <c r="B259" s="4457" t="s">
        <v>24</v>
      </c>
      <c r="C259" s="4537" t="s">
        <v>1306</v>
      </c>
      <c r="D259" s="1469">
        <v>20000000</v>
      </c>
      <c r="E259" s="1516">
        <v>4.4999999999999998E-2</v>
      </c>
      <c r="F259" s="1469">
        <f t="shared" si="19"/>
        <v>900000</v>
      </c>
      <c r="G259" s="1469">
        <v>900000</v>
      </c>
      <c r="H259" s="1469" t="s">
        <v>3731</v>
      </c>
      <c r="I259" s="21" t="s">
        <v>3741</v>
      </c>
      <c r="J259" s="1469">
        <f>G259</f>
        <v>900000</v>
      </c>
      <c r="K259" s="1469">
        <f t="shared" si="22"/>
        <v>0</v>
      </c>
      <c r="L259" s="1517"/>
    </row>
    <row r="260" spans="1:16" ht="30" customHeight="1" x14ac:dyDescent="0.2">
      <c r="A260" s="1810"/>
      <c r="B260" s="4458"/>
      <c r="C260" s="4538"/>
      <c r="D260" s="1799">
        <v>17500000</v>
      </c>
      <c r="E260" s="1808">
        <v>4.4999999999999998E-2</v>
      </c>
      <c r="F260" s="1799">
        <f t="shared" si="19"/>
        <v>787500</v>
      </c>
      <c r="G260" s="4303" t="s">
        <v>3777</v>
      </c>
      <c r="H260" s="4324"/>
      <c r="I260" s="4324"/>
      <c r="J260" s="4324"/>
      <c r="K260" s="4355"/>
      <c r="L260" s="1811"/>
    </row>
    <row r="261" spans="1:16" ht="30" customHeight="1" x14ac:dyDescent="0.2">
      <c r="A261" s="1519">
        <v>162</v>
      </c>
      <c r="B261" s="1517" t="s">
        <v>25</v>
      </c>
      <c r="C261" s="1488" t="s">
        <v>1306</v>
      </c>
      <c r="D261" s="1469">
        <v>180000000</v>
      </c>
      <c r="E261" s="1516">
        <v>0.05</v>
      </c>
      <c r="F261" s="1469">
        <f t="shared" si="19"/>
        <v>9000000</v>
      </c>
      <c r="G261" s="1469">
        <v>9000000</v>
      </c>
      <c r="H261" s="1469" t="s">
        <v>3692</v>
      </c>
      <c r="I261" s="21" t="s">
        <v>3132</v>
      </c>
      <c r="J261" s="1469">
        <f>G261</f>
        <v>9000000</v>
      </c>
      <c r="K261" s="1469">
        <f t="shared" si="22"/>
        <v>0</v>
      </c>
      <c r="L261" s="1517"/>
    </row>
    <row r="262" spans="1:16" ht="30" customHeight="1" x14ac:dyDescent="0.2">
      <c r="A262" s="1519">
        <v>163</v>
      </c>
      <c r="B262" s="1517" t="s">
        <v>828</v>
      </c>
      <c r="C262" s="1488"/>
      <c r="D262" s="1469">
        <v>200000000</v>
      </c>
      <c r="E262" s="1516">
        <v>0.05</v>
      </c>
      <c r="F262" s="1469">
        <f t="shared" si="19"/>
        <v>10000000</v>
      </c>
      <c r="G262" s="1469">
        <v>10000000</v>
      </c>
      <c r="H262" s="1469" t="s">
        <v>3731</v>
      </c>
      <c r="I262" s="21" t="s">
        <v>3732</v>
      </c>
      <c r="J262" s="1469">
        <f>F262</f>
        <v>10000000</v>
      </c>
      <c r="K262" s="1469">
        <f t="shared" si="22"/>
        <v>0</v>
      </c>
      <c r="L262" s="1517"/>
    </row>
    <row r="263" spans="1:16" ht="30" customHeight="1" x14ac:dyDescent="0.2">
      <c r="A263" s="1519">
        <v>164</v>
      </c>
      <c r="B263" s="1517" t="s">
        <v>26</v>
      </c>
      <c r="C263" s="1488"/>
      <c r="D263" s="1469">
        <v>50000000</v>
      </c>
      <c r="E263" s="1516">
        <v>0.05</v>
      </c>
      <c r="F263" s="1469">
        <f t="shared" si="19"/>
        <v>2500000</v>
      </c>
      <c r="G263" s="1469">
        <v>2500000</v>
      </c>
      <c r="H263" s="1469" t="s">
        <v>3676</v>
      </c>
      <c r="I263" s="21" t="s">
        <v>2199</v>
      </c>
      <c r="J263" s="1469">
        <f t="shared" ref="J263:J271" si="23">G263</f>
        <v>2500000</v>
      </c>
      <c r="K263" s="1469">
        <f t="shared" si="22"/>
        <v>0</v>
      </c>
      <c r="L263" s="1517"/>
    </row>
    <row r="264" spans="1:16" ht="30" customHeight="1" x14ac:dyDescent="0.2">
      <c r="A264" s="1519">
        <v>165</v>
      </c>
      <c r="B264" s="1517" t="s">
        <v>27</v>
      </c>
      <c r="C264" s="1488" t="s">
        <v>681</v>
      </c>
      <c r="D264" s="1469">
        <v>20000000</v>
      </c>
      <c r="E264" s="1516">
        <v>0.04</v>
      </c>
      <c r="F264" s="1469">
        <f t="shared" si="19"/>
        <v>800000</v>
      </c>
      <c r="G264" s="1469">
        <v>800000</v>
      </c>
      <c r="H264" s="1469" t="s">
        <v>3731</v>
      </c>
      <c r="I264" s="21" t="s">
        <v>3740</v>
      </c>
      <c r="J264" s="1469">
        <f t="shared" si="23"/>
        <v>800000</v>
      </c>
      <c r="K264" s="1469">
        <f t="shared" si="22"/>
        <v>0</v>
      </c>
      <c r="L264" s="1517"/>
    </row>
    <row r="265" spans="1:16" ht="30" customHeight="1" x14ac:dyDescent="0.2">
      <c r="A265" s="1519">
        <v>166</v>
      </c>
      <c r="B265" s="1517" t="s">
        <v>28</v>
      </c>
      <c r="C265" s="1488" t="s">
        <v>551</v>
      </c>
      <c r="D265" s="1469">
        <v>100000000</v>
      </c>
      <c r="E265" s="1516">
        <v>0.05</v>
      </c>
      <c r="F265" s="1469">
        <f t="shared" si="19"/>
        <v>5000000</v>
      </c>
      <c r="G265" s="1469">
        <v>5000000</v>
      </c>
      <c r="H265" s="1469" t="s">
        <v>3692</v>
      </c>
      <c r="I265" s="26" t="s">
        <v>553</v>
      </c>
      <c r="J265" s="1469">
        <f t="shared" si="23"/>
        <v>5000000</v>
      </c>
      <c r="K265" s="1469">
        <f t="shared" si="22"/>
        <v>0</v>
      </c>
      <c r="L265" s="1517"/>
    </row>
    <row r="266" spans="1:16" ht="30" customHeight="1" x14ac:dyDescent="0.2">
      <c r="A266" s="1519">
        <v>167</v>
      </c>
      <c r="B266" s="1517" t="s">
        <v>737</v>
      </c>
      <c r="C266" s="1488" t="s">
        <v>1306</v>
      </c>
      <c r="D266" s="1469">
        <v>50000000</v>
      </c>
      <c r="E266" s="1516">
        <v>0.05</v>
      </c>
      <c r="F266" s="1469">
        <f t="shared" si="19"/>
        <v>2500000</v>
      </c>
      <c r="G266" s="1469">
        <v>2500000</v>
      </c>
      <c r="H266" s="1469" t="s">
        <v>2599</v>
      </c>
      <c r="I266" s="21" t="s">
        <v>739</v>
      </c>
      <c r="J266" s="1469">
        <f t="shared" si="23"/>
        <v>2500000</v>
      </c>
      <c r="K266" s="1469">
        <f t="shared" si="22"/>
        <v>0</v>
      </c>
      <c r="L266" s="1517"/>
    </row>
    <row r="267" spans="1:16" ht="30" customHeight="1" x14ac:dyDescent="0.2">
      <c r="A267" s="1519">
        <v>168</v>
      </c>
      <c r="B267" s="1517" t="s">
        <v>818</v>
      </c>
      <c r="C267" s="1488"/>
      <c r="D267" s="1469">
        <v>50000000</v>
      </c>
      <c r="E267" s="1516">
        <v>7.0000000000000007E-2</v>
      </c>
      <c r="F267" s="1469">
        <f t="shared" si="19"/>
        <v>3500000.0000000005</v>
      </c>
      <c r="G267" s="1469">
        <v>3500000</v>
      </c>
      <c r="H267" s="1469" t="s">
        <v>3692</v>
      </c>
      <c r="I267" s="21" t="s">
        <v>3085</v>
      </c>
      <c r="J267" s="1469">
        <f t="shared" si="23"/>
        <v>3500000</v>
      </c>
      <c r="K267" s="1469">
        <f t="shared" si="22"/>
        <v>0</v>
      </c>
      <c r="L267" s="1517"/>
    </row>
    <row r="268" spans="1:16" ht="30" customHeight="1" x14ac:dyDescent="0.2">
      <c r="A268" s="1024"/>
      <c r="B268" s="1514" t="s">
        <v>29</v>
      </c>
      <c r="C268" s="711"/>
      <c r="D268" s="1469">
        <v>20000000</v>
      </c>
      <c r="E268" s="1516">
        <v>0.05</v>
      </c>
      <c r="F268" s="1469">
        <f>D268*E268</f>
        <v>1000000</v>
      </c>
      <c r="G268" s="1469">
        <v>1000000</v>
      </c>
      <c r="H268" s="1469" t="s">
        <v>1189</v>
      </c>
      <c r="I268" s="1469" t="s">
        <v>848</v>
      </c>
      <c r="J268" s="1469">
        <f t="shared" si="23"/>
        <v>1000000</v>
      </c>
      <c r="K268" s="1469">
        <f t="shared" si="22"/>
        <v>0</v>
      </c>
      <c r="L268" s="4469"/>
      <c r="M268" s="4470"/>
      <c r="N268" s="4470"/>
      <c r="O268" s="4470"/>
      <c r="P268" s="4471"/>
    </row>
    <row r="269" spans="1:16" ht="30" customHeight="1" x14ac:dyDescent="0.2">
      <c r="A269" s="1519">
        <v>170</v>
      </c>
      <c r="B269" s="1517" t="s">
        <v>30</v>
      </c>
      <c r="C269" s="1488" t="s">
        <v>1107</v>
      </c>
      <c r="D269" s="1469">
        <v>70000000</v>
      </c>
      <c r="E269" s="1516">
        <v>0.05</v>
      </c>
      <c r="F269" s="1469">
        <f t="shared" si="19"/>
        <v>3500000</v>
      </c>
      <c r="G269" s="1469">
        <v>3500000</v>
      </c>
      <c r="H269" s="1469" t="s">
        <v>1189</v>
      </c>
      <c r="I269" s="21" t="s">
        <v>3753</v>
      </c>
      <c r="J269" s="1469">
        <f t="shared" si="23"/>
        <v>3500000</v>
      </c>
      <c r="K269" s="1469">
        <f>F269-J269</f>
        <v>0</v>
      </c>
      <c r="L269" s="1517"/>
    </row>
    <row r="270" spans="1:16" ht="30" customHeight="1" x14ac:dyDescent="0.2">
      <c r="A270" s="1519">
        <v>171</v>
      </c>
      <c r="B270" s="1517" t="s">
        <v>31</v>
      </c>
      <c r="C270" s="1488" t="s">
        <v>1293</v>
      </c>
      <c r="D270" s="1478"/>
      <c r="E270" s="40"/>
      <c r="F270" s="1469">
        <v>400000</v>
      </c>
      <c r="G270" s="1469">
        <v>400000</v>
      </c>
      <c r="H270" s="1469" t="s">
        <v>3485</v>
      </c>
      <c r="I270" s="21" t="s">
        <v>670</v>
      </c>
      <c r="J270" s="1469">
        <f t="shared" si="23"/>
        <v>400000</v>
      </c>
      <c r="K270" s="1469">
        <f>F270-J270</f>
        <v>0</v>
      </c>
      <c r="L270" s="97"/>
    </row>
    <row r="271" spans="1:16" ht="30" customHeight="1" x14ac:dyDescent="0.2">
      <c r="A271" s="4459">
        <v>172</v>
      </c>
      <c r="B271" s="4457" t="s">
        <v>32</v>
      </c>
      <c r="C271" s="4620"/>
      <c r="D271" s="1469">
        <v>5000000</v>
      </c>
      <c r="E271" s="1516">
        <v>0.06</v>
      </c>
      <c r="F271" s="1469">
        <f t="shared" si="19"/>
        <v>300000</v>
      </c>
      <c r="G271" s="1469">
        <v>300000</v>
      </c>
      <c r="H271" s="1469" t="s">
        <v>3731</v>
      </c>
      <c r="I271" s="21" t="s">
        <v>632</v>
      </c>
      <c r="J271" s="1469">
        <f t="shared" si="23"/>
        <v>300000</v>
      </c>
      <c r="K271" s="1469">
        <f>F271-J271</f>
        <v>0</v>
      </c>
      <c r="L271" s="1517"/>
    </row>
    <row r="272" spans="1:16" ht="30" customHeight="1" x14ac:dyDescent="0.2">
      <c r="A272" s="4460"/>
      <c r="B272" s="4458"/>
      <c r="C272" s="4620"/>
      <c r="D272" s="1478"/>
      <c r="E272" s="40"/>
      <c r="F272" s="1478"/>
      <c r="G272" s="4635" t="s">
        <v>3258</v>
      </c>
      <c r="H272" s="4636"/>
      <c r="I272" s="4636"/>
      <c r="J272" s="4637"/>
      <c r="K272" s="1478"/>
      <c r="L272" s="1517"/>
    </row>
    <row r="273" spans="1:12" ht="30" customHeight="1" x14ac:dyDescent="0.2">
      <c r="A273" s="1519">
        <v>173</v>
      </c>
      <c r="B273" s="1517" t="s">
        <v>33</v>
      </c>
      <c r="C273" s="1488"/>
      <c r="D273" s="1469">
        <v>40000000</v>
      </c>
      <c r="E273" s="1516">
        <v>0.05</v>
      </c>
      <c r="F273" s="1469">
        <f t="shared" si="19"/>
        <v>2000000</v>
      </c>
      <c r="G273" s="1469">
        <v>2000000</v>
      </c>
      <c r="H273" s="1469" t="s">
        <v>3731</v>
      </c>
      <c r="I273" s="21" t="s">
        <v>838</v>
      </c>
      <c r="J273" s="1469">
        <f>G273</f>
        <v>2000000</v>
      </c>
      <c r="K273" s="1469">
        <f>F273-J273</f>
        <v>0</v>
      </c>
      <c r="L273" s="1517"/>
    </row>
    <row r="274" spans="1:12" ht="30" customHeight="1" x14ac:dyDescent="0.2">
      <c r="A274" s="4614"/>
      <c r="B274" s="4615" t="s">
        <v>34</v>
      </c>
      <c r="C274" s="4620" t="s">
        <v>1287</v>
      </c>
      <c r="D274" s="4322">
        <v>5000000000</v>
      </c>
      <c r="E274" s="4608">
        <v>0.08</v>
      </c>
      <c r="F274" s="4322">
        <f>D274*E274</f>
        <v>400000000</v>
      </c>
      <c r="G274" s="1469"/>
      <c r="H274" s="1469"/>
      <c r="I274" s="21"/>
      <c r="J274" s="4413"/>
      <c r="K274" s="4413"/>
      <c r="L274" s="1460" t="s">
        <v>2888</v>
      </c>
    </row>
    <row r="275" spans="1:12" ht="30" customHeight="1" x14ac:dyDescent="0.2">
      <c r="A275" s="4614"/>
      <c r="B275" s="4615"/>
      <c r="C275" s="4620"/>
      <c r="D275" s="4322"/>
      <c r="E275" s="4608"/>
      <c r="F275" s="4322"/>
      <c r="G275" s="233"/>
      <c r="H275" s="233"/>
      <c r="I275" s="233"/>
      <c r="J275" s="4414"/>
      <c r="K275" s="4414"/>
      <c r="L275" s="1461" t="s">
        <v>2324</v>
      </c>
    </row>
    <row r="276" spans="1:12" ht="30" customHeight="1" x14ac:dyDescent="0.2">
      <c r="A276" s="4614"/>
      <c r="B276" s="4615"/>
      <c r="C276" s="4620"/>
      <c r="D276" s="4322"/>
      <c r="E276" s="4608"/>
      <c r="F276" s="4322"/>
      <c r="G276" s="233"/>
      <c r="H276" s="233"/>
      <c r="I276" s="233"/>
      <c r="J276" s="4414"/>
      <c r="K276" s="4414"/>
      <c r="L276" s="1461" t="s">
        <v>2886</v>
      </c>
    </row>
    <row r="277" spans="1:12" ht="30" customHeight="1" x14ac:dyDescent="0.2">
      <c r="A277" s="4614"/>
      <c r="B277" s="4615"/>
      <c r="C277" s="4620"/>
      <c r="D277" s="4322"/>
      <c r="E277" s="4608"/>
      <c r="F277" s="4322"/>
      <c r="G277" s="233"/>
      <c r="H277" s="233"/>
      <c r="I277" s="233"/>
      <c r="J277" s="4414"/>
      <c r="K277" s="4414"/>
      <c r="L277" s="4457" t="s">
        <v>2887</v>
      </c>
    </row>
    <row r="278" spans="1:12" ht="30" customHeight="1" x14ac:dyDescent="0.2">
      <c r="A278" s="4614"/>
      <c r="B278" s="4615"/>
      <c r="C278" s="4620"/>
      <c r="D278" s="4322"/>
      <c r="E278" s="4608"/>
      <c r="F278" s="4322"/>
      <c r="G278" s="233"/>
      <c r="H278" s="233"/>
      <c r="I278" s="233"/>
      <c r="J278" s="4415"/>
      <c r="K278" s="4415"/>
      <c r="L278" s="4458"/>
    </row>
    <row r="279" spans="1:12" ht="30" customHeight="1" x14ac:dyDescent="0.2">
      <c r="A279" s="1519">
        <v>175</v>
      </c>
      <c r="B279" s="1517" t="s">
        <v>36</v>
      </c>
      <c r="C279" s="1488" t="s">
        <v>1306</v>
      </c>
      <c r="D279" s="1469">
        <v>200000000</v>
      </c>
      <c r="E279" s="1466">
        <v>0.05</v>
      </c>
      <c r="F279" s="1469">
        <f t="shared" si="19"/>
        <v>10000000</v>
      </c>
      <c r="G279" s="1469">
        <v>10000000</v>
      </c>
      <c r="H279" s="1469" t="s">
        <v>3731</v>
      </c>
      <c r="I279" s="21" t="s">
        <v>3738</v>
      </c>
      <c r="J279" s="1469">
        <f t="shared" ref="J279:J286" si="24">G279</f>
        <v>10000000</v>
      </c>
      <c r="K279" s="1469">
        <f t="shared" ref="K279:K284" si="25">F279-J279</f>
        <v>0</v>
      </c>
      <c r="L279" s="1517"/>
    </row>
    <row r="280" spans="1:12" ht="30" customHeight="1" x14ac:dyDescent="0.2">
      <c r="A280" s="1519">
        <v>176</v>
      </c>
      <c r="B280" s="1517" t="s">
        <v>37</v>
      </c>
      <c r="C280" s="1488" t="s">
        <v>1107</v>
      </c>
      <c r="D280" s="1469">
        <v>150000000</v>
      </c>
      <c r="E280" s="1516">
        <v>7.0000000000000007E-2</v>
      </c>
      <c r="F280" s="1469">
        <f t="shared" si="19"/>
        <v>10500000.000000002</v>
      </c>
      <c r="G280" s="1469">
        <v>10500000</v>
      </c>
      <c r="H280" s="1469" t="s">
        <v>3731</v>
      </c>
      <c r="I280" s="21" t="s">
        <v>3223</v>
      </c>
      <c r="J280" s="1469">
        <f t="shared" si="24"/>
        <v>10500000</v>
      </c>
      <c r="K280" s="1469">
        <f t="shared" si="25"/>
        <v>0</v>
      </c>
      <c r="L280" s="1517"/>
    </row>
    <row r="281" spans="1:12" ht="30" customHeight="1" x14ac:dyDescent="0.2">
      <c r="A281" s="1519">
        <v>177</v>
      </c>
      <c r="B281" s="1517" t="s">
        <v>38</v>
      </c>
      <c r="C281" s="1488" t="s">
        <v>1299</v>
      </c>
      <c r="D281" s="1469">
        <v>25000000</v>
      </c>
      <c r="E281" s="1516">
        <v>0.04</v>
      </c>
      <c r="F281" s="1469">
        <f t="shared" si="19"/>
        <v>1000000</v>
      </c>
      <c r="G281" s="1469">
        <v>1000000</v>
      </c>
      <c r="H281" s="1469" t="s">
        <v>3692</v>
      </c>
      <c r="I281" s="18" t="s">
        <v>2175</v>
      </c>
      <c r="J281" s="1469">
        <f t="shared" si="24"/>
        <v>1000000</v>
      </c>
      <c r="K281" s="1469">
        <f t="shared" si="25"/>
        <v>0</v>
      </c>
      <c r="L281" s="1517"/>
    </row>
    <row r="282" spans="1:12" ht="30" customHeight="1" x14ac:dyDescent="0.2">
      <c r="A282" s="1519">
        <v>178</v>
      </c>
      <c r="B282" s="1517" t="s">
        <v>39</v>
      </c>
      <c r="C282" s="1488" t="s">
        <v>1299</v>
      </c>
      <c r="D282" s="1469">
        <v>90000000</v>
      </c>
      <c r="E282" s="1516">
        <v>4.4999999999999998E-2</v>
      </c>
      <c r="F282" s="1469">
        <v>4000000</v>
      </c>
      <c r="G282" s="1469">
        <v>4000000</v>
      </c>
      <c r="H282" s="1469" t="s">
        <v>3770</v>
      </c>
      <c r="I282" s="21" t="s">
        <v>2164</v>
      </c>
      <c r="J282" s="1469">
        <f t="shared" si="24"/>
        <v>4000000</v>
      </c>
      <c r="K282" s="1469">
        <f t="shared" si="25"/>
        <v>0</v>
      </c>
      <c r="L282" s="1517"/>
    </row>
    <row r="283" spans="1:12" ht="30" customHeight="1" x14ac:dyDescent="0.2">
      <c r="A283" s="383">
        <v>179</v>
      </c>
      <c r="B283" s="1514" t="s">
        <v>40</v>
      </c>
      <c r="C283" s="1487"/>
      <c r="D283" s="1477"/>
      <c r="E283" s="1479"/>
      <c r="F283" s="1477">
        <f t="shared" si="19"/>
        <v>0</v>
      </c>
      <c r="G283" s="1469">
        <v>16000000</v>
      </c>
      <c r="H283" s="1469" t="s">
        <v>2599</v>
      </c>
      <c r="I283" s="21" t="s">
        <v>1090</v>
      </c>
      <c r="J283" s="1467">
        <f t="shared" si="24"/>
        <v>16000000</v>
      </c>
      <c r="K283" s="1477">
        <f t="shared" si="25"/>
        <v>-16000000</v>
      </c>
      <c r="L283" s="1484"/>
    </row>
    <row r="284" spans="1:12" ht="30" customHeight="1" x14ac:dyDescent="0.2">
      <c r="A284" s="1770">
        <v>180</v>
      </c>
      <c r="B284" s="19" t="s">
        <v>41</v>
      </c>
      <c r="C284" s="48" t="s">
        <v>2403</v>
      </c>
      <c r="D284" s="1775">
        <v>300000000</v>
      </c>
      <c r="E284" s="1776">
        <v>5.7000000000000002E-2</v>
      </c>
      <c r="F284" s="1775">
        <v>17000000</v>
      </c>
      <c r="G284" s="1775">
        <v>17000000</v>
      </c>
      <c r="H284" s="1775" t="s">
        <v>2599</v>
      </c>
      <c r="I284" s="1781" t="s">
        <v>2260</v>
      </c>
      <c r="J284" s="1775">
        <f t="shared" si="24"/>
        <v>17000000</v>
      </c>
      <c r="K284" s="1775">
        <f t="shared" si="25"/>
        <v>0</v>
      </c>
      <c r="L284" s="1784"/>
    </row>
    <row r="285" spans="1:12" ht="30" customHeight="1" x14ac:dyDescent="0.2">
      <c r="A285" s="1519">
        <v>181</v>
      </c>
      <c r="B285" s="1769" t="s">
        <v>42</v>
      </c>
      <c r="C285" s="1488" t="s">
        <v>989</v>
      </c>
      <c r="D285" s="1469">
        <v>50000000</v>
      </c>
      <c r="E285" s="1466">
        <v>0.05</v>
      </c>
      <c r="F285" s="1469">
        <f t="shared" si="19"/>
        <v>2500000</v>
      </c>
      <c r="G285" s="1469">
        <v>2500000</v>
      </c>
      <c r="H285" s="1469" t="s">
        <v>3731</v>
      </c>
      <c r="I285" s="21" t="s">
        <v>1076</v>
      </c>
      <c r="J285" s="1469">
        <f t="shared" si="24"/>
        <v>2500000</v>
      </c>
      <c r="K285" s="1469">
        <f>F285-J285</f>
        <v>0</v>
      </c>
      <c r="L285" s="1769"/>
    </row>
    <row r="286" spans="1:12" ht="30" customHeight="1" x14ac:dyDescent="0.2">
      <c r="A286" s="4464"/>
      <c r="B286" s="4457" t="s">
        <v>43</v>
      </c>
      <c r="C286" s="4537" t="s">
        <v>989</v>
      </c>
      <c r="D286" s="4413">
        <v>125000000</v>
      </c>
      <c r="E286" s="4476">
        <v>0.05</v>
      </c>
      <c r="F286" s="4413">
        <f>D286*E286</f>
        <v>6250000</v>
      </c>
      <c r="G286" s="4413">
        <v>6250000</v>
      </c>
      <c r="H286" s="4413" t="s">
        <v>2599</v>
      </c>
      <c r="I286" s="4413" t="s">
        <v>3716</v>
      </c>
      <c r="J286" s="4413">
        <f t="shared" si="24"/>
        <v>6250000</v>
      </c>
      <c r="K286" s="4413">
        <f>F286-J286</f>
        <v>0</v>
      </c>
      <c r="L286" s="388" t="s">
        <v>2765</v>
      </c>
    </row>
    <row r="287" spans="1:12" ht="30" customHeight="1" x14ac:dyDescent="0.2">
      <c r="A287" s="4460"/>
      <c r="B287" s="4458"/>
      <c r="C287" s="4538"/>
      <c r="D287" s="4415"/>
      <c r="E287" s="4477"/>
      <c r="F287" s="4415"/>
      <c r="G287" s="4415"/>
      <c r="H287" s="4415"/>
      <c r="I287" s="4415"/>
      <c r="J287" s="4415"/>
      <c r="K287" s="4415"/>
      <c r="L287" s="388" t="s">
        <v>3167</v>
      </c>
    </row>
    <row r="288" spans="1:12" ht="30" customHeight="1" x14ac:dyDescent="0.2">
      <c r="A288" s="1519">
        <v>183</v>
      </c>
      <c r="B288" s="1517" t="s">
        <v>44</v>
      </c>
      <c r="C288" s="1488" t="s">
        <v>1100</v>
      </c>
      <c r="D288" s="1469">
        <v>100000000</v>
      </c>
      <c r="E288" s="1516">
        <v>0.05</v>
      </c>
      <c r="F288" s="1469">
        <f t="shared" si="19"/>
        <v>5000000</v>
      </c>
      <c r="G288" s="1469">
        <v>5000000</v>
      </c>
      <c r="H288" s="1469" t="s">
        <v>3771</v>
      </c>
      <c r="I288" s="21" t="s">
        <v>1148</v>
      </c>
      <c r="J288" s="1469">
        <f t="shared" ref="J288:J295" si="26">G288</f>
        <v>5000000</v>
      </c>
      <c r="K288" s="1469">
        <f t="shared" ref="K288:K294" si="27">F288-J288</f>
        <v>0</v>
      </c>
      <c r="L288" s="159"/>
    </row>
    <row r="289" spans="1:12" ht="30" customHeight="1" x14ac:dyDescent="0.2">
      <c r="A289" s="1519">
        <v>184</v>
      </c>
      <c r="B289" s="1517" t="s">
        <v>45</v>
      </c>
      <c r="C289" s="1488" t="s">
        <v>989</v>
      </c>
      <c r="D289" s="1469">
        <v>20000000</v>
      </c>
      <c r="E289" s="1516">
        <v>0.05</v>
      </c>
      <c r="F289" s="1469">
        <f t="shared" si="19"/>
        <v>1000000</v>
      </c>
      <c r="G289" s="1469">
        <v>1000000</v>
      </c>
      <c r="H289" s="1469" t="s">
        <v>2472</v>
      </c>
      <c r="I289" s="21" t="s">
        <v>1094</v>
      </c>
      <c r="J289" s="1469">
        <f t="shared" si="26"/>
        <v>1000000</v>
      </c>
      <c r="K289" s="1469">
        <f t="shared" si="27"/>
        <v>0</v>
      </c>
      <c r="L289" s="1517"/>
    </row>
    <row r="290" spans="1:12" ht="30" customHeight="1" x14ac:dyDescent="0.2">
      <c r="A290" s="1519">
        <v>185</v>
      </c>
      <c r="B290" s="1517" t="s">
        <v>46</v>
      </c>
      <c r="C290" s="1488" t="s">
        <v>990</v>
      </c>
      <c r="D290" s="1469">
        <v>70000000</v>
      </c>
      <c r="E290" s="1516">
        <v>0.05</v>
      </c>
      <c r="F290" s="1469">
        <f t="shared" si="19"/>
        <v>3500000</v>
      </c>
      <c r="G290" s="1469"/>
      <c r="H290" s="1469"/>
      <c r="I290" s="21"/>
      <c r="J290" s="1469">
        <f t="shared" si="26"/>
        <v>0</v>
      </c>
      <c r="K290" s="1469">
        <f t="shared" si="27"/>
        <v>3500000</v>
      </c>
      <c r="L290" s="180" t="s">
        <v>3744</v>
      </c>
    </row>
    <row r="291" spans="1:12" ht="30" customHeight="1" x14ac:dyDescent="0.2">
      <c r="A291" s="1519">
        <v>186</v>
      </c>
      <c r="B291" s="1517" t="s">
        <v>47</v>
      </c>
      <c r="C291" s="1488"/>
      <c r="D291" s="1469">
        <v>8000000</v>
      </c>
      <c r="E291" s="1516">
        <v>0.04</v>
      </c>
      <c r="F291" s="1469">
        <f t="shared" si="19"/>
        <v>320000</v>
      </c>
      <c r="G291" s="1469">
        <v>320000</v>
      </c>
      <c r="H291" s="1469" t="s">
        <v>3731</v>
      </c>
      <c r="I291" s="21" t="s">
        <v>836</v>
      </c>
      <c r="J291" s="1469">
        <f t="shared" si="26"/>
        <v>320000</v>
      </c>
      <c r="K291" s="1469">
        <f t="shared" si="27"/>
        <v>0</v>
      </c>
      <c r="L291" s="1517"/>
    </row>
    <row r="292" spans="1:12" ht="30" customHeight="1" x14ac:dyDescent="0.2">
      <c r="A292" s="1462">
        <v>187</v>
      </c>
      <c r="B292" s="1517" t="s">
        <v>2470</v>
      </c>
      <c r="C292" s="1518" t="s">
        <v>1138</v>
      </c>
      <c r="D292" s="1489">
        <v>200000000</v>
      </c>
      <c r="E292" s="1516">
        <v>0.05</v>
      </c>
      <c r="F292" s="1489">
        <f t="shared" si="19"/>
        <v>10000000</v>
      </c>
      <c r="G292" s="1469">
        <v>10000000</v>
      </c>
      <c r="H292" s="1469" t="s">
        <v>3943</v>
      </c>
      <c r="I292" s="21" t="s">
        <v>3331</v>
      </c>
      <c r="J292" s="1469">
        <f t="shared" si="26"/>
        <v>10000000</v>
      </c>
      <c r="K292" s="1469">
        <f t="shared" si="27"/>
        <v>0</v>
      </c>
      <c r="L292" s="97"/>
    </row>
    <row r="293" spans="1:12" ht="30" customHeight="1" x14ac:dyDescent="0.2">
      <c r="A293" s="1519">
        <v>188</v>
      </c>
      <c r="B293" s="1461" t="s">
        <v>49</v>
      </c>
      <c r="C293" s="1488"/>
      <c r="D293" s="1469">
        <v>200000000</v>
      </c>
      <c r="E293" s="1466">
        <v>0.05</v>
      </c>
      <c r="F293" s="1469">
        <f t="shared" si="19"/>
        <v>10000000</v>
      </c>
      <c r="G293" s="1469">
        <v>10000000</v>
      </c>
      <c r="H293" s="1469" t="s">
        <v>1189</v>
      </c>
      <c r="I293" s="21" t="s">
        <v>1810</v>
      </c>
      <c r="J293" s="1469">
        <f t="shared" si="26"/>
        <v>10000000</v>
      </c>
      <c r="K293" s="1469">
        <f t="shared" si="27"/>
        <v>0</v>
      </c>
      <c r="L293" s="1517"/>
    </row>
    <row r="294" spans="1:12" ht="30" customHeight="1" x14ac:dyDescent="0.2">
      <c r="A294" s="1519">
        <v>189</v>
      </c>
      <c r="B294" s="1517" t="s">
        <v>50</v>
      </c>
      <c r="C294" s="1488" t="s">
        <v>681</v>
      </c>
      <c r="D294" s="1469">
        <v>15000000</v>
      </c>
      <c r="E294" s="1516">
        <v>0.05</v>
      </c>
      <c r="F294" s="1469">
        <f t="shared" si="19"/>
        <v>750000</v>
      </c>
      <c r="G294" s="1469">
        <v>750000</v>
      </c>
      <c r="H294" s="1469" t="s">
        <v>3731</v>
      </c>
      <c r="I294" s="21" t="s">
        <v>834</v>
      </c>
      <c r="J294" s="1469">
        <f t="shared" si="26"/>
        <v>750000</v>
      </c>
      <c r="K294" s="1469">
        <f t="shared" si="27"/>
        <v>0</v>
      </c>
      <c r="L294" s="1517"/>
    </row>
    <row r="295" spans="1:12" ht="30" customHeight="1" x14ac:dyDescent="0.2">
      <c r="A295" s="4459">
        <v>190</v>
      </c>
      <c r="B295" s="4457" t="s">
        <v>51</v>
      </c>
      <c r="C295" s="1488" t="s">
        <v>1100</v>
      </c>
      <c r="D295" s="1469">
        <v>80000000</v>
      </c>
      <c r="E295" s="1516">
        <v>0.05</v>
      </c>
      <c r="F295" s="1469">
        <f t="shared" si="19"/>
        <v>4000000</v>
      </c>
      <c r="G295" s="4413">
        <v>14000000</v>
      </c>
      <c r="H295" s="4413" t="s">
        <v>3893</v>
      </c>
      <c r="I295" s="4478" t="s">
        <v>2967</v>
      </c>
      <c r="J295" s="4413">
        <f t="shared" si="26"/>
        <v>14000000</v>
      </c>
      <c r="K295" s="4413">
        <f>(F295+F296)-J295</f>
        <v>0</v>
      </c>
      <c r="L295" s="4599"/>
    </row>
    <row r="296" spans="1:12" ht="30" customHeight="1" x14ac:dyDescent="0.2">
      <c r="A296" s="4464"/>
      <c r="B296" s="4488"/>
      <c r="C296" s="1488" t="s">
        <v>1100</v>
      </c>
      <c r="D296" s="1469">
        <v>200000000</v>
      </c>
      <c r="E296" s="1516">
        <v>0.05</v>
      </c>
      <c r="F296" s="1469">
        <f t="shared" si="19"/>
        <v>10000000</v>
      </c>
      <c r="G296" s="4415"/>
      <c r="H296" s="4415"/>
      <c r="I296" s="4479"/>
      <c r="J296" s="4415"/>
      <c r="K296" s="4415"/>
      <c r="L296" s="4607"/>
    </row>
    <row r="297" spans="1:12" ht="30" customHeight="1" x14ac:dyDescent="0.2">
      <c r="A297" s="4460"/>
      <c r="B297" s="4458"/>
      <c r="C297" s="1625" t="s">
        <v>262</v>
      </c>
      <c r="D297" s="1623">
        <v>220000000</v>
      </c>
      <c r="E297" s="1622">
        <v>0.05</v>
      </c>
      <c r="F297" s="1623">
        <f t="shared" si="19"/>
        <v>11000000</v>
      </c>
      <c r="G297" s="1624">
        <v>11000000</v>
      </c>
      <c r="H297" s="1624" t="s">
        <v>3558</v>
      </c>
      <c r="I297" s="21" t="s">
        <v>2967</v>
      </c>
      <c r="J297" s="1623">
        <f>G297</f>
        <v>11000000</v>
      </c>
      <c r="K297" s="1623">
        <f>F297-J297</f>
        <v>0</v>
      </c>
      <c r="L297" s="1626"/>
    </row>
    <row r="298" spans="1:12" ht="30" customHeight="1" x14ac:dyDescent="0.2">
      <c r="A298" s="1657">
        <v>191</v>
      </c>
      <c r="B298" s="1656" t="s">
        <v>52</v>
      </c>
      <c r="C298" s="1647" t="s">
        <v>262</v>
      </c>
      <c r="D298" s="1640">
        <v>700000000</v>
      </c>
      <c r="E298" s="1638">
        <v>7.6999999999999999E-2</v>
      </c>
      <c r="F298" s="1640">
        <v>54000000</v>
      </c>
      <c r="G298" s="1642">
        <v>54000000</v>
      </c>
      <c r="H298" s="1642" t="s">
        <v>3583</v>
      </c>
      <c r="I298" s="21" t="s">
        <v>678</v>
      </c>
      <c r="J298" s="1640">
        <f>G298</f>
        <v>54000000</v>
      </c>
      <c r="K298" s="1640">
        <f>F298-J298</f>
        <v>0</v>
      </c>
      <c r="L298" s="1506"/>
    </row>
    <row r="299" spans="1:12" ht="30" customHeight="1" x14ac:dyDescent="0.2">
      <c r="A299" s="4459">
        <v>192</v>
      </c>
      <c r="B299" s="4457" t="s">
        <v>53</v>
      </c>
      <c r="C299" s="4537" t="s">
        <v>1287</v>
      </c>
      <c r="D299" s="4413">
        <v>1400000000</v>
      </c>
      <c r="E299" s="4476">
        <v>7.0000000000000007E-2</v>
      </c>
      <c r="F299" s="4413">
        <f>D299*E299</f>
        <v>98000000.000000015</v>
      </c>
      <c r="G299" s="1616">
        <v>10000000</v>
      </c>
      <c r="H299" s="1616" t="s">
        <v>3214</v>
      </c>
      <c r="I299" s="1616" t="s">
        <v>861</v>
      </c>
      <c r="J299" s="4413">
        <f>G300+G299</f>
        <v>38000000</v>
      </c>
      <c r="K299" s="4413">
        <f>38000000-J299</f>
        <v>0</v>
      </c>
      <c r="L299" s="180" t="s">
        <v>3337</v>
      </c>
    </row>
    <row r="300" spans="1:12" ht="30" customHeight="1" x14ac:dyDescent="0.2">
      <c r="A300" s="4464"/>
      <c r="B300" s="4488"/>
      <c r="C300" s="4540"/>
      <c r="D300" s="4414"/>
      <c r="E300" s="4516"/>
      <c r="F300" s="4414"/>
      <c r="G300" s="1648">
        <v>28000000</v>
      </c>
      <c r="H300" s="1648" t="s">
        <v>3583</v>
      </c>
      <c r="I300" s="1648" t="s">
        <v>861</v>
      </c>
      <c r="J300" s="4415"/>
      <c r="K300" s="4415"/>
      <c r="L300" s="180" t="s">
        <v>1992</v>
      </c>
    </row>
    <row r="301" spans="1:12" ht="30" customHeight="1" x14ac:dyDescent="0.2">
      <c r="A301" s="4464"/>
      <c r="B301" s="4488"/>
      <c r="C301" s="4540"/>
      <c r="D301" s="4414"/>
      <c r="E301" s="4516"/>
      <c r="F301" s="4414"/>
      <c r="G301" s="233"/>
      <c r="H301" s="233"/>
      <c r="I301" s="233"/>
      <c r="J301" s="1469"/>
      <c r="K301" s="1469"/>
      <c r="L301" s="180" t="s">
        <v>2287</v>
      </c>
    </row>
    <row r="302" spans="1:12" ht="30" customHeight="1" x14ac:dyDescent="0.2">
      <c r="A302" s="4464"/>
      <c r="B302" s="4488"/>
      <c r="C302" s="4540"/>
      <c r="D302" s="4414"/>
      <c r="E302" s="4516"/>
      <c r="F302" s="4414"/>
      <c r="G302" s="233"/>
      <c r="H302" s="233"/>
      <c r="I302" s="233"/>
      <c r="J302" s="1469"/>
      <c r="K302" s="1469"/>
      <c r="L302" s="180" t="s">
        <v>2915</v>
      </c>
    </row>
    <row r="303" spans="1:12" ht="30" customHeight="1" x14ac:dyDescent="0.2">
      <c r="A303" s="4464"/>
      <c r="B303" s="4488"/>
      <c r="C303" s="4540"/>
      <c r="D303" s="4414"/>
      <c r="E303" s="4516"/>
      <c r="F303" s="4414"/>
      <c r="G303" s="1489"/>
      <c r="H303" s="1489"/>
      <c r="I303" s="1489"/>
      <c r="J303" s="1469"/>
      <c r="K303" s="1469"/>
      <c r="L303" s="180" t="s">
        <v>2914</v>
      </c>
    </row>
    <row r="304" spans="1:12" ht="30" customHeight="1" x14ac:dyDescent="0.2">
      <c r="A304" s="4460"/>
      <c r="B304" s="4458"/>
      <c r="C304" s="4538"/>
      <c r="D304" s="4415"/>
      <c r="E304" s="4477"/>
      <c r="F304" s="4415"/>
      <c r="G304" s="1489"/>
      <c r="H304" s="1489"/>
      <c r="I304" s="1489"/>
      <c r="J304" s="1469"/>
      <c r="K304" s="1469"/>
      <c r="L304" s="180" t="s">
        <v>2913</v>
      </c>
    </row>
    <row r="305" spans="1:16" ht="30" customHeight="1" x14ac:dyDescent="0.2">
      <c r="A305" s="1519">
        <v>193</v>
      </c>
      <c r="B305" s="1517" t="s">
        <v>54</v>
      </c>
      <c r="C305" s="1488" t="s">
        <v>1306</v>
      </c>
      <c r="D305" s="1469">
        <v>45000000</v>
      </c>
      <c r="E305" s="1516">
        <v>0.04</v>
      </c>
      <c r="F305" s="1469">
        <f t="shared" ref="F305:F391" si="28">D305*E305</f>
        <v>1800000</v>
      </c>
      <c r="G305" s="1469">
        <v>1800000</v>
      </c>
      <c r="H305" s="1469" t="s">
        <v>1189</v>
      </c>
      <c r="I305" s="1489" t="s">
        <v>997</v>
      </c>
      <c r="J305" s="1469">
        <f t="shared" ref="J305:J321" si="29">G305</f>
        <v>1800000</v>
      </c>
      <c r="K305" s="1469">
        <f t="shared" ref="K305:K320" si="30">F305-J305</f>
        <v>0</v>
      </c>
      <c r="L305" s="1517"/>
    </row>
    <row r="306" spans="1:16" ht="30" customHeight="1" x14ac:dyDescent="0.2">
      <c r="A306" s="1462">
        <v>194</v>
      </c>
      <c r="B306" s="19" t="s">
        <v>55</v>
      </c>
      <c r="C306" s="378"/>
      <c r="D306" s="1481"/>
      <c r="E306" s="1026"/>
      <c r="F306" s="1481">
        <f t="shared" si="28"/>
        <v>0</v>
      </c>
      <c r="G306" s="1489">
        <v>6500000</v>
      </c>
      <c r="H306" s="1489" t="s">
        <v>1189</v>
      </c>
      <c r="I306" s="1513" t="s">
        <v>3184</v>
      </c>
      <c r="J306" s="1489">
        <f t="shared" si="29"/>
        <v>6500000</v>
      </c>
      <c r="K306" s="1481">
        <f t="shared" si="30"/>
        <v>-6500000</v>
      </c>
      <c r="L306" s="1484"/>
    </row>
    <row r="307" spans="1:16" ht="30" customHeight="1" x14ac:dyDescent="0.2">
      <c r="A307" s="1519">
        <v>195</v>
      </c>
      <c r="B307" s="1461" t="s">
        <v>56</v>
      </c>
      <c r="C307" s="1488" t="s">
        <v>990</v>
      </c>
      <c r="D307" s="1469">
        <v>10000000</v>
      </c>
      <c r="E307" s="1466">
        <v>0.05</v>
      </c>
      <c r="F307" s="1469">
        <f t="shared" si="28"/>
        <v>500000</v>
      </c>
      <c r="G307" s="1469">
        <v>500000</v>
      </c>
      <c r="H307" s="1469" t="s">
        <v>3886</v>
      </c>
      <c r="I307" s="21" t="s">
        <v>1121</v>
      </c>
      <c r="J307" s="1469">
        <f t="shared" si="29"/>
        <v>500000</v>
      </c>
      <c r="K307" s="1469">
        <f t="shared" si="30"/>
        <v>0</v>
      </c>
      <c r="L307" s="1517"/>
    </row>
    <row r="308" spans="1:16" ht="30" customHeight="1" x14ac:dyDescent="0.2">
      <c r="A308" s="4459">
        <v>196</v>
      </c>
      <c r="B308" s="4457" t="s">
        <v>57</v>
      </c>
      <c r="C308" s="1488" t="s">
        <v>1107</v>
      </c>
      <c r="D308" s="1469">
        <v>20000000</v>
      </c>
      <c r="E308" s="1516">
        <v>0.04</v>
      </c>
      <c r="F308" s="1469">
        <f t="shared" si="28"/>
        <v>800000</v>
      </c>
      <c r="G308" s="1806">
        <v>800000</v>
      </c>
      <c r="H308" s="4413" t="s">
        <v>1189</v>
      </c>
      <c r="I308" s="4478" t="s">
        <v>3761</v>
      </c>
      <c r="J308" s="1469">
        <f t="shared" si="29"/>
        <v>800000</v>
      </c>
      <c r="K308" s="1469">
        <f t="shared" si="30"/>
        <v>0</v>
      </c>
      <c r="L308" s="4827" t="s">
        <v>3763</v>
      </c>
    </row>
    <row r="309" spans="1:16" ht="30" customHeight="1" x14ac:dyDescent="0.2">
      <c r="A309" s="4464"/>
      <c r="B309" s="4488"/>
      <c r="C309" s="1488" t="s">
        <v>2001</v>
      </c>
      <c r="D309" s="1799">
        <v>30000000</v>
      </c>
      <c r="E309" s="1808">
        <v>0.05</v>
      </c>
      <c r="F309" s="1799">
        <f t="shared" si="28"/>
        <v>1500000</v>
      </c>
      <c r="G309" s="1806">
        <v>1500000</v>
      </c>
      <c r="H309" s="4414"/>
      <c r="I309" s="4520"/>
      <c r="J309" s="1469">
        <f t="shared" si="29"/>
        <v>1500000</v>
      </c>
      <c r="K309" s="1469">
        <f t="shared" si="30"/>
        <v>0</v>
      </c>
      <c r="L309" s="4827"/>
    </row>
    <row r="310" spans="1:16" ht="30" customHeight="1" x14ac:dyDescent="0.2">
      <c r="A310" s="4460"/>
      <c r="B310" s="4458"/>
      <c r="C310" s="1801"/>
      <c r="D310" s="4303" t="s">
        <v>3762</v>
      </c>
      <c r="E310" s="4324"/>
      <c r="F310" s="4355"/>
      <c r="G310" s="1799">
        <v>500000</v>
      </c>
      <c r="H310" s="4415"/>
      <c r="I310" s="4479"/>
      <c r="J310" s="1799">
        <f t="shared" si="29"/>
        <v>500000</v>
      </c>
      <c r="K310" s="1799">
        <v>0</v>
      </c>
      <c r="L310" s="4827"/>
      <c r="M310" s="718"/>
      <c r="N310" s="718"/>
      <c r="O310" s="718"/>
      <c r="P310" s="718"/>
    </row>
    <row r="311" spans="1:16" ht="30" customHeight="1" x14ac:dyDescent="0.2">
      <c r="A311" s="1519">
        <v>197</v>
      </c>
      <c r="B311" s="1517" t="s">
        <v>58</v>
      </c>
      <c r="C311" s="1488"/>
      <c r="D311" s="1469">
        <v>150000000</v>
      </c>
      <c r="E311" s="1516">
        <v>0.04</v>
      </c>
      <c r="F311" s="1469">
        <f t="shared" si="28"/>
        <v>6000000</v>
      </c>
      <c r="G311" s="1469"/>
      <c r="H311" s="1469"/>
      <c r="I311" s="1489"/>
      <c r="J311" s="1469">
        <f t="shared" si="29"/>
        <v>0</v>
      </c>
      <c r="K311" s="1469">
        <f t="shared" si="30"/>
        <v>6000000</v>
      </c>
      <c r="L311" s="1517"/>
      <c r="M311" s="366"/>
      <c r="N311" s="366"/>
      <c r="O311" s="366"/>
      <c r="P311" s="366"/>
    </row>
    <row r="312" spans="1:16" ht="30" customHeight="1" x14ac:dyDescent="0.2">
      <c r="A312" s="1519">
        <v>198</v>
      </c>
      <c r="B312" s="1517" t="s">
        <v>59</v>
      </c>
      <c r="C312" s="1488" t="s">
        <v>1134</v>
      </c>
      <c r="D312" s="1469">
        <v>30000000</v>
      </c>
      <c r="E312" s="1516">
        <v>8.5000000000000006E-2</v>
      </c>
      <c r="F312" s="1469">
        <v>2500000</v>
      </c>
      <c r="G312" s="1469">
        <v>2500000</v>
      </c>
      <c r="H312" s="1469" t="s">
        <v>3731</v>
      </c>
      <c r="I312" s="1489" t="s">
        <v>1164</v>
      </c>
      <c r="J312" s="1469">
        <f t="shared" si="29"/>
        <v>2500000</v>
      </c>
      <c r="K312" s="1469">
        <f t="shared" si="30"/>
        <v>0</v>
      </c>
      <c r="L312" s="1517"/>
      <c r="M312" s="366"/>
      <c r="N312" s="366"/>
      <c r="O312" s="366"/>
      <c r="P312" s="366"/>
    </row>
    <row r="313" spans="1:16" ht="30" customHeight="1" x14ac:dyDescent="0.2">
      <c r="A313" s="1519">
        <v>199</v>
      </c>
      <c r="B313" s="1517" t="s">
        <v>60</v>
      </c>
      <c r="C313" s="1488" t="s">
        <v>1100</v>
      </c>
      <c r="D313" s="1469">
        <v>50000000</v>
      </c>
      <c r="E313" s="1516">
        <v>0.05</v>
      </c>
      <c r="F313" s="1469">
        <f t="shared" si="28"/>
        <v>2500000</v>
      </c>
      <c r="G313" s="1469">
        <v>2500000</v>
      </c>
      <c r="H313" s="1469" t="s">
        <v>3771</v>
      </c>
      <c r="I313" s="1489" t="s">
        <v>1137</v>
      </c>
      <c r="J313" s="1469">
        <f t="shared" si="29"/>
        <v>2500000</v>
      </c>
      <c r="K313" s="1469">
        <f t="shared" si="30"/>
        <v>0</v>
      </c>
      <c r="L313" s="1517"/>
      <c r="M313" s="366"/>
      <c r="N313" s="366"/>
      <c r="O313" s="366"/>
      <c r="P313" s="366"/>
    </row>
    <row r="314" spans="1:16" ht="30" customHeight="1" x14ac:dyDescent="0.2">
      <c r="A314" s="1519">
        <v>200</v>
      </c>
      <c r="B314" s="1517" t="s">
        <v>61</v>
      </c>
      <c r="C314" s="1488" t="s">
        <v>1081</v>
      </c>
      <c r="D314" s="1469">
        <v>350000000</v>
      </c>
      <c r="E314" s="1516">
        <v>7.0000000000000007E-2</v>
      </c>
      <c r="F314" s="1469">
        <f t="shared" si="28"/>
        <v>24500000.000000004</v>
      </c>
      <c r="G314" s="1469">
        <v>24500000</v>
      </c>
      <c r="H314" s="1469" t="s">
        <v>3893</v>
      </c>
      <c r="I314" s="21" t="s">
        <v>1574</v>
      </c>
      <c r="J314" s="1469">
        <f>G314</f>
        <v>24500000</v>
      </c>
      <c r="K314" s="1469">
        <f t="shared" si="30"/>
        <v>0</v>
      </c>
      <c r="L314" s="1517"/>
      <c r="M314" s="366"/>
      <c r="N314" s="366"/>
      <c r="O314" s="366"/>
      <c r="P314" s="366"/>
    </row>
    <row r="315" spans="1:16" ht="30" customHeight="1" x14ac:dyDescent="0.2">
      <c r="A315" s="1519">
        <v>201</v>
      </c>
      <c r="B315" s="1517" t="s">
        <v>62</v>
      </c>
      <c r="C315" s="1488"/>
      <c r="D315" s="1469">
        <v>60000000</v>
      </c>
      <c r="E315" s="1516">
        <v>6.5000000000000002E-2</v>
      </c>
      <c r="F315" s="1469">
        <v>4000000</v>
      </c>
      <c r="G315" s="1469">
        <v>4000000</v>
      </c>
      <c r="H315" s="1469" t="s">
        <v>3893</v>
      </c>
      <c r="I315" s="1529" t="s">
        <v>3900</v>
      </c>
      <c r="J315" s="1469">
        <f t="shared" si="29"/>
        <v>4000000</v>
      </c>
      <c r="K315" s="1469">
        <f t="shared" si="30"/>
        <v>0</v>
      </c>
      <c r="L315" s="1517"/>
      <c r="M315" s="366"/>
      <c r="N315" s="366"/>
      <c r="O315" s="366"/>
      <c r="P315" s="366"/>
    </row>
    <row r="316" spans="1:16" ht="30" customHeight="1" x14ac:dyDescent="0.2">
      <c r="A316" s="1522">
        <v>202</v>
      </c>
      <c r="B316" s="1517" t="s">
        <v>63</v>
      </c>
      <c r="C316" s="1518" t="s">
        <v>1081</v>
      </c>
      <c r="D316" s="1489">
        <v>100000000</v>
      </c>
      <c r="E316" s="1516">
        <v>4.4999999999999998E-2</v>
      </c>
      <c r="F316" s="1489">
        <f t="shared" si="28"/>
        <v>4500000</v>
      </c>
      <c r="G316" s="1489">
        <v>4500000</v>
      </c>
      <c r="H316" s="1469" t="s">
        <v>3886</v>
      </c>
      <c r="I316" s="21" t="s">
        <v>3889</v>
      </c>
      <c r="J316" s="1469">
        <f t="shared" si="29"/>
        <v>4500000</v>
      </c>
      <c r="K316" s="1469">
        <f t="shared" si="30"/>
        <v>0</v>
      </c>
      <c r="L316" s="97"/>
      <c r="M316" s="366"/>
      <c r="N316" s="366"/>
      <c r="O316" s="366"/>
      <c r="P316" s="366"/>
    </row>
    <row r="317" spans="1:16" ht="30" customHeight="1" x14ac:dyDescent="0.2">
      <c r="A317" s="1519">
        <v>203</v>
      </c>
      <c r="B317" s="1461" t="s">
        <v>1244</v>
      </c>
      <c r="C317" s="1488" t="s">
        <v>1081</v>
      </c>
      <c r="D317" s="1469">
        <v>60000000</v>
      </c>
      <c r="E317" s="1466">
        <v>0.05</v>
      </c>
      <c r="F317" s="1469">
        <f t="shared" si="28"/>
        <v>3000000</v>
      </c>
      <c r="G317" s="1469">
        <v>3000000</v>
      </c>
      <c r="H317" s="1469" t="s">
        <v>3893</v>
      </c>
      <c r="I317" s="21" t="s">
        <v>1693</v>
      </c>
      <c r="J317" s="1469">
        <f t="shared" si="29"/>
        <v>3000000</v>
      </c>
      <c r="K317" s="1469">
        <f t="shared" si="30"/>
        <v>0</v>
      </c>
      <c r="L317" s="1517"/>
    </row>
    <row r="318" spans="1:16" ht="30" customHeight="1" x14ac:dyDescent="0.2">
      <c r="A318" s="1519">
        <v>204</v>
      </c>
      <c r="B318" s="1517" t="s">
        <v>64</v>
      </c>
      <c r="C318" s="1488"/>
      <c r="D318" s="1469">
        <v>30000000</v>
      </c>
      <c r="E318" s="1516">
        <v>4.4999999999999998E-2</v>
      </c>
      <c r="F318" s="1469">
        <f t="shared" si="28"/>
        <v>1350000</v>
      </c>
      <c r="G318" s="1469"/>
      <c r="H318" s="1469"/>
      <c r="I318" s="21"/>
      <c r="J318" s="1469">
        <f t="shared" si="29"/>
        <v>0</v>
      </c>
      <c r="K318" s="1469">
        <f t="shared" si="30"/>
        <v>1350000</v>
      </c>
      <c r="L318" s="159" t="s">
        <v>1326</v>
      </c>
    </row>
    <row r="319" spans="1:16" ht="30" customHeight="1" x14ac:dyDescent="0.2">
      <c r="A319" s="1519">
        <v>205</v>
      </c>
      <c r="B319" s="1517" t="s">
        <v>65</v>
      </c>
      <c r="C319" s="1488" t="s">
        <v>3245</v>
      </c>
      <c r="D319" s="1469">
        <v>15000000</v>
      </c>
      <c r="E319" s="1516">
        <v>0.04</v>
      </c>
      <c r="F319" s="1469">
        <f t="shared" si="28"/>
        <v>600000</v>
      </c>
      <c r="G319" s="1469">
        <v>600000</v>
      </c>
      <c r="H319" s="1469" t="s">
        <v>3507</v>
      </c>
      <c r="I319" s="21" t="s">
        <v>1104</v>
      </c>
      <c r="J319" s="1469">
        <f t="shared" si="29"/>
        <v>600000</v>
      </c>
      <c r="K319" s="1469">
        <f t="shared" si="30"/>
        <v>0</v>
      </c>
      <c r="L319" s="1517"/>
    </row>
    <row r="320" spans="1:16" ht="30" customHeight="1" x14ac:dyDescent="0.2">
      <c r="A320" s="1519">
        <v>206</v>
      </c>
      <c r="B320" s="1517" t="s">
        <v>2401</v>
      </c>
      <c r="C320" s="1488" t="s">
        <v>990</v>
      </c>
      <c r="D320" s="1469">
        <v>150000000</v>
      </c>
      <c r="E320" s="1516">
        <v>0.05</v>
      </c>
      <c r="F320" s="1469">
        <f t="shared" si="28"/>
        <v>7500000</v>
      </c>
      <c r="G320" s="1469">
        <v>7500000</v>
      </c>
      <c r="H320" s="1490" t="s">
        <v>3774</v>
      </c>
      <c r="I320" s="65" t="s">
        <v>3775</v>
      </c>
      <c r="J320" s="1469">
        <f t="shared" si="29"/>
        <v>7500000</v>
      </c>
      <c r="K320" s="1469">
        <f t="shared" si="30"/>
        <v>0</v>
      </c>
      <c r="L320" s="1517"/>
    </row>
    <row r="321" spans="1:12" ht="30" customHeight="1" x14ac:dyDescent="0.2">
      <c r="A321" s="4459">
        <v>207</v>
      </c>
      <c r="B321" s="4615" t="s">
        <v>2676</v>
      </c>
      <c r="C321" s="4620" t="s">
        <v>681</v>
      </c>
      <c r="D321" s="1469">
        <v>45000000</v>
      </c>
      <c r="E321" s="1516">
        <v>0.04</v>
      </c>
      <c r="F321" s="1469">
        <f t="shared" si="28"/>
        <v>1800000</v>
      </c>
      <c r="G321" s="4413">
        <v>3800000</v>
      </c>
      <c r="H321" s="4413" t="s">
        <v>3731</v>
      </c>
      <c r="I321" s="4478" t="s">
        <v>3739</v>
      </c>
      <c r="J321" s="4413">
        <f t="shared" si="29"/>
        <v>3800000</v>
      </c>
      <c r="K321" s="4413">
        <f>(F321+F322)-J321</f>
        <v>0</v>
      </c>
      <c r="L321" s="4492"/>
    </row>
    <row r="322" spans="1:12" ht="30" customHeight="1" x14ac:dyDescent="0.2">
      <c r="A322" s="4464"/>
      <c r="B322" s="4615"/>
      <c r="C322" s="4620"/>
      <c r="D322" s="1469">
        <v>50000000</v>
      </c>
      <c r="E322" s="1516">
        <v>0.04</v>
      </c>
      <c r="F322" s="1469">
        <f t="shared" si="28"/>
        <v>2000000</v>
      </c>
      <c r="G322" s="4415"/>
      <c r="H322" s="4415"/>
      <c r="I322" s="4479"/>
      <c r="J322" s="4415"/>
      <c r="K322" s="4415"/>
      <c r="L322" s="4493"/>
    </row>
    <row r="323" spans="1:12" ht="30" customHeight="1" x14ac:dyDescent="0.2">
      <c r="A323" s="4459">
        <v>208</v>
      </c>
      <c r="B323" s="4457" t="s">
        <v>69</v>
      </c>
      <c r="C323" s="4537" t="s">
        <v>1100</v>
      </c>
      <c r="D323" s="4413">
        <v>15000000</v>
      </c>
      <c r="E323" s="4476">
        <v>0.04</v>
      </c>
      <c r="F323" s="4413">
        <f t="shared" si="28"/>
        <v>600000</v>
      </c>
      <c r="G323" s="1469">
        <v>600000</v>
      </c>
      <c r="H323" s="1469" t="s">
        <v>3362</v>
      </c>
      <c r="I323" s="21" t="s">
        <v>1099</v>
      </c>
      <c r="J323" s="1469">
        <f t="shared" ref="J323:J337" si="31">G323</f>
        <v>600000</v>
      </c>
      <c r="K323" s="1469">
        <f t="shared" ref="K323:K340" si="32">F323-J323</f>
        <v>0</v>
      </c>
      <c r="L323" s="159" t="s">
        <v>2991</v>
      </c>
    </row>
    <row r="324" spans="1:12" ht="30" customHeight="1" x14ac:dyDescent="0.2">
      <c r="A324" s="4460"/>
      <c r="B324" s="4458"/>
      <c r="C324" s="4538"/>
      <c r="D324" s="4415"/>
      <c r="E324" s="4477"/>
      <c r="F324" s="4415"/>
      <c r="G324" s="1900">
        <v>600000</v>
      </c>
      <c r="H324" s="1900" t="s">
        <v>3507</v>
      </c>
      <c r="I324" s="21" t="s">
        <v>1099</v>
      </c>
      <c r="J324" s="1900">
        <f t="shared" si="31"/>
        <v>600000</v>
      </c>
      <c r="K324" s="1900">
        <f>G324-J324</f>
        <v>0</v>
      </c>
      <c r="L324" s="159" t="s">
        <v>3337</v>
      </c>
    </row>
    <row r="325" spans="1:12" ht="30" customHeight="1" x14ac:dyDescent="0.2">
      <c r="A325" s="1519">
        <v>209</v>
      </c>
      <c r="B325" s="1517" t="s">
        <v>70</v>
      </c>
      <c r="C325" s="1488" t="s">
        <v>3323</v>
      </c>
      <c r="D325" s="1469">
        <v>10000000</v>
      </c>
      <c r="E325" s="1516">
        <v>0.05</v>
      </c>
      <c r="F325" s="1469">
        <f t="shared" si="28"/>
        <v>500000</v>
      </c>
      <c r="G325" s="1469">
        <v>500000</v>
      </c>
      <c r="H325" s="1469" t="s">
        <v>3893</v>
      </c>
      <c r="I325" s="1529" t="s">
        <v>3905</v>
      </c>
      <c r="J325" s="1469">
        <f t="shared" si="31"/>
        <v>500000</v>
      </c>
      <c r="K325" s="1469">
        <f t="shared" si="32"/>
        <v>0</v>
      </c>
      <c r="L325" s="1517"/>
    </row>
    <row r="326" spans="1:12" ht="30" customHeight="1" x14ac:dyDescent="0.2">
      <c r="A326" s="1519">
        <v>210</v>
      </c>
      <c r="B326" s="1517" t="s">
        <v>72</v>
      </c>
      <c r="C326" s="1488" t="s">
        <v>392</v>
      </c>
      <c r="D326" s="1469">
        <v>50000000</v>
      </c>
      <c r="E326" s="1516">
        <v>7.0000000000000007E-2</v>
      </c>
      <c r="F326" s="1469">
        <f t="shared" si="28"/>
        <v>3500000.0000000005</v>
      </c>
      <c r="G326" s="1469">
        <v>3500000</v>
      </c>
      <c r="H326" s="1469" t="s">
        <v>3485</v>
      </c>
      <c r="I326" s="21" t="s">
        <v>3494</v>
      </c>
      <c r="J326" s="1469">
        <f t="shared" si="31"/>
        <v>3500000</v>
      </c>
      <c r="K326" s="1469">
        <f t="shared" si="32"/>
        <v>0</v>
      </c>
      <c r="L326" s="1517"/>
    </row>
    <row r="327" spans="1:12" ht="30" customHeight="1" x14ac:dyDescent="0.2">
      <c r="A327" s="1519">
        <v>211</v>
      </c>
      <c r="B327" s="1517" t="s">
        <v>73</v>
      </c>
      <c r="C327" s="1488" t="s">
        <v>1295</v>
      </c>
      <c r="D327" s="1469">
        <v>100000000</v>
      </c>
      <c r="E327" s="1516">
        <v>0.05</v>
      </c>
      <c r="F327" s="1469">
        <f t="shared" si="28"/>
        <v>5000000</v>
      </c>
      <c r="G327" s="1469">
        <v>5000000</v>
      </c>
      <c r="H327" s="1469" t="s">
        <v>3427</v>
      </c>
      <c r="I327" s="21" t="s">
        <v>1411</v>
      </c>
      <c r="J327" s="1469">
        <f t="shared" si="31"/>
        <v>5000000</v>
      </c>
      <c r="K327" s="1469">
        <f t="shared" si="32"/>
        <v>0</v>
      </c>
      <c r="L327" s="1517"/>
    </row>
    <row r="328" spans="1:12" ht="30" customHeight="1" x14ac:dyDescent="0.2">
      <c r="A328" s="1519">
        <v>212</v>
      </c>
      <c r="B328" s="1517" t="s">
        <v>74</v>
      </c>
      <c r="C328" s="1488"/>
      <c r="D328" s="1469">
        <v>30000000</v>
      </c>
      <c r="E328" s="1516">
        <v>0.05</v>
      </c>
      <c r="F328" s="1469">
        <f t="shared" si="28"/>
        <v>1500000</v>
      </c>
      <c r="G328" s="1469">
        <v>1500000</v>
      </c>
      <c r="H328" s="1469" t="s">
        <v>3427</v>
      </c>
      <c r="I328" s="21" t="s">
        <v>1275</v>
      </c>
      <c r="J328" s="1469">
        <f t="shared" si="31"/>
        <v>1500000</v>
      </c>
      <c r="K328" s="1469">
        <f t="shared" si="32"/>
        <v>0</v>
      </c>
      <c r="L328" s="1517"/>
    </row>
    <row r="329" spans="1:12" ht="30" customHeight="1" x14ac:dyDescent="0.2">
      <c r="A329" s="1519">
        <v>213</v>
      </c>
      <c r="B329" s="1517" t="s">
        <v>75</v>
      </c>
      <c r="C329" s="1488"/>
      <c r="D329" s="1469">
        <v>15000000</v>
      </c>
      <c r="E329" s="1516">
        <v>4.7E-2</v>
      </c>
      <c r="F329" s="1469">
        <v>700000</v>
      </c>
      <c r="G329" s="1469">
        <v>700000</v>
      </c>
      <c r="H329" s="1469" t="s">
        <v>3362</v>
      </c>
      <c r="I329" s="21" t="s">
        <v>3406</v>
      </c>
      <c r="J329" s="1469">
        <f t="shared" si="31"/>
        <v>700000</v>
      </c>
      <c r="K329" s="1469">
        <f t="shared" si="32"/>
        <v>0</v>
      </c>
      <c r="L329" s="1517"/>
    </row>
    <row r="330" spans="1:12" ht="30" customHeight="1" x14ac:dyDescent="0.2">
      <c r="A330" s="1519">
        <v>214</v>
      </c>
      <c r="B330" s="1517" t="s">
        <v>937</v>
      </c>
      <c r="C330" s="1488"/>
      <c r="D330" s="1469">
        <v>200000000</v>
      </c>
      <c r="E330" s="1516">
        <v>5.5E-2</v>
      </c>
      <c r="F330" s="1469">
        <f t="shared" si="28"/>
        <v>11000000</v>
      </c>
      <c r="G330" s="1469"/>
      <c r="H330" s="1469"/>
      <c r="I330" s="21"/>
      <c r="J330" s="1469">
        <f t="shared" si="31"/>
        <v>0</v>
      </c>
      <c r="K330" s="1469">
        <f t="shared" si="32"/>
        <v>11000000</v>
      </c>
      <c r="L330" s="1517"/>
    </row>
    <row r="331" spans="1:12" ht="30" customHeight="1" x14ac:dyDescent="0.2">
      <c r="A331" s="1519">
        <v>215</v>
      </c>
      <c r="B331" s="4457" t="s">
        <v>76</v>
      </c>
      <c r="C331" s="4537"/>
      <c r="D331" s="1469">
        <v>70000000</v>
      </c>
      <c r="E331" s="1516">
        <v>0.05</v>
      </c>
      <c r="F331" s="1469">
        <f t="shared" si="28"/>
        <v>3500000</v>
      </c>
      <c r="G331" s="1469">
        <v>3500000</v>
      </c>
      <c r="H331" s="1469" t="s">
        <v>3485</v>
      </c>
      <c r="I331" s="21" t="s">
        <v>3513</v>
      </c>
      <c r="J331" s="1469">
        <f t="shared" si="31"/>
        <v>3500000</v>
      </c>
      <c r="K331" s="1469">
        <f t="shared" si="32"/>
        <v>0</v>
      </c>
      <c r="L331" s="1517"/>
    </row>
    <row r="332" spans="1:12" ht="30" customHeight="1" x14ac:dyDescent="0.2">
      <c r="A332" s="1777"/>
      <c r="B332" s="4488"/>
      <c r="C332" s="4540"/>
      <c r="D332" s="4325" t="s">
        <v>2045</v>
      </c>
      <c r="E332" s="4326"/>
      <c r="F332" s="4563"/>
      <c r="G332" s="1773">
        <v>25000000</v>
      </c>
      <c r="H332" s="1773" t="s">
        <v>3712</v>
      </c>
      <c r="I332" s="21" t="s">
        <v>3729</v>
      </c>
      <c r="J332" s="4413">
        <f>G332+G333</f>
        <v>70000000</v>
      </c>
      <c r="K332" s="4413">
        <f>70000000-J332</f>
        <v>0</v>
      </c>
      <c r="L332" s="4599"/>
    </row>
    <row r="333" spans="1:12" ht="30" customHeight="1" x14ac:dyDescent="0.2">
      <c r="A333" s="1777"/>
      <c r="B333" s="4458"/>
      <c r="C333" s="4538"/>
      <c r="D333" s="4564"/>
      <c r="E333" s="4596"/>
      <c r="F333" s="4565"/>
      <c r="G333" s="1773">
        <v>45000000</v>
      </c>
      <c r="H333" s="1773" t="s">
        <v>2599</v>
      </c>
      <c r="I333" s="21" t="s">
        <v>3729</v>
      </c>
      <c r="J333" s="4415"/>
      <c r="K333" s="4415"/>
      <c r="L333" s="4607"/>
    </row>
    <row r="334" spans="1:12" ht="30" customHeight="1" x14ac:dyDescent="0.2">
      <c r="A334" s="1519">
        <v>216</v>
      </c>
      <c r="B334" s="1517" t="s">
        <v>77</v>
      </c>
      <c r="C334" s="1488" t="s">
        <v>889</v>
      </c>
      <c r="D334" s="1469">
        <v>250000000</v>
      </c>
      <c r="E334" s="1516">
        <v>4.4999999999999998E-2</v>
      </c>
      <c r="F334" s="1469">
        <f t="shared" si="28"/>
        <v>11250000</v>
      </c>
      <c r="G334" s="1469">
        <v>11250000</v>
      </c>
      <c r="H334" s="1469" t="s">
        <v>3362</v>
      </c>
      <c r="I334" s="18" t="s">
        <v>3401</v>
      </c>
      <c r="J334" s="1469">
        <f t="shared" si="31"/>
        <v>11250000</v>
      </c>
      <c r="K334" s="1469">
        <f t="shared" si="32"/>
        <v>0</v>
      </c>
      <c r="L334" s="1517"/>
    </row>
    <row r="335" spans="1:12" ht="30" customHeight="1" x14ac:dyDescent="0.2">
      <c r="A335" s="1462">
        <v>217</v>
      </c>
      <c r="B335" s="1517" t="s">
        <v>79</v>
      </c>
      <c r="C335" s="1518"/>
      <c r="D335" s="1489">
        <v>160000000</v>
      </c>
      <c r="E335" s="1516">
        <v>0.05</v>
      </c>
      <c r="F335" s="1489">
        <f t="shared" si="28"/>
        <v>8000000</v>
      </c>
      <c r="G335" s="1489"/>
      <c r="H335" s="1489"/>
      <c r="I335" s="1529"/>
      <c r="J335" s="1489">
        <f t="shared" si="31"/>
        <v>0</v>
      </c>
      <c r="K335" s="1489">
        <f t="shared" si="32"/>
        <v>8000000</v>
      </c>
      <c r="L335" s="1473"/>
    </row>
    <row r="336" spans="1:12" ht="30" customHeight="1" x14ac:dyDescent="0.2">
      <c r="A336" s="4459">
        <v>218</v>
      </c>
      <c r="B336" s="4457" t="s">
        <v>80</v>
      </c>
      <c r="C336" s="4537"/>
      <c r="D336" s="4413">
        <v>45000000</v>
      </c>
      <c r="E336" s="4476">
        <v>0.04</v>
      </c>
      <c r="F336" s="4413">
        <f t="shared" si="28"/>
        <v>1800000</v>
      </c>
      <c r="G336" s="1469">
        <v>1800000</v>
      </c>
      <c r="H336" s="1469" t="s">
        <v>3427</v>
      </c>
      <c r="I336" s="65" t="s">
        <v>1695</v>
      </c>
      <c r="J336" s="1469">
        <f t="shared" si="31"/>
        <v>1800000</v>
      </c>
      <c r="K336" s="1469">
        <f t="shared" si="32"/>
        <v>0</v>
      </c>
      <c r="L336" s="1517"/>
    </row>
    <row r="337" spans="1:12" ht="30" customHeight="1" x14ac:dyDescent="0.2">
      <c r="A337" s="4460"/>
      <c r="B337" s="4458"/>
      <c r="C337" s="4538"/>
      <c r="D337" s="4415"/>
      <c r="E337" s="4477"/>
      <c r="F337" s="4415"/>
      <c r="G337" s="1642">
        <v>3600000</v>
      </c>
      <c r="H337" s="1642" t="s">
        <v>3558</v>
      </c>
      <c r="I337" s="65" t="s">
        <v>3561</v>
      </c>
      <c r="J337" s="1642">
        <f t="shared" si="31"/>
        <v>3600000</v>
      </c>
      <c r="K337" s="1642"/>
      <c r="L337" s="159" t="s">
        <v>3562</v>
      </c>
    </row>
    <row r="338" spans="1:12" ht="30" customHeight="1" x14ac:dyDescent="0.2">
      <c r="A338" s="1519">
        <v>219</v>
      </c>
      <c r="B338" s="1517" t="s">
        <v>1791</v>
      </c>
      <c r="C338" s="1488"/>
      <c r="D338" s="1478"/>
      <c r="E338" s="40"/>
      <c r="F338" s="1478">
        <f t="shared" si="28"/>
        <v>0</v>
      </c>
      <c r="G338" s="1469"/>
      <c r="H338" s="1469"/>
      <c r="I338" s="21"/>
      <c r="J338" s="1469"/>
      <c r="K338" s="1478">
        <f t="shared" si="32"/>
        <v>0</v>
      </c>
      <c r="L338" s="1517"/>
    </row>
    <row r="339" spans="1:12" ht="30" customHeight="1" x14ac:dyDescent="0.2">
      <c r="A339" s="1519">
        <v>220</v>
      </c>
      <c r="B339" s="1514" t="s">
        <v>81</v>
      </c>
      <c r="C339" s="345"/>
      <c r="D339" s="1467">
        <v>203000000</v>
      </c>
      <c r="E339" s="1465">
        <v>0.05</v>
      </c>
      <c r="F339" s="1467">
        <f t="shared" si="28"/>
        <v>10150000</v>
      </c>
      <c r="G339" s="1469">
        <v>10150000</v>
      </c>
      <c r="H339" s="1469" t="s">
        <v>3362</v>
      </c>
      <c r="I339" s="21" t="s">
        <v>3409</v>
      </c>
      <c r="J339" s="1467">
        <f>G339</f>
        <v>10150000</v>
      </c>
      <c r="K339" s="1467">
        <f t="shared" si="32"/>
        <v>0</v>
      </c>
      <c r="L339" s="1517"/>
    </row>
    <row r="340" spans="1:12" ht="30" customHeight="1" x14ac:dyDescent="0.2">
      <c r="A340" s="1519">
        <v>221</v>
      </c>
      <c r="B340" s="1514" t="s">
        <v>326</v>
      </c>
      <c r="C340" s="345"/>
      <c r="D340" s="1467">
        <v>275000000</v>
      </c>
      <c r="E340" s="1465">
        <v>4.2000000000000003E-2</v>
      </c>
      <c r="F340" s="1467">
        <f>D340*E340</f>
        <v>11550000</v>
      </c>
      <c r="G340" s="1468">
        <v>11550000</v>
      </c>
      <c r="H340" s="1468" t="s">
        <v>3463</v>
      </c>
      <c r="I340" s="384" t="s">
        <v>1654</v>
      </c>
      <c r="J340" s="1467">
        <f>G340</f>
        <v>11550000</v>
      </c>
      <c r="K340" s="1467">
        <f t="shared" si="32"/>
        <v>0</v>
      </c>
      <c r="L340" s="1484"/>
    </row>
    <row r="341" spans="1:12" ht="30" customHeight="1" x14ac:dyDescent="0.2">
      <c r="A341" s="383">
        <v>222</v>
      </c>
      <c r="B341" s="4457" t="s">
        <v>1818</v>
      </c>
      <c r="C341" s="4537" t="s">
        <v>1287</v>
      </c>
      <c r="D341" s="4413">
        <v>700000000</v>
      </c>
      <c r="E341" s="4476">
        <v>0.06</v>
      </c>
      <c r="F341" s="4413">
        <f>D341*E341</f>
        <v>42000000</v>
      </c>
      <c r="G341" s="1489">
        <v>5000000</v>
      </c>
      <c r="H341" s="1489" t="s">
        <v>3362</v>
      </c>
      <c r="I341" s="1513" t="s">
        <v>3404</v>
      </c>
      <c r="J341" s="4413">
        <f>5000000+G341+G342+G343</f>
        <v>42000000</v>
      </c>
      <c r="K341" s="4413">
        <f>F341-J341</f>
        <v>0</v>
      </c>
      <c r="L341" s="1731" t="s">
        <v>3694</v>
      </c>
    </row>
    <row r="342" spans="1:12" ht="30" customHeight="1" x14ac:dyDescent="0.2">
      <c r="A342" s="1536"/>
      <c r="B342" s="4488"/>
      <c r="C342" s="4540"/>
      <c r="D342" s="4414"/>
      <c r="E342" s="4516"/>
      <c r="F342" s="4414"/>
      <c r="G342" s="1718">
        <v>5000000</v>
      </c>
      <c r="H342" s="1718" t="s">
        <v>3691</v>
      </c>
      <c r="I342" s="21" t="s">
        <v>3357</v>
      </c>
      <c r="J342" s="4414"/>
      <c r="K342" s="4414"/>
      <c r="L342" s="1731" t="s">
        <v>3693</v>
      </c>
    </row>
    <row r="343" spans="1:12" ht="30" customHeight="1" x14ac:dyDescent="0.2">
      <c r="A343" s="1536"/>
      <c r="B343" s="4458"/>
      <c r="C343" s="4538"/>
      <c r="D343" s="4415"/>
      <c r="E343" s="4477"/>
      <c r="F343" s="4415"/>
      <c r="G343" s="1469">
        <v>27000000</v>
      </c>
      <c r="H343" s="1469" t="s">
        <v>3692</v>
      </c>
      <c r="I343" s="21" t="s">
        <v>3724</v>
      </c>
      <c r="J343" s="4415"/>
      <c r="K343" s="4415"/>
      <c r="L343" s="1732"/>
    </row>
    <row r="344" spans="1:12" ht="30" customHeight="1" x14ac:dyDescent="0.2">
      <c r="A344" s="1464">
        <v>223</v>
      </c>
      <c r="B344" s="1461" t="s">
        <v>83</v>
      </c>
      <c r="C344" s="1488" t="s">
        <v>1652</v>
      </c>
      <c r="D344" s="1469">
        <v>100000000</v>
      </c>
      <c r="E344" s="1466">
        <v>0.05</v>
      </c>
      <c r="F344" s="1469">
        <f t="shared" si="28"/>
        <v>5000000</v>
      </c>
      <c r="G344" s="1469">
        <v>5000000</v>
      </c>
      <c r="H344" s="1469" t="s">
        <v>3485</v>
      </c>
      <c r="I344" s="21" t="s">
        <v>3491</v>
      </c>
      <c r="J344" s="1469">
        <f t="shared" ref="J344:J349" si="33">G344</f>
        <v>5000000</v>
      </c>
      <c r="K344" s="1469">
        <f t="shared" ref="K344:K349" si="34">F344-J344</f>
        <v>0</v>
      </c>
      <c r="L344" s="1517"/>
    </row>
    <row r="345" spans="1:12" ht="30" customHeight="1" x14ac:dyDescent="0.2">
      <c r="A345" s="1519">
        <v>224</v>
      </c>
      <c r="B345" s="1517" t="s">
        <v>2623</v>
      </c>
      <c r="C345" s="1488"/>
      <c r="D345" s="1469">
        <v>10000000</v>
      </c>
      <c r="E345" s="1516">
        <v>0.05</v>
      </c>
      <c r="F345" s="1469">
        <f t="shared" si="28"/>
        <v>500000</v>
      </c>
      <c r="G345" s="1469">
        <v>500000</v>
      </c>
      <c r="H345" s="1469" t="s">
        <v>3427</v>
      </c>
      <c r="I345" s="21" t="s">
        <v>355</v>
      </c>
      <c r="J345" s="1469">
        <f t="shared" si="33"/>
        <v>500000</v>
      </c>
      <c r="K345" s="1469">
        <f t="shared" si="34"/>
        <v>0</v>
      </c>
      <c r="L345" s="1517"/>
    </row>
    <row r="346" spans="1:12" ht="30" customHeight="1" x14ac:dyDescent="0.2">
      <c r="A346" s="1464">
        <v>226</v>
      </c>
      <c r="B346" s="1515" t="s">
        <v>86</v>
      </c>
      <c r="C346" s="1488"/>
      <c r="D346" s="1489">
        <v>410000000</v>
      </c>
      <c r="E346" s="1516">
        <v>0.06</v>
      </c>
      <c r="F346" s="1489">
        <f>D346*E346</f>
        <v>24600000</v>
      </c>
      <c r="G346" s="1489">
        <v>24600000</v>
      </c>
      <c r="H346" s="1489" t="s">
        <v>3427</v>
      </c>
      <c r="I346" s="1489" t="s">
        <v>2391</v>
      </c>
      <c r="J346" s="1489">
        <f t="shared" si="33"/>
        <v>24600000</v>
      </c>
      <c r="K346" s="1469">
        <f t="shared" si="34"/>
        <v>0</v>
      </c>
      <c r="L346" s="1474"/>
    </row>
    <row r="347" spans="1:12" ht="30" customHeight="1" x14ac:dyDescent="0.2">
      <c r="A347" s="1519">
        <v>227</v>
      </c>
      <c r="B347" s="1517" t="s">
        <v>87</v>
      </c>
      <c r="C347" s="1488" t="s">
        <v>889</v>
      </c>
      <c r="D347" s="1469">
        <v>20000000</v>
      </c>
      <c r="E347" s="1516">
        <v>0.05</v>
      </c>
      <c r="F347" s="1469">
        <f>D347*E347</f>
        <v>1000000</v>
      </c>
      <c r="G347" s="1469">
        <v>1000000</v>
      </c>
      <c r="H347" s="1469" t="s">
        <v>3427</v>
      </c>
      <c r="I347" s="18" t="s">
        <v>361</v>
      </c>
      <c r="J347" s="1469">
        <f t="shared" si="33"/>
        <v>1000000</v>
      </c>
      <c r="K347" s="1469">
        <f t="shared" si="34"/>
        <v>0</v>
      </c>
      <c r="L347" s="1517"/>
    </row>
    <row r="348" spans="1:12" ht="30" customHeight="1" x14ac:dyDescent="0.2">
      <c r="A348" s="1519">
        <v>228</v>
      </c>
      <c r="B348" s="1517" t="s">
        <v>88</v>
      </c>
      <c r="C348" s="1488" t="s">
        <v>1176</v>
      </c>
      <c r="D348" s="1469">
        <v>10000000</v>
      </c>
      <c r="E348" s="1516">
        <v>0.04</v>
      </c>
      <c r="F348" s="1469">
        <f t="shared" si="28"/>
        <v>400000</v>
      </c>
      <c r="G348" s="1469">
        <v>400000</v>
      </c>
      <c r="H348" s="1469" t="s">
        <v>3547</v>
      </c>
      <c r="I348" s="26" t="s">
        <v>417</v>
      </c>
      <c r="J348" s="1469">
        <f t="shared" si="33"/>
        <v>400000</v>
      </c>
      <c r="K348" s="1469">
        <f t="shared" si="34"/>
        <v>0</v>
      </c>
      <c r="L348" s="1517"/>
    </row>
    <row r="349" spans="1:12" ht="30" customHeight="1" x14ac:dyDescent="0.2">
      <c r="A349" s="1519">
        <v>229</v>
      </c>
      <c r="B349" s="1517" t="s">
        <v>89</v>
      </c>
      <c r="C349" s="1488" t="s">
        <v>889</v>
      </c>
      <c r="D349" s="1469">
        <v>52000000</v>
      </c>
      <c r="E349" s="1516">
        <v>0.05</v>
      </c>
      <c r="F349" s="1469">
        <f t="shared" si="28"/>
        <v>2600000</v>
      </c>
      <c r="G349" s="1469"/>
      <c r="H349" s="1469"/>
      <c r="I349" s="21"/>
      <c r="J349" s="1469">
        <f t="shared" si="33"/>
        <v>0</v>
      </c>
      <c r="K349" s="1469">
        <f t="shared" si="34"/>
        <v>2600000</v>
      </c>
      <c r="L349" s="1517"/>
    </row>
    <row r="350" spans="1:12" ht="30" customHeight="1" x14ac:dyDescent="0.2">
      <c r="A350" s="1787"/>
      <c r="B350" s="1786"/>
      <c r="C350" s="1790"/>
      <c r="D350" s="1788">
        <v>20000000</v>
      </c>
      <c r="E350" s="1791">
        <v>0.05</v>
      </c>
      <c r="F350" s="1788">
        <f t="shared" si="28"/>
        <v>1000000</v>
      </c>
      <c r="G350" s="1789">
        <v>1000000</v>
      </c>
      <c r="H350" s="1789" t="s">
        <v>3485</v>
      </c>
      <c r="I350" s="1789" t="s">
        <v>449</v>
      </c>
      <c r="J350" s="1789">
        <f t="shared" ref="J350:J351" si="35">G350</f>
        <v>1000000</v>
      </c>
      <c r="K350" s="1788">
        <f t="shared" ref="K350:K351" si="36">F350-J350</f>
        <v>0</v>
      </c>
      <c r="L350" s="1662" t="s">
        <v>3488</v>
      </c>
    </row>
    <row r="351" spans="1:12" ht="30" customHeight="1" x14ac:dyDescent="0.2">
      <c r="A351" s="4459"/>
      <c r="B351" s="4457" t="s">
        <v>90</v>
      </c>
      <c r="C351" s="4537" t="s">
        <v>1718</v>
      </c>
      <c r="D351" s="1789">
        <v>20000000</v>
      </c>
      <c r="E351" s="1791">
        <v>0.05</v>
      </c>
      <c r="F351" s="1789">
        <f t="shared" si="28"/>
        <v>1000000</v>
      </c>
      <c r="G351" s="1590">
        <v>1000000</v>
      </c>
      <c r="H351" s="1590" t="s">
        <v>3485</v>
      </c>
      <c r="I351" s="1590"/>
      <c r="J351" s="1590">
        <f t="shared" si="35"/>
        <v>1000000</v>
      </c>
      <c r="K351" s="1469">
        <f t="shared" si="36"/>
        <v>0</v>
      </c>
      <c r="L351" s="1662"/>
    </row>
    <row r="352" spans="1:12" ht="30" customHeight="1" x14ac:dyDescent="0.2">
      <c r="A352" s="4460"/>
      <c r="B352" s="4458"/>
      <c r="C352" s="4538"/>
      <c r="D352" s="1789">
        <v>15000000</v>
      </c>
      <c r="E352" s="1791">
        <v>0.05</v>
      </c>
      <c r="F352" s="1789">
        <f t="shared" si="28"/>
        <v>750000</v>
      </c>
      <c r="G352" s="1580"/>
      <c r="H352" s="1580"/>
      <c r="I352" s="1580"/>
      <c r="J352" s="1580"/>
      <c r="K352" s="1580"/>
      <c r="L352" s="1600"/>
    </row>
    <row r="353" spans="1:14" ht="30" customHeight="1" x14ac:dyDescent="0.2">
      <c r="A353" s="1464">
        <v>231</v>
      </c>
      <c r="B353" s="1461" t="s">
        <v>91</v>
      </c>
      <c r="C353" s="1488" t="s">
        <v>1080</v>
      </c>
      <c r="D353" s="1469">
        <v>30000000</v>
      </c>
      <c r="E353" s="1466">
        <v>4.4999999999999998E-2</v>
      </c>
      <c r="F353" s="1469">
        <f t="shared" si="28"/>
        <v>1350000</v>
      </c>
      <c r="G353" s="1469">
        <v>1350000</v>
      </c>
      <c r="H353" s="1469" t="s">
        <v>3463</v>
      </c>
      <c r="I353" s="382" t="s">
        <v>298</v>
      </c>
      <c r="J353" s="1469">
        <f t="shared" ref="J353:J365" si="37">G353</f>
        <v>1350000</v>
      </c>
      <c r="K353" s="1469">
        <f t="shared" ref="K353:K364" si="38">F353-J353</f>
        <v>0</v>
      </c>
      <c r="L353" s="1517"/>
    </row>
    <row r="354" spans="1:14" ht="30" customHeight="1" x14ac:dyDescent="0.2">
      <c r="A354" s="1519">
        <v>232</v>
      </c>
      <c r="B354" s="1517" t="s">
        <v>1602</v>
      </c>
      <c r="C354" s="1488" t="s">
        <v>1172</v>
      </c>
      <c r="D354" s="1469">
        <v>55000000</v>
      </c>
      <c r="E354" s="1516">
        <v>0.04</v>
      </c>
      <c r="F354" s="1469">
        <f t="shared" si="28"/>
        <v>2200000</v>
      </c>
      <c r="G354" s="1469">
        <v>2200000</v>
      </c>
      <c r="H354" s="1469" t="s">
        <v>3434</v>
      </c>
      <c r="I354" s="21" t="s">
        <v>1604</v>
      </c>
      <c r="J354" s="1469">
        <f t="shared" si="37"/>
        <v>2200000</v>
      </c>
      <c r="K354" s="1469">
        <f t="shared" si="38"/>
        <v>0</v>
      </c>
      <c r="L354" s="1517"/>
    </row>
    <row r="355" spans="1:14" ht="30" customHeight="1" x14ac:dyDescent="0.2">
      <c r="A355" s="1519">
        <v>233</v>
      </c>
      <c r="B355" s="1517" t="s">
        <v>275</v>
      </c>
      <c r="C355" s="1488" t="s">
        <v>372</v>
      </c>
      <c r="D355" s="1469">
        <v>50000000</v>
      </c>
      <c r="E355" s="1516">
        <v>0.05</v>
      </c>
      <c r="F355" s="1469">
        <f t="shared" si="28"/>
        <v>2500000</v>
      </c>
      <c r="G355" s="1469">
        <v>2500000</v>
      </c>
      <c r="H355" s="1469" t="s">
        <v>3731</v>
      </c>
      <c r="I355" s="21" t="s">
        <v>273</v>
      </c>
      <c r="J355" s="1469">
        <f t="shared" si="37"/>
        <v>2500000</v>
      </c>
      <c r="K355" s="1469">
        <f t="shared" si="38"/>
        <v>0</v>
      </c>
      <c r="L355" s="159"/>
    </row>
    <row r="356" spans="1:14" ht="30" customHeight="1" x14ac:dyDescent="0.2">
      <c r="A356" s="1519">
        <v>234</v>
      </c>
      <c r="B356" s="1514" t="s">
        <v>93</v>
      </c>
      <c r="C356" s="378"/>
      <c r="D356" s="1481"/>
      <c r="E356" s="40"/>
      <c r="F356" s="1489">
        <v>21000000</v>
      </c>
      <c r="G356" s="1489">
        <v>21000000</v>
      </c>
      <c r="H356" s="1489" t="s">
        <v>3427</v>
      </c>
      <c r="I356" s="1513" t="s">
        <v>506</v>
      </c>
      <c r="J356" s="1489">
        <f t="shared" si="37"/>
        <v>21000000</v>
      </c>
      <c r="K356" s="1469">
        <f t="shared" si="38"/>
        <v>0</v>
      </c>
      <c r="L356" s="1506"/>
    </row>
    <row r="357" spans="1:14" ht="30" customHeight="1" x14ac:dyDescent="0.2">
      <c r="A357" s="4459">
        <v>235</v>
      </c>
      <c r="B357" s="4457" t="s">
        <v>94</v>
      </c>
      <c r="C357" s="4537" t="s">
        <v>1172</v>
      </c>
      <c r="D357" s="4413">
        <v>50000000</v>
      </c>
      <c r="E357" s="4476">
        <v>0.04</v>
      </c>
      <c r="F357" s="4413">
        <f t="shared" si="28"/>
        <v>2000000</v>
      </c>
      <c r="G357" s="4322">
        <v>400000</v>
      </c>
      <c r="H357" s="4322" t="s">
        <v>3558</v>
      </c>
      <c r="I357" s="4828" t="s">
        <v>1857</v>
      </c>
      <c r="J357" s="4413">
        <f t="shared" si="37"/>
        <v>400000</v>
      </c>
      <c r="K357" s="4413">
        <f t="shared" si="38"/>
        <v>1600000</v>
      </c>
      <c r="L357" s="4492" t="s">
        <v>3572</v>
      </c>
    </row>
    <row r="358" spans="1:14" ht="30" customHeight="1" x14ac:dyDescent="0.2">
      <c r="A358" s="4464"/>
      <c r="B358" s="4488"/>
      <c r="C358" s="4540"/>
      <c r="D358" s="4415"/>
      <c r="E358" s="4477"/>
      <c r="F358" s="4415"/>
      <c r="G358" s="4322"/>
      <c r="H358" s="4322"/>
      <c r="I358" s="4829"/>
      <c r="J358" s="4415"/>
      <c r="K358" s="4415"/>
      <c r="L358" s="4493"/>
    </row>
    <row r="359" spans="1:14" ht="30" customHeight="1" x14ac:dyDescent="0.2">
      <c r="A359" s="4460"/>
      <c r="B359" s="4458"/>
      <c r="C359" s="4538"/>
      <c r="D359" s="1619">
        <v>60000000</v>
      </c>
      <c r="E359" s="1620">
        <v>0.05</v>
      </c>
      <c r="F359" s="1619">
        <f>D359*E359</f>
        <v>3000000</v>
      </c>
      <c r="G359" s="4469" t="s">
        <v>3383</v>
      </c>
      <c r="H359" s="4470"/>
      <c r="I359" s="4470"/>
      <c r="J359" s="4471"/>
      <c r="K359" s="1618"/>
      <c r="L359" s="1621"/>
    </row>
    <row r="360" spans="1:14" ht="30" customHeight="1" x14ac:dyDescent="0.2">
      <c r="A360" s="1519">
        <v>236</v>
      </c>
      <c r="B360" s="1517" t="s">
        <v>95</v>
      </c>
      <c r="C360" s="1488"/>
      <c r="D360" s="1469">
        <v>20000000</v>
      </c>
      <c r="E360" s="1516">
        <v>0.05</v>
      </c>
      <c r="F360" s="1469">
        <f>D360*E360</f>
        <v>1000000</v>
      </c>
      <c r="G360" s="1469">
        <v>1000000</v>
      </c>
      <c r="H360" s="1469" t="s">
        <v>3660</v>
      </c>
      <c r="I360" s="1492" t="s">
        <v>334</v>
      </c>
      <c r="J360" s="1469">
        <f t="shared" si="37"/>
        <v>1000000</v>
      </c>
      <c r="K360" s="1469">
        <f t="shared" si="38"/>
        <v>0</v>
      </c>
      <c r="L360" s="159" t="s">
        <v>2685</v>
      </c>
    </row>
    <row r="361" spans="1:14" ht="30" customHeight="1" x14ac:dyDescent="0.2">
      <c r="A361" s="1519">
        <v>237</v>
      </c>
      <c r="B361" s="1517" t="s">
        <v>96</v>
      </c>
      <c r="C361" s="1488" t="s">
        <v>1718</v>
      </c>
      <c r="D361" s="1469">
        <v>62500000</v>
      </c>
      <c r="E361" s="1516">
        <v>4.8000000000000001E-2</v>
      </c>
      <c r="F361" s="1469">
        <f t="shared" si="28"/>
        <v>3000000</v>
      </c>
      <c r="G361" s="1469">
        <v>3000000</v>
      </c>
      <c r="H361" s="1469" t="s">
        <v>3463</v>
      </c>
      <c r="I361" s="21" t="s">
        <v>3473</v>
      </c>
      <c r="J361" s="1469">
        <f t="shared" si="37"/>
        <v>3000000</v>
      </c>
      <c r="K361" s="1469">
        <f t="shared" si="38"/>
        <v>0</v>
      </c>
      <c r="L361" s="1517"/>
    </row>
    <row r="362" spans="1:14" ht="30" customHeight="1" x14ac:dyDescent="0.2">
      <c r="A362" s="1519">
        <v>238</v>
      </c>
      <c r="B362" s="1517" t="s">
        <v>97</v>
      </c>
      <c r="C362" s="1488" t="s">
        <v>1176</v>
      </c>
      <c r="D362" s="1469">
        <v>100000000</v>
      </c>
      <c r="E362" s="1516">
        <v>0.05</v>
      </c>
      <c r="F362" s="1469">
        <f t="shared" si="28"/>
        <v>5000000</v>
      </c>
      <c r="G362" s="1469">
        <v>5000000</v>
      </c>
      <c r="H362" s="1469" t="s">
        <v>3485</v>
      </c>
      <c r="I362" s="18" t="s">
        <v>3492</v>
      </c>
      <c r="J362" s="1469">
        <f t="shared" si="37"/>
        <v>5000000</v>
      </c>
      <c r="K362" s="1469">
        <f t="shared" si="38"/>
        <v>0</v>
      </c>
      <c r="L362" s="1517"/>
    </row>
    <row r="363" spans="1:14" ht="30" customHeight="1" x14ac:dyDescent="0.2">
      <c r="A363" s="1519">
        <v>239</v>
      </c>
      <c r="B363" s="1517" t="s">
        <v>98</v>
      </c>
      <c r="C363" s="1488" t="s">
        <v>372</v>
      </c>
      <c r="D363" s="1469">
        <v>50000000</v>
      </c>
      <c r="E363" s="1516">
        <v>0.05</v>
      </c>
      <c r="F363" s="1469">
        <f t="shared" si="28"/>
        <v>2500000</v>
      </c>
      <c r="G363" s="1469">
        <v>2500000</v>
      </c>
      <c r="H363" s="1469" t="s">
        <v>3463</v>
      </c>
      <c r="I363" s="21" t="s">
        <v>1876</v>
      </c>
      <c r="J363" s="1469">
        <f t="shared" si="37"/>
        <v>2500000</v>
      </c>
      <c r="K363" s="1469">
        <f t="shared" si="38"/>
        <v>0</v>
      </c>
      <c r="L363" s="1517"/>
    </row>
    <row r="364" spans="1:14" ht="30" customHeight="1" x14ac:dyDescent="0.2">
      <c r="A364" s="1462">
        <v>240</v>
      </c>
      <c r="B364" s="1514" t="s">
        <v>2274</v>
      </c>
      <c r="C364" s="345" t="s">
        <v>990</v>
      </c>
      <c r="D364" s="1467">
        <v>100000000</v>
      </c>
      <c r="E364" s="1465">
        <v>0.04</v>
      </c>
      <c r="F364" s="1467">
        <f t="shared" si="28"/>
        <v>4000000</v>
      </c>
      <c r="G364" s="1469">
        <v>4000000</v>
      </c>
      <c r="H364" s="1469" t="s">
        <v>2472</v>
      </c>
      <c r="I364" s="21" t="s">
        <v>3776</v>
      </c>
      <c r="J364" s="1469">
        <f t="shared" si="37"/>
        <v>4000000</v>
      </c>
      <c r="K364" s="1469">
        <f t="shared" si="38"/>
        <v>0</v>
      </c>
      <c r="L364" s="97"/>
    </row>
    <row r="365" spans="1:14" ht="30" customHeight="1" x14ac:dyDescent="0.2">
      <c r="A365" s="4614">
        <v>241</v>
      </c>
      <c r="B365" s="4615" t="s">
        <v>559</v>
      </c>
      <c r="C365" s="4620" t="s">
        <v>1306</v>
      </c>
      <c r="D365" s="1489">
        <v>20000000</v>
      </c>
      <c r="E365" s="1516">
        <v>7.0000000000000007E-2</v>
      </c>
      <c r="F365" s="1489">
        <f>D365*E365</f>
        <v>1400000.0000000002</v>
      </c>
      <c r="G365" s="4413">
        <v>2300000</v>
      </c>
      <c r="H365" s="4413" t="s">
        <v>2472</v>
      </c>
      <c r="I365" s="4553" t="s">
        <v>557</v>
      </c>
      <c r="J365" s="4413">
        <f t="shared" si="37"/>
        <v>2300000</v>
      </c>
      <c r="K365" s="4413">
        <f>(F365+F366)-J365</f>
        <v>0</v>
      </c>
      <c r="L365" s="4520"/>
    </row>
    <row r="366" spans="1:14" ht="30" customHeight="1" x14ac:dyDescent="0.2">
      <c r="A366" s="4614"/>
      <c r="B366" s="4615"/>
      <c r="C366" s="4620"/>
      <c r="D366" s="1489">
        <v>10000000</v>
      </c>
      <c r="E366" s="1516">
        <v>0.09</v>
      </c>
      <c r="F366" s="1489">
        <f>D366*E366</f>
        <v>900000</v>
      </c>
      <c r="G366" s="4415"/>
      <c r="H366" s="4415"/>
      <c r="I366" s="4554"/>
      <c r="J366" s="4415"/>
      <c r="K366" s="4415"/>
      <c r="L366" s="4479"/>
    </row>
    <row r="367" spans="1:14" ht="30" customHeight="1" x14ac:dyDescent="0.2">
      <c r="A367" s="1519">
        <v>242</v>
      </c>
      <c r="B367" s="1517" t="s">
        <v>100</v>
      </c>
      <c r="C367" s="1488" t="s">
        <v>1652</v>
      </c>
      <c r="D367" s="1469">
        <v>140000000</v>
      </c>
      <c r="E367" s="1466">
        <v>4.4999999999999998E-2</v>
      </c>
      <c r="F367" s="1469">
        <f t="shared" si="28"/>
        <v>6300000</v>
      </c>
      <c r="G367" s="1469">
        <v>6300000</v>
      </c>
      <c r="H367" s="1469" t="s">
        <v>3485</v>
      </c>
      <c r="I367" s="21" t="s">
        <v>3493</v>
      </c>
      <c r="J367" s="1469">
        <f>G367</f>
        <v>6300000</v>
      </c>
      <c r="K367" s="1469">
        <f t="shared" ref="K367:K380" si="39">F367-J367</f>
        <v>0</v>
      </c>
      <c r="L367" s="97"/>
    </row>
    <row r="368" spans="1:14" ht="30" customHeight="1" x14ac:dyDescent="0.2">
      <c r="A368" s="1519">
        <v>243</v>
      </c>
      <c r="B368" s="19" t="s">
        <v>507</v>
      </c>
      <c r="C368" s="1518" t="s">
        <v>262</v>
      </c>
      <c r="D368" s="1489">
        <v>20000000</v>
      </c>
      <c r="E368" s="1516">
        <v>0.04</v>
      </c>
      <c r="F368" s="1489">
        <f>D368*E368</f>
        <v>800000</v>
      </c>
      <c r="G368" s="1489">
        <v>600000</v>
      </c>
      <c r="H368" s="1489" t="s">
        <v>3558</v>
      </c>
      <c r="I368" s="1489" t="s">
        <v>3564</v>
      </c>
      <c r="J368" s="1489">
        <f>G368</f>
        <v>600000</v>
      </c>
      <c r="K368" s="1489">
        <f t="shared" si="39"/>
        <v>200000</v>
      </c>
      <c r="L368" s="97" t="s">
        <v>3565</v>
      </c>
      <c r="M368" s="248"/>
      <c r="N368" s="248"/>
    </row>
    <row r="369" spans="1:15" ht="30" customHeight="1" x14ac:dyDescent="0.2">
      <c r="A369" s="1519">
        <v>244</v>
      </c>
      <c r="B369" s="1461" t="s">
        <v>101</v>
      </c>
      <c r="C369" s="1488"/>
      <c r="D369" s="1469">
        <v>50000000</v>
      </c>
      <c r="E369" s="1516">
        <v>0.05</v>
      </c>
      <c r="F369" s="1469">
        <f t="shared" si="28"/>
        <v>2500000</v>
      </c>
      <c r="G369" s="1469">
        <v>2500000</v>
      </c>
      <c r="H369" s="1469" t="s">
        <v>3485</v>
      </c>
      <c r="I369" s="21" t="s">
        <v>3530</v>
      </c>
      <c r="J369" s="1469">
        <f>G369</f>
        <v>2500000</v>
      </c>
      <c r="K369" s="1469">
        <f t="shared" si="39"/>
        <v>0</v>
      </c>
      <c r="L369" s="1517"/>
    </row>
    <row r="370" spans="1:15" ht="30" customHeight="1" x14ac:dyDescent="0.2">
      <c r="A370" s="1519">
        <v>245</v>
      </c>
      <c r="B370" s="1517" t="s">
        <v>4060</v>
      </c>
      <c r="C370" s="1488" t="s">
        <v>262</v>
      </c>
      <c r="D370" s="1469">
        <v>60000000</v>
      </c>
      <c r="E370" s="1516">
        <v>0.05</v>
      </c>
      <c r="F370" s="1469">
        <f t="shared" si="28"/>
        <v>3000000</v>
      </c>
      <c r="G370" s="1469"/>
      <c r="H370" s="1469"/>
      <c r="I370" s="1491"/>
      <c r="J370" s="1469"/>
      <c r="K370" s="1469">
        <f t="shared" si="39"/>
        <v>3000000</v>
      </c>
      <c r="L370" s="1988" t="s">
        <v>4061</v>
      </c>
    </row>
    <row r="371" spans="1:15" ht="30" customHeight="1" x14ac:dyDescent="0.2">
      <c r="A371" s="1519">
        <v>246</v>
      </c>
      <c r="B371" s="1517" t="s">
        <v>103</v>
      </c>
      <c r="C371" s="1488" t="s">
        <v>262</v>
      </c>
      <c r="D371" s="1469">
        <v>85000000</v>
      </c>
      <c r="E371" s="1516">
        <v>5.0999999999999997E-2</v>
      </c>
      <c r="F371" s="1469">
        <v>4300000</v>
      </c>
      <c r="G371" s="1469">
        <v>4300000</v>
      </c>
      <c r="H371" s="1469" t="s">
        <v>3531</v>
      </c>
      <c r="I371" s="27" t="s">
        <v>2864</v>
      </c>
      <c r="J371" s="1469">
        <f t="shared" ref="J371:J381" si="40">G371</f>
        <v>4300000</v>
      </c>
      <c r="K371" s="1469">
        <f t="shared" si="39"/>
        <v>0</v>
      </c>
      <c r="L371" s="1517"/>
    </row>
    <row r="372" spans="1:15" ht="30" customHeight="1" x14ac:dyDescent="0.2">
      <c r="A372" s="1519">
        <v>247</v>
      </c>
      <c r="B372" s="1517" t="s">
        <v>104</v>
      </c>
      <c r="C372" s="1488"/>
      <c r="D372" s="1469">
        <v>220000000</v>
      </c>
      <c r="E372" s="1516">
        <v>7.0000000000000007E-2</v>
      </c>
      <c r="F372" s="1469">
        <f t="shared" si="28"/>
        <v>15400000.000000002</v>
      </c>
      <c r="G372" s="1469">
        <v>15400000</v>
      </c>
      <c r="H372" s="1469" t="s">
        <v>3547</v>
      </c>
      <c r="I372" s="21" t="s">
        <v>1773</v>
      </c>
      <c r="J372" s="1469">
        <f t="shared" si="40"/>
        <v>15400000</v>
      </c>
      <c r="K372" s="1469">
        <f t="shared" si="39"/>
        <v>0</v>
      </c>
      <c r="L372" s="97" t="s">
        <v>340</v>
      </c>
      <c r="M372" s="859"/>
      <c r="N372" s="860"/>
    </row>
    <row r="373" spans="1:15" ht="30" customHeight="1" x14ac:dyDescent="0.2">
      <c r="A373" s="4459">
        <v>248</v>
      </c>
      <c r="B373" s="4457" t="s">
        <v>105</v>
      </c>
      <c r="C373" s="1488" t="s">
        <v>1172</v>
      </c>
      <c r="D373" s="1469">
        <v>95000000</v>
      </c>
      <c r="E373" s="1516">
        <v>4.4999999999999998E-2</v>
      </c>
      <c r="F373" s="1469">
        <v>4000000</v>
      </c>
      <c r="G373" s="1469">
        <v>4000000</v>
      </c>
      <c r="H373" s="1469" t="s">
        <v>3485</v>
      </c>
      <c r="I373" s="21" t="s">
        <v>2794</v>
      </c>
      <c r="J373" s="1469">
        <f t="shared" si="40"/>
        <v>4000000</v>
      </c>
      <c r="K373" s="1469">
        <f t="shared" si="39"/>
        <v>0</v>
      </c>
      <c r="L373" s="1816" t="s">
        <v>3758</v>
      </c>
    </row>
    <row r="374" spans="1:15" ht="30" customHeight="1" x14ac:dyDescent="0.2">
      <c r="A374" s="4460"/>
      <c r="B374" s="4458"/>
      <c r="C374" s="1801"/>
      <c r="D374" s="4303" t="s">
        <v>3757</v>
      </c>
      <c r="E374" s="4324"/>
      <c r="F374" s="4355"/>
      <c r="G374" s="1799">
        <v>2000000</v>
      </c>
      <c r="H374" s="1799" t="s">
        <v>1189</v>
      </c>
      <c r="I374" s="21" t="s">
        <v>3759</v>
      </c>
      <c r="J374" s="1799">
        <f t="shared" si="40"/>
        <v>2000000</v>
      </c>
      <c r="K374" s="1799">
        <v>0</v>
      </c>
      <c r="L374" s="1816" t="s">
        <v>3760</v>
      </c>
    </row>
    <row r="375" spans="1:15" ht="30" customHeight="1" x14ac:dyDescent="0.2">
      <c r="A375" s="4459">
        <v>249</v>
      </c>
      <c r="B375" s="1517" t="s">
        <v>106</v>
      </c>
      <c r="C375" s="1488" t="s">
        <v>262</v>
      </c>
      <c r="D375" s="1469">
        <v>10000000</v>
      </c>
      <c r="E375" s="1516">
        <v>0.05</v>
      </c>
      <c r="F375" s="1469">
        <f t="shared" si="28"/>
        <v>500000</v>
      </c>
      <c r="G375" s="1469">
        <v>500000</v>
      </c>
      <c r="H375" s="1469" t="s">
        <v>3558</v>
      </c>
      <c r="I375" s="26" t="s">
        <v>3571</v>
      </c>
      <c r="J375" s="1469">
        <f t="shared" si="40"/>
        <v>500000</v>
      </c>
      <c r="K375" s="1469">
        <f t="shared" si="39"/>
        <v>0</v>
      </c>
      <c r="L375" s="4643" t="s">
        <v>1326</v>
      </c>
    </row>
    <row r="376" spans="1:15" ht="30" customHeight="1" x14ac:dyDescent="0.2">
      <c r="A376" s="4460"/>
      <c r="B376" s="1752"/>
      <c r="C376" s="1758"/>
      <c r="D376" s="4303" t="s">
        <v>1672</v>
      </c>
      <c r="E376" s="4324"/>
      <c r="F376" s="4355"/>
      <c r="G376" s="1753">
        <v>10000000</v>
      </c>
      <c r="H376" s="1753" t="s">
        <v>3712</v>
      </c>
      <c r="I376" s="1761" t="s">
        <v>1401</v>
      </c>
      <c r="J376" s="1753">
        <f t="shared" si="40"/>
        <v>10000000</v>
      </c>
      <c r="K376" s="1753"/>
      <c r="L376" s="4644"/>
    </row>
    <row r="377" spans="1:15" ht="30" customHeight="1" x14ac:dyDescent="0.2">
      <c r="A377" s="4459">
        <v>250</v>
      </c>
      <c r="B377" s="4457" t="s">
        <v>107</v>
      </c>
      <c r="C377" s="4537"/>
      <c r="D377" s="1469">
        <v>200000000</v>
      </c>
      <c r="E377" s="1516">
        <v>0.04</v>
      </c>
      <c r="F377" s="1469">
        <f t="shared" si="28"/>
        <v>8000000</v>
      </c>
      <c r="G377" s="1469">
        <v>8000000</v>
      </c>
      <c r="H377" s="1469" t="s">
        <v>3485</v>
      </c>
      <c r="I377" s="1509" t="s">
        <v>2704</v>
      </c>
      <c r="J377" s="1469">
        <f t="shared" si="40"/>
        <v>8000000</v>
      </c>
      <c r="K377" s="1469">
        <f t="shared" si="39"/>
        <v>0</v>
      </c>
      <c r="L377" s="1517"/>
    </row>
    <row r="378" spans="1:15" ht="30" customHeight="1" x14ac:dyDescent="0.2">
      <c r="A378" s="4460"/>
      <c r="B378" s="4458"/>
      <c r="C378" s="4538"/>
      <c r="D378" s="1718">
        <v>110000000</v>
      </c>
      <c r="E378" s="1727"/>
      <c r="F378" s="1718"/>
      <c r="G378" s="4469" t="s">
        <v>3687</v>
      </c>
      <c r="H378" s="4470"/>
      <c r="I378" s="4470"/>
      <c r="J378" s="4471"/>
      <c r="K378" s="1718"/>
      <c r="L378" s="1816"/>
    </row>
    <row r="379" spans="1:15" ht="30" customHeight="1" x14ac:dyDescent="0.2">
      <c r="A379" s="383">
        <v>251</v>
      </c>
      <c r="B379" s="19" t="s">
        <v>1830</v>
      </c>
      <c r="C379" s="2602" t="s">
        <v>371</v>
      </c>
      <c r="D379" s="2597">
        <v>90000000</v>
      </c>
      <c r="E379" s="2608">
        <v>0.06</v>
      </c>
      <c r="F379" s="2597">
        <f t="shared" si="28"/>
        <v>5400000</v>
      </c>
      <c r="G379" s="2597">
        <v>5400000</v>
      </c>
      <c r="H379" s="2597" t="s">
        <v>3558</v>
      </c>
      <c r="I379" s="21" t="s">
        <v>2838</v>
      </c>
      <c r="J379" s="2599">
        <f t="shared" si="40"/>
        <v>5400000</v>
      </c>
      <c r="K379" s="2599">
        <f t="shared" si="39"/>
        <v>0</v>
      </c>
      <c r="L379" s="1816"/>
    </row>
    <row r="380" spans="1:15" ht="30" customHeight="1" x14ac:dyDescent="0.2">
      <c r="A380" s="1519">
        <v>252</v>
      </c>
      <c r="B380" s="1461" t="s">
        <v>109</v>
      </c>
      <c r="C380" s="1488"/>
      <c r="D380" s="1469">
        <v>270000000</v>
      </c>
      <c r="E380" s="1466">
        <v>0.05</v>
      </c>
      <c r="F380" s="1469">
        <f>D380*E380</f>
        <v>13500000</v>
      </c>
      <c r="G380" s="1469">
        <v>13500000</v>
      </c>
      <c r="H380" s="1469" t="s">
        <v>3558</v>
      </c>
      <c r="I380" s="21" t="s">
        <v>3578</v>
      </c>
      <c r="J380" s="1469">
        <f t="shared" si="40"/>
        <v>13500000</v>
      </c>
      <c r="K380" s="1469">
        <f t="shared" si="39"/>
        <v>0</v>
      </c>
      <c r="L380" s="1459"/>
    </row>
    <row r="381" spans="1:15" ht="30" customHeight="1" x14ac:dyDescent="0.2">
      <c r="A381" s="4459">
        <v>253</v>
      </c>
      <c r="B381" s="4457" t="s">
        <v>110</v>
      </c>
      <c r="C381" s="4537" t="s">
        <v>262</v>
      </c>
      <c r="D381" s="1469">
        <v>20000000</v>
      </c>
      <c r="E381" s="1516">
        <v>0.05</v>
      </c>
      <c r="F381" s="1469">
        <f t="shared" si="28"/>
        <v>1000000</v>
      </c>
      <c r="G381" s="4413">
        <v>2000000</v>
      </c>
      <c r="H381" s="4413" t="s">
        <v>3531</v>
      </c>
      <c r="I381" s="4558" t="s">
        <v>3538</v>
      </c>
      <c r="J381" s="4413">
        <f t="shared" si="40"/>
        <v>2000000</v>
      </c>
      <c r="K381" s="4413">
        <f>(F381+F382)-J381</f>
        <v>0</v>
      </c>
      <c r="L381" s="1659" t="s">
        <v>1855</v>
      </c>
      <c r="M381" s="1176"/>
      <c r="N381" s="1176"/>
      <c r="O381" s="1176"/>
    </row>
    <row r="382" spans="1:15" ht="30" customHeight="1" x14ac:dyDescent="0.2">
      <c r="A382" s="4460"/>
      <c r="B382" s="4458"/>
      <c r="C382" s="4538"/>
      <c r="D382" s="1469">
        <v>20000000</v>
      </c>
      <c r="E382" s="1516">
        <v>0.05</v>
      </c>
      <c r="F382" s="1469">
        <f t="shared" si="28"/>
        <v>1000000</v>
      </c>
      <c r="G382" s="4415"/>
      <c r="H382" s="4415"/>
      <c r="I382" s="4560"/>
      <c r="J382" s="4415"/>
      <c r="K382" s="4415"/>
      <c r="L382" s="1175" t="s">
        <v>1869</v>
      </c>
      <c r="M382" s="248"/>
      <c r="N382" s="248"/>
      <c r="O382" s="248"/>
    </row>
    <row r="383" spans="1:15" ht="30" customHeight="1" x14ac:dyDescent="0.2">
      <c r="A383" s="4459">
        <v>254</v>
      </c>
      <c r="B383" s="4457" t="s">
        <v>1893</v>
      </c>
      <c r="C383" s="345"/>
      <c r="D383" s="1469">
        <v>195000000</v>
      </c>
      <c r="E383" s="1516">
        <v>0.05</v>
      </c>
      <c r="F383" s="1469">
        <f t="shared" si="28"/>
        <v>9750000</v>
      </c>
      <c r="G383" s="1489">
        <v>9750000</v>
      </c>
      <c r="H383" s="1489" t="s">
        <v>3558</v>
      </c>
      <c r="I383" s="1489" t="s">
        <v>3576</v>
      </c>
      <c r="J383" s="1469">
        <f>G383</f>
        <v>9750000</v>
      </c>
      <c r="K383" s="1469">
        <f>F383-J383</f>
        <v>0</v>
      </c>
      <c r="L383" s="1659" t="s">
        <v>3577</v>
      </c>
      <c r="M383" s="1663"/>
      <c r="N383" s="1663"/>
      <c r="O383" s="1663"/>
    </row>
    <row r="384" spans="1:15" ht="30" customHeight="1" x14ac:dyDescent="0.2">
      <c r="A384" s="4464"/>
      <c r="B384" s="4488"/>
      <c r="C384" s="711"/>
      <c r="D384" s="4303" t="s">
        <v>3892</v>
      </c>
      <c r="E384" s="4324"/>
      <c r="F384" s="4355"/>
      <c r="G384" s="1900">
        <v>20000000</v>
      </c>
      <c r="H384" s="1900" t="s">
        <v>3886</v>
      </c>
      <c r="I384" s="1910" t="s">
        <v>2946</v>
      </c>
      <c r="J384" s="1900">
        <f>G384</f>
        <v>20000000</v>
      </c>
      <c r="K384" s="1900"/>
      <c r="L384" s="1919"/>
      <c r="M384" s="248"/>
      <c r="N384" s="248"/>
      <c r="O384" s="248"/>
    </row>
    <row r="385" spans="1:15" ht="30" customHeight="1" x14ac:dyDescent="0.2">
      <c r="A385" s="4460"/>
      <c r="B385" s="4458"/>
      <c r="C385" s="1906"/>
      <c r="D385" s="1910">
        <v>175000000</v>
      </c>
      <c r="E385" s="1917">
        <v>0.05</v>
      </c>
      <c r="F385" s="1910">
        <f>D385*E385</f>
        <v>8750000</v>
      </c>
      <c r="G385" s="1900"/>
      <c r="H385" s="1900"/>
      <c r="I385" s="1910"/>
      <c r="J385" s="1900"/>
      <c r="K385" s="1900"/>
      <c r="L385" s="1919"/>
      <c r="M385" s="248"/>
      <c r="N385" s="248"/>
      <c r="O385" s="248"/>
    </row>
    <row r="386" spans="1:15" ht="30" customHeight="1" x14ac:dyDescent="0.2">
      <c r="A386" s="1519">
        <v>255</v>
      </c>
      <c r="B386" s="1517" t="s">
        <v>112</v>
      </c>
      <c r="C386" s="1488" t="s">
        <v>262</v>
      </c>
      <c r="D386" s="1469">
        <v>40000000</v>
      </c>
      <c r="E386" s="1516">
        <v>0.05</v>
      </c>
      <c r="F386" s="1469">
        <f t="shared" si="28"/>
        <v>2000000</v>
      </c>
      <c r="G386" s="1469">
        <v>2000000</v>
      </c>
      <c r="H386" s="1469" t="s">
        <v>3531</v>
      </c>
      <c r="I386" s="18" t="s">
        <v>3539</v>
      </c>
      <c r="J386" s="1469">
        <f>G386</f>
        <v>2000000</v>
      </c>
      <c r="K386" s="1469">
        <f>F386-J386</f>
        <v>0</v>
      </c>
      <c r="L386" s="1517"/>
    </row>
    <row r="387" spans="1:15" ht="30" customHeight="1" x14ac:dyDescent="0.2">
      <c r="A387" s="1519">
        <v>256</v>
      </c>
      <c r="B387" s="1517" t="s">
        <v>113</v>
      </c>
      <c r="C387" s="1488" t="s">
        <v>371</v>
      </c>
      <c r="D387" s="1469">
        <v>100000000</v>
      </c>
      <c r="E387" s="1516">
        <v>0.05</v>
      </c>
      <c r="F387" s="1469">
        <f t="shared" si="28"/>
        <v>5000000</v>
      </c>
      <c r="G387" s="1469">
        <v>5000000</v>
      </c>
      <c r="H387" s="1469" t="s">
        <v>3547</v>
      </c>
      <c r="I387" s="18" t="s">
        <v>331</v>
      </c>
      <c r="J387" s="1469">
        <f>G387</f>
        <v>5000000</v>
      </c>
      <c r="K387" s="1469">
        <f>F387-J387</f>
        <v>0</v>
      </c>
      <c r="L387" s="1517"/>
    </row>
    <row r="388" spans="1:15" ht="30" customHeight="1" x14ac:dyDescent="0.2">
      <c r="A388" s="1519">
        <v>257</v>
      </c>
      <c r="B388" s="1517" t="s">
        <v>114</v>
      </c>
      <c r="C388" s="1488" t="s">
        <v>1292</v>
      </c>
      <c r="D388" s="1469">
        <v>30000000</v>
      </c>
      <c r="E388" s="1516">
        <v>0.05</v>
      </c>
      <c r="F388" s="1469">
        <f t="shared" si="28"/>
        <v>1500000</v>
      </c>
      <c r="G388" s="1469">
        <v>1500000</v>
      </c>
      <c r="H388" s="1469" t="s">
        <v>3558</v>
      </c>
      <c r="I388" s="21" t="s">
        <v>2976</v>
      </c>
      <c r="J388" s="1469">
        <f>G388</f>
        <v>1500000</v>
      </c>
      <c r="K388" s="1469">
        <f>F388-J388</f>
        <v>0</v>
      </c>
      <c r="L388" s="1517"/>
    </row>
    <row r="389" spans="1:15" ht="30" customHeight="1" x14ac:dyDescent="0.2">
      <c r="A389" s="1519">
        <v>258</v>
      </c>
      <c r="B389" s="1517" t="s">
        <v>849</v>
      </c>
      <c r="C389" s="1488" t="s">
        <v>262</v>
      </c>
      <c r="D389" s="1469">
        <v>12000000</v>
      </c>
      <c r="E389" s="1516">
        <v>0.05</v>
      </c>
      <c r="F389" s="1469">
        <f t="shared" si="28"/>
        <v>600000</v>
      </c>
      <c r="G389" s="4413">
        <v>1600000</v>
      </c>
      <c r="H389" s="4413" t="s">
        <v>3660</v>
      </c>
      <c r="I389" s="4553" t="s">
        <v>475</v>
      </c>
      <c r="J389" s="4413">
        <f>G389</f>
        <v>1600000</v>
      </c>
      <c r="K389" s="4413">
        <f>(F389+F390)-J389</f>
        <v>0</v>
      </c>
      <c r="L389" s="4599"/>
    </row>
    <row r="390" spans="1:15" ht="30" customHeight="1" x14ac:dyDescent="0.2">
      <c r="A390" s="1519">
        <v>259</v>
      </c>
      <c r="B390" s="1517" t="s">
        <v>156</v>
      </c>
      <c r="C390" s="1488" t="s">
        <v>262</v>
      </c>
      <c r="D390" s="1469">
        <v>20000000</v>
      </c>
      <c r="E390" s="1516">
        <v>0.05</v>
      </c>
      <c r="F390" s="1469">
        <f>D390*E390</f>
        <v>1000000</v>
      </c>
      <c r="G390" s="4415"/>
      <c r="H390" s="4415"/>
      <c r="I390" s="4554"/>
      <c r="J390" s="4415"/>
      <c r="K390" s="4415"/>
      <c r="L390" s="4607"/>
    </row>
    <row r="391" spans="1:15" ht="30" customHeight="1" x14ac:dyDescent="0.2">
      <c r="A391" s="4459">
        <v>261</v>
      </c>
      <c r="B391" s="4457" t="s">
        <v>117</v>
      </c>
      <c r="C391" s="1488" t="s">
        <v>1300</v>
      </c>
      <c r="D391" s="1469">
        <v>10500000</v>
      </c>
      <c r="E391" s="1516">
        <v>0.05</v>
      </c>
      <c r="F391" s="1469">
        <f t="shared" si="28"/>
        <v>525000</v>
      </c>
      <c r="G391" s="1648">
        <v>525000</v>
      </c>
      <c r="H391" s="1648" t="s">
        <v>3660</v>
      </c>
      <c r="I391" s="18" t="s">
        <v>3671</v>
      </c>
      <c r="J391" s="1648">
        <f>G391</f>
        <v>525000</v>
      </c>
      <c r="K391" s="1642">
        <f>F391-J391</f>
        <v>0</v>
      </c>
      <c r="L391" s="1659"/>
    </row>
    <row r="392" spans="1:15" ht="30" customHeight="1" x14ac:dyDescent="0.2">
      <c r="A392" s="4464"/>
      <c r="B392" s="4488"/>
      <c r="C392" s="1615" t="s">
        <v>3323</v>
      </c>
      <c r="D392" s="1614">
        <v>10000000</v>
      </c>
      <c r="E392" s="1617">
        <v>7.0000000000000007E-2</v>
      </c>
      <c r="F392" s="1614">
        <f>D392*E392</f>
        <v>700000.00000000012</v>
      </c>
      <c r="G392" s="1648">
        <v>3150000</v>
      </c>
      <c r="H392" s="1648" t="s">
        <v>3421</v>
      </c>
      <c r="I392" s="18" t="s">
        <v>414</v>
      </c>
      <c r="J392" s="1648">
        <f>G392</f>
        <v>3150000</v>
      </c>
      <c r="K392" s="1642"/>
      <c r="L392" s="1652" t="s">
        <v>3550</v>
      </c>
    </row>
    <row r="393" spans="1:15" ht="30" customHeight="1" x14ac:dyDescent="0.2">
      <c r="A393" s="4464"/>
      <c r="B393" s="4488"/>
      <c r="C393" s="1615" t="s">
        <v>262</v>
      </c>
      <c r="D393" s="1614">
        <v>5000000</v>
      </c>
      <c r="E393" s="1617">
        <v>7.0000000000000007E-2</v>
      </c>
      <c r="F393" s="1614">
        <f>D393*E393</f>
        <v>350000.00000000006</v>
      </c>
      <c r="G393" s="1648">
        <v>350000</v>
      </c>
      <c r="H393" s="1648" t="s">
        <v>3547</v>
      </c>
      <c r="I393" s="18" t="s">
        <v>414</v>
      </c>
      <c r="J393" s="1648">
        <f>G393</f>
        <v>350000</v>
      </c>
      <c r="K393" s="1642">
        <f>F393-J393</f>
        <v>0</v>
      </c>
      <c r="L393" s="1652" t="s">
        <v>3551</v>
      </c>
    </row>
    <row r="394" spans="1:15" ht="30" customHeight="1" x14ac:dyDescent="0.2">
      <c r="A394" s="4460"/>
      <c r="B394" s="4458"/>
      <c r="C394" s="1906"/>
      <c r="D394" s="1900"/>
      <c r="E394" s="1917"/>
      <c r="F394" s="1900"/>
      <c r="G394" s="1910">
        <v>700000</v>
      </c>
      <c r="H394" s="1910" t="s">
        <v>3893</v>
      </c>
      <c r="I394" s="18" t="s">
        <v>3671</v>
      </c>
      <c r="J394" s="1910">
        <f>G394</f>
        <v>700000</v>
      </c>
      <c r="K394" s="1900"/>
      <c r="L394" s="1915" t="s">
        <v>3903</v>
      </c>
    </row>
    <row r="395" spans="1:15" ht="30" customHeight="1" x14ac:dyDescent="0.2">
      <c r="A395" s="1519">
        <v>263</v>
      </c>
      <c r="B395" s="19" t="s">
        <v>572</v>
      </c>
      <c r="C395" s="1518"/>
      <c r="D395" s="1590">
        <v>105000000</v>
      </c>
      <c r="E395" s="1599">
        <v>5.8000000000000003E-2</v>
      </c>
      <c r="F395" s="1590">
        <v>6000000</v>
      </c>
      <c r="G395" s="4469" t="s">
        <v>3479</v>
      </c>
      <c r="H395" s="4470"/>
      <c r="I395" s="4470"/>
      <c r="J395" s="4471"/>
      <c r="K395" s="1590"/>
      <c r="L395" s="1593" t="s">
        <v>3478</v>
      </c>
    </row>
    <row r="396" spans="1:15" ht="30" customHeight="1" x14ac:dyDescent="0.2">
      <c r="A396" s="1464">
        <v>264</v>
      </c>
      <c r="B396" s="1461" t="s">
        <v>119</v>
      </c>
      <c r="C396" s="1488" t="s">
        <v>262</v>
      </c>
      <c r="D396" s="1837">
        <v>50000000</v>
      </c>
      <c r="E396" s="1835">
        <f>F396/D396</f>
        <v>0.06</v>
      </c>
      <c r="F396" s="1469">
        <v>3000000</v>
      </c>
      <c r="G396" s="1469">
        <v>3000000</v>
      </c>
      <c r="H396" s="1469" t="s">
        <v>3558</v>
      </c>
      <c r="I396" s="24" t="s">
        <v>3563</v>
      </c>
      <c r="J396" s="1469">
        <f>G396</f>
        <v>3000000</v>
      </c>
      <c r="K396" s="1469">
        <f>F396-J396</f>
        <v>0</v>
      </c>
      <c r="L396" s="1848" t="s">
        <v>3860</v>
      </c>
    </row>
    <row r="397" spans="1:15" ht="30" customHeight="1" x14ac:dyDescent="0.2">
      <c r="A397" s="4459">
        <v>265</v>
      </c>
      <c r="B397" s="4615" t="s">
        <v>121</v>
      </c>
      <c r="C397" s="4620" t="s">
        <v>262</v>
      </c>
      <c r="D397" s="4413">
        <v>1000000000</v>
      </c>
      <c r="E397" s="4476">
        <v>7.0000000000000007E-2</v>
      </c>
      <c r="F397" s="4413">
        <f>D397*E397</f>
        <v>70000000</v>
      </c>
      <c r="G397" s="233"/>
      <c r="H397" s="233"/>
      <c r="I397" s="233"/>
      <c r="J397" s="233"/>
      <c r="K397" s="1469"/>
      <c r="L397" s="1498" t="s">
        <v>3283</v>
      </c>
    </row>
    <row r="398" spans="1:15" ht="30" customHeight="1" x14ac:dyDescent="0.2">
      <c r="A398" s="4464"/>
      <c r="B398" s="4615"/>
      <c r="C398" s="4620"/>
      <c r="D398" s="4415"/>
      <c r="E398" s="4477"/>
      <c r="F398" s="4415"/>
      <c r="G398" s="1489"/>
      <c r="H398" s="1489"/>
      <c r="I398" s="1489"/>
      <c r="J398" s="1489"/>
      <c r="K398" s="1469"/>
      <c r="L398" s="1541" t="s">
        <v>3379</v>
      </c>
    </row>
    <row r="399" spans="1:15" ht="30" customHeight="1" x14ac:dyDescent="0.2">
      <c r="A399" s="1519">
        <v>266</v>
      </c>
      <c r="B399" s="1461" t="s">
        <v>1918</v>
      </c>
      <c r="C399" s="1488"/>
      <c r="D399" s="1469">
        <v>80000000</v>
      </c>
      <c r="E399" s="1466">
        <v>4.4999999999999998E-2</v>
      </c>
      <c r="F399" s="1469">
        <f t="shared" ref="F399:F474" si="41">D399*E399</f>
        <v>3600000</v>
      </c>
      <c r="G399" s="1469">
        <v>3600000</v>
      </c>
      <c r="H399" s="1469" t="s">
        <v>3583</v>
      </c>
      <c r="I399" s="18" t="s">
        <v>571</v>
      </c>
      <c r="J399" s="1469">
        <f>G399</f>
        <v>3600000</v>
      </c>
      <c r="K399" s="1469">
        <f>F399-J399</f>
        <v>0</v>
      </c>
      <c r="L399" s="1517"/>
    </row>
    <row r="400" spans="1:15" ht="30" customHeight="1" x14ac:dyDescent="0.2">
      <c r="A400" s="4459">
        <v>267</v>
      </c>
      <c r="B400" s="4457" t="s">
        <v>497</v>
      </c>
      <c r="C400" s="4537" t="s">
        <v>371</v>
      </c>
      <c r="D400" s="4413">
        <v>300000000</v>
      </c>
      <c r="E400" s="4476">
        <v>0.04</v>
      </c>
      <c r="F400" s="4413">
        <f>D400*E400</f>
        <v>12000000</v>
      </c>
      <c r="G400" s="4413">
        <v>12000000</v>
      </c>
      <c r="H400" s="4413" t="s">
        <v>3558</v>
      </c>
      <c r="I400" s="4413" t="s">
        <v>3579</v>
      </c>
      <c r="J400" s="4413">
        <f>G400</f>
        <v>12000000</v>
      </c>
      <c r="K400" s="4413">
        <f>F400-J400</f>
        <v>0</v>
      </c>
      <c r="L400" s="1498" t="s">
        <v>2891</v>
      </c>
    </row>
    <row r="401" spans="1:12" ht="30" customHeight="1" x14ac:dyDescent="0.2">
      <c r="A401" s="4460"/>
      <c r="B401" s="4458"/>
      <c r="C401" s="4538"/>
      <c r="D401" s="4415"/>
      <c r="E401" s="4477"/>
      <c r="F401" s="4415"/>
      <c r="G401" s="4415"/>
      <c r="H401" s="4415"/>
      <c r="I401" s="4415"/>
      <c r="J401" s="4415"/>
      <c r="K401" s="4415"/>
      <c r="L401" s="1498" t="s">
        <v>3380</v>
      </c>
    </row>
    <row r="402" spans="1:12" ht="30" customHeight="1" x14ac:dyDescent="0.2">
      <c r="A402" s="1519">
        <v>268</v>
      </c>
      <c r="B402" s="1517" t="s">
        <v>391</v>
      </c>
      <c r="C402" s="1488" t="s">
        <v>392</v>
      </c>
      <c r="D402" s="1469">
        <v>130000000</v>
      </c>
      <c r="E402" s="1516">
        <v>4.4999999999999998E-2</v>
      </c>
      <c r="F402" s="1469">
        <f t="shared" si="41"/>
        <v>5850000</v>
      </c>
      <c r="G402" s="1469">
        <v>5850000</v>
      </c>
      <c r="H402" s="1469" t="s">
        <v>3485</v>
      </c>
      <c r="I402" s="18" t="s">
        <v>3518</v>
      </c>
      <c r="J402" s="1469">
        <f>G402</f>
        <v>5850000</v>
      </c>
      <c r="K402" s="1469">
        <f>F402-J402</f>
        <v>0</v>
      </c>
      <c r="L402" s="1517"/>
    </row>
    <row r="403" spans="1:12" ht="30" customHeight="1" x14ac:dyDescent="0.2">
      <c r="A403" s="1519">
        <v>269</v>
      </c>
      <c r="B403" s="1517" t="s">
        <v>123</v>
      </c>
      <c r="C403" s="1488" t="s">
        <v>262</v>
      </c>
      <c r="D403" s="1469">
        <v>300000000</v>
      </c>
      <c r="E403" s="1516">
        <v>0.05</v>
      </c>
      <c r="F403" s="1469">
        <f t="shared" si="41"/>
        <v>15000000</v>
      </c>
      <c r="G403" s="1469">
        <v>15000000</v>
      </c>
      <c r="H403" s="1469" t="s">
        <v>3531</v>
      </c>
      <c r="I403" s="21" t="s">
        <v>3546</v>
      </c>
      <c r="J403" s="1469">
        <f>G403</f>
        <v>15000000</v>
      </c>
      <c r="K403" s="1469">
        <f>F403-J403</f>
        <v>0</v>
      </c>
      <c r="L403" s="1517"/>
    </row>
    <row r="404" spans="1:12" ht="30" customHeight="1" x14ac:dyDescent="0.2">
      <c r="A404" s="1519">
        <v>270</v>
      </c>
      <c r="B404" s="1517" t="s">
        <v>124</v>
      </c>
      <c r="C404" s="1488"/>
      <c r="D404" s="1469">
        <v>20000000</v>
      </c>
      <c r="E404" s="1516">
        <v>5.5E-2</v>
      </c>
      <c r="F404" s="1469">
        <f t="shared" si="41"/>
        <v>1100000</v>
      </c>
      <c r="G404" s="1469">
        <v>1100000</v>
      </c>
      <c r="H404" s="1469" t="s">
        <v>3558</v>
      </c>
      <c r="I404" s="21" t="s">
        <v>492</v>
      </c>
      <c r="J404" s="1469">
        <f>G404</f>
        <v>1100000</v>
      </c>
      <c r="K404" s="1469">
        <f>F404-J404</f>
        <v>0</v>
      </c>
      <c r="L404" s="1517"/>
    </row>
    <row r="405" spans="1:12" ht="30" customHeight="1" x14ac:dyDescent="0.2">
      <c r="A405" s="1519">
        <v>271</v>
      </c>
      <c r="B405" s="19" t="s">
        <v>125</v>
      </c>
      <c r="C405" s="1518" t="s">
        <v>359</v>
      </c>
      <c r="D405" s="1489">
        <v>40000000</v>
      </c>
      <c r="E405" s="1516">
        <v>5.5E-2</v>
      </c>
      <c r="F405" s="1489">
        <f t="shared" si="41"/>
        <v>2200000</v>
      </c>
      <c r="G405" s="1489">
        <v>2200000</v>
      </c>
      <c r="H405" s="1489" t="s">
        <v>3558</v>
      </c>
      <c r="I405" s="18" t="s">
        <v>3573</v>
      </c>
      <c r="J405" s="1489">
        <f>G405</f>
        <v>2200000</v>
      </c>
      <c r="K405" s="1489">
        <f>F405-J405</f>
        <v>0</v>
      </c>
      <c r="L405" s="1517"/>
    </row>
    <row r="406" spans="1:12" ht="30" customHeight="1" x14ac:dyDescent="0.2">
      <c r="A406" s="4459"/>
      <c r="B406" s="4457" t="s">
        <v>2524</v>
      </c>
      <c r="C406" s="4537" t="s">
        <v>1287</v>
      </c>
      <c r="D406" s="1525">
        <v>520000000</v>
      </c>
      <c r="E406" s="865">
        <v>5.5E-2</v>
      </c>
      <c r="F406" s="1525">
        <f>D406*E406</f>
        <v>28600000</v>
      </c>
      <c r="G406" s="4772" t="s">
        <v>3384</v>
      </c>
      <c r="H406" s="4772"/>
      <c r="I406" s="4772"/>
      <c r="J406" s="4772"/>
      <c r="K406" s="1606"/>
      <c r="L406" s="1237"/>
    </row>
    <row r="407" spans="1:12" ht="30" customHeight="1" x14ac:dyDescent="0.2">
      <c r="A407" s="4464"/>
      <c r="B407" s="4488"/>
      <c r="C407" s="4540"/>
      <c r="D407" s="1525">
        <v>65000000</v>
      </c>
      <c r="E407" s="865">
        <v>0.06</v>
      </c>
      <c r="F407" s="1525">
        <f>D407*E407</f>
        <v>3900000</v>
      </c>
      <c r="G407" s="4772"/>
      <c r="H407" s="4772"/>
      <c r="I407" s="4772"/>
      <c r="J407" s="4772"/>
      <c r="K407" s="1607"/>
      <c r="L407" s="1238"/>
    </row>
    <row r="408" spans="1:12" ht="30" customHeight="1" x14ac:dyDescent="0.2">
      <c r="A408" s="4464"/>
      <c r="B408" s="4488"/>
      <c r="C408" s="4540"/>
      <c r="D408" s="1525">
        <v>85000000</v>
      </c>
      <c r="E408" s="865">
        <v>0.06</v>
      </c>
      <c r="F408" s="1525">
        <f>D408*E408</f>
        <v>5100000</v>
      </c>
      <c r="G408" s="4772"/>
      <c r="H408" s="4772"/>
      <c r="I408" s="4772"/>
      <c r="J408" s="4772"/>
      <c r="K408" s="1607"/>
      <c r="L408" s="4778" t="s">
        <v>3381</v>
      </c>
    </row>
    <row r="409" spans="1:12" ht="30" customHeight="1" x14ac:dyDescent="0.2">
      <c r="A409" s="4464"/>
      <c r="B409" s="4488"/>
      <c r="C409" s="4540"/>
      <c r="D409" s="4601" t="s">
        <v>1787</v>
      </c>
      <c r="E409" s="4602"/>
      <c r="F409" s="1525">
        <v>1300000</v>
      </c>
      <c r="G409" s="4772"/>
      <c r="H409" s="4772"/>
      <c r="I409" s="4772"/>
      <c r="J409" s="4772"/>
      <c r="K409" s="1607"/>
      <c r="L409" s="4778"/>
    </row>
    <row r="410" spans="1:12" ht="30" customHeight="1" x14ac:dyDescent="0.2">
      <c r="A410" s="4464"/>
      <c r="B410" s="4488"/>
      <c r="C410" s="4540"/>
      <c r="D410" s="1525">
        <v>100000000</v>
      </c>
      <c r="E410" s="865">
        <v>0.06</v>
      </c>
      <c r="F410" s="1525">
        <f>D410*E410</f>
        <v>6000000</v>
      </c>
      <c r="G410" s="4772"/>
      <c r="H410" s="4772"/>
      <c r="I410" s="4772"/>
      <c r="J410" s="4772"/>
      <c r="K410" s="1608"/>
      <c r="L410" s="1238" t="s">
        <v>3382</v>
      </c>
    </row>
    <row r="411" spans="1:12" ht="30" customHeight="1" x14ac:dyDescent="0.2">
      <c r="A411" s="4464"/>
      <c r="B411" s="4488"/>
      <c r="C411" s="4540"/>
      <c r="D411" s="1692">
        <f>D406+D407+D408+D410</f>
        <v>770000000</v>
      </c>
      <c r="E411" s="1691"/>
      <c r="F411" s="1692">
        <f>F406+F407+F408+F409+F410</f>
        <v>44900000</v>
      </c>
      <c r="G411" s="1710">
        <v>13000000</v>
      </c>
      <c r="H411" s="4830" t="s">
        <v>3660</v>
      </c>
      <c r="I411" s="4830" t="s">
        <v>815</v>
      </c>
      <c r="J411" s="1703">
        <f>G411</f>
        <v>13000000</v>
      </c>
      <c r="K411" s="1692">
        <f>F411-11100000-J411</f>
        <v>20800000</v>
      </c>
      <c r="L411" s="1542" t="s">
        <v>3373</v>
      </c>
    </row>
    <row r="412" spans="1:12" ht="30" customHeight="1" x14ac:dyDescent="0.2">
      <c r="A412" s="4464"/>
      <c r="B412" s="4488"/>
      <c r="C412" s="4540"/>
      <c r="D412" s="4832" t="s">
        <v>3662</v>
      </c>
      <c r="E412" s="4833"/>
      <c r="F412" s="4834"/>
      <c r="G412" s="1710">
        <v>5000000</v>
      </c>
      <c r="H412" s="4831"/>
      <c r="I412" s="4831"/>
      <c r="J412" s="4830">
        <f>G412+G413</f>
        <v>25000000</v>
      </c>
      <c r="K412" s="4504">
        <f>F412-11100000-J412</f>
        <v>-36100000</v>
      </c>
      <c r="L412" s="4525"/>
    </row>
    <row r="413" spans="1:12" ht="30" customHeight="1" x14ac:dyDescent="0.2">
      <c r="A413" s="4464"/>
      <c r="B413" s="4488"/>
      <c r="C413" s="4540"/>
      <c r="D413" s="4835"/>
      <c r="E413" s="4836"/>
      <c r="F413" s="4837"/>
      <c r="G413" s="1710">
        <v>20000000</v>
      </c>
      <c r="H413" s="1710" t="s">
        <v>3660</v>
      </c>
      <c r="I413" s="1710" t="s">
        <v>815</v>
      </c>
      <c r="J413" s="4831"/>
      <c r="K413" s="4505"/>
      <c r="L413" s="4526"/>
    </row>
    <row r="414" spans="1:12" ht="30" customHeight="1" x14ac:dyDescent="0.2">
      <c r="A414" s="4464"/>
      <c r="B414" s="4488"/>
      <c r="C414" s="4540"/>
      <c r="D414" s="1728">
        <v>21000000</v>
      </c>
      <c r="E414" s="1733">
        <v>0.06</v>
      </c>
      <c r="F414" s="1728">
        <f>D414*E414</f>
        <v>1260000</v>
      </c>
      <c r="G414" s="4819" t="s">
        <v>3672</v>
      </c>
      <c r="H414" s="4820"/>
      <c r="I414" s="4820"/>
      <c r="J414" s="4821"/>
      <c r="K414" s="1720"/>
      <c r="L414" s="1723"/>
    </row>
    <row r="415" spans="1:12" ht="30" customHeight="1" x14ac:dyDescent="0.2">
      <c r="A415" s="4460"/>
      <c r="B415" s="4458"/>
      <c r="C415" s="4538"/>
      <c r="D415" s="1500">
        <v>40000000</v>
      </c>
      <c r="E415" s="1508">
        <v>0.06</v>
      </c>
      <c r="F415" s="1500">
        <f>D415*E415</f>
        <v>2400000</v>
      </c>
      <c r="G415" s="4819" t="s">
        <v>3383</v>
      </c>
      <c r="H415" s="4820"/>
      <c r="I415" s="4820"/>
      <c r="J415" s="4821"/>
      <c r="K415" s="1500"/>
      <c r="L415" s="1027" t="s">
        <v>3354</v>
      </c>
    </row>
    <row r="416" spans="1:12" ht="30" customHeight="1" x14ac:dyDescent="0.2">
      <c r="A416" s="4459"/>
      <c r="B416" s="4615" t="s">
        <v>2524</v>
      </c>
      <c r="C416" s="4537" t="s">
        <v>1287</v>
      </c>
      <c r="D416" s="1735">
        <v>495000000</v>
      </c>
      <c r="E416" s="1736">
        <v>5.5E-2</v>
      </c>
      <c r="F416" s="1735">
        <f>D416*E416</f>
        <v>27225000</v>
      </c>
      <c r="G416" s="4864" t="s">
        <v>3673</v>
      </c>
      <c r="H416" s="4864"/>
      <c r="I416" s="4864"/>
      <c r="J416" s="4864"/>
      <c r="K416" s="4861"/>
      <c r="L416" s="4858"/>
    </row>
    <row r="417" spans="1:12" ht="30" customHeight="1" x14ac:dyDescent="0.2">
      <c r="A417" s="4464"/>
      <c r="B417" s="4615"/>
      <c r="C417" s="4540"/>
      <c r="D417" s="1735">
        <v>65000000</v>
      </c>
      <c r="E417" s="1736">
        <v>0.06</v>
      </c>
      <c r="F417" s="1735">
        <f>D417*E417</f>
        <v>3900000</v>
      </c>
      <c r="G417" s="4864"/>
      <c r="H417" s="4864"/>
      <c r="I417" s="4864"/>
      <c r="J417" s="4864"/>
      <c r="K417" s="4862"/>
      <c r="L417" s="4859"/>
    </row>
    <row r="418" spans="1:12" ht="30" customHeight="1" x14ac:dyDescent="0.2">
      <c r="A418" s="4464"/>
      <c r="B418" s="4615"/>
      <c r="C418" s="4540"/>
      <c r="D418" s="1735">
        <v>246000000</v>
      </c>
      <c r="E418" s="1736">
        <v>0.06</v>
      </c>
      <c r="F418" s="1735">
        <f>D418*E418</f>
        <v>14760000</v>
      </c>
      <c r="G418" s="4864"/>
      <c r="H418" s="4864"/>
      <c r="I418" s="4864"/>
      <c r="J418" s="4864"/>
      <c r="K418" s="4862"/>
      <c r="L418" s="4859"/>
    </row>
    <row r="419" spans="1:12" ht="30" customHeight="1" x14ac:dyDescent="0.2">
      <c r="A419" s="4464"/>
      <c r="B419" s="4615"/>
      <c r="C419" s="4540"/>
      <c r="D419" s="4822" t="s">
        <v>1787</v>
      </c>
      <c r="E419" s="4823"/>
      <c r="F419" s="1735">
        <v>1300000</v>
      </c>
      <c r="G419" s="4864"/>
      <c r="H419" s="4864"/>
      <c r="I419" s="4864"/>
      <c r="J419" s="4864"/>
      <c r="K419" s="4862"/>
      <c r="L419" s="4859"/>
    </row>
    <row r="420" spans="1:12" ht="30" customHeight="1" x14ac:dyDescent="0.2">
      <c r="A420" s="4464"/>
      <c r="B420" s="4615"/>
      <c r="C420" s="4540"/>
      <c r="D420" s="1720">
        <f>D416+D417+D418</f>
        <v>806000000</v>
      </c>
      <c r="E420" s="1721"/>
      <c r="F420" s="1720">
        <f>F416+F417+F418+F419</f>
        <v>47185000</v>
      </c>
      <c r="G420" s="1749"/>
      <c r="H420" s="1750"/>
      <c r="I420" s="1750"/>
      <c r="J420" s="1751"/>
      <c r="K420" s="4863"/>
      <c r="L420" s="4860"/>
    </row>
    <row r="421" spans="1:12" ht="30" customHeight="1" x14ac:dyDescent="0.2">
      <c r="A421" s="1519">
        <v>273</v>
      </c>
      <c r="B421" s="1517" t="s">
        <v>127</v>
      </c>
      <c r="C421" s="1729" t="s">
        <v>1291</v>
      </c>
      <c r="D421" s="1469">
        <v>20000000</v>
      </c>
      <c r="E421" s="1516">
        <v>0.05</v>
      </c>
      <c r="F421" s="1469">
        <f t="shared" si="41"/>
        <v>1000000</v>
      </c>
      <c r="G421" s="1469">
        <v>1000000</v>
      </c>
      <c r="H421" s="1469" t="s">
        <v>3660</v>
      </c>
      <c r="I421" s="21" t="s">
        <v>3663</v>
      </c>
      <c r="J421" s="1469">
        <f>G421</f>
        <v>1000000</v>
      </c>
      <c r="K421" s="1469">
        <f>F421-J421</f>
        <v>0</v>
      </c>
      <c r="L421" s="1517"/>
    </row>
    <row r="422" spans="1:12" ht="30" customHeight="1" x14ac:dyDescent="0.2">
      <c r="A422" s="4459">
        <v>274</v>
      </c>
      <c r="B422" s="1514" t="s">
        <v>128</v>
      </c>
      <c r="C422" s="345"/>
      <c r="D422" s="1469">
        <v>50000000</v>
      </c>
      <c r="E422" s="1516">
        <v>0.05</v>
      </c>
      <c r="F422" s="1469">
        <f>D422*E422</f>
        <v>2500000</v>
      </c>
      <c r="G422" s="1469">
        <v>2500000</v>
      </c>
      <c r="H422" s="1469" t="s">
        <v>2472</v>
      </c>
      <c r="I422" s="21" t="s">
        <v>388</v>
      </c>
      <c r="J422" s="1469">
        <f>G422</f>
        <v>2500000</v>
      </c>
      <c r="K422" s="1469">
        <f>F422-J422</f>
        <v>0</v>
      </c>
      <c r="L422" s="162"/>
    </row>
    <row r="423" spans="1:12" ht="30" customHeight="1" x14ac:dyDescent="0.2">
      <c r="A423" s="4460"/>
      <c r="B423" s="1515"/>
      <c r="C423" s="711"/>
      <c r="D423" s="1469">
        <v>50000000</v>
      </c>
      <c r="E423" s="1516">
        <v>0.05</v>
      </c>
      <c r="F423" s="1469">
        <f>D423*E423</f>
        <v>2500000</v>
      </c>
      <c r="G423" s="233"/>
      <c r="H423" s="233"/>
      <c r="I423" s="233"/>
      <c r="J423" s="233"/>
      <c r="K423" s="1469"/>
      <c r="L423" s="97" t="s">
        <v>3385</v>
      </c>
    </row>
    <row r="424" spans="1:12" ht="30" customHeight="1" x14ac:dyDescent="0.2">
      <c r="A424" s="1519">
        <v>275</v>
      </c>
      <c r="B424" s="1517" t="s">
        <v>129</v>
      </c>
      <c r="C424" s="1488" t="s">
        <v>1291</v>
      </c>
      <c r="D424" s="1469">
        <v>130000000</v>
      </c>
      <c r="E424" s="1516">
        <v>0.05</v>
      </c>
      <c r="F424" s="1469">
        <f t="shared" si="41"/>
        <v>6500000</v>
      </c>
      <c r="G424" s="1469">
        <v>6500000</v>
      </c>
      <c r="H424" s="1469" t="s">
        <v>3676</v>
      </c>
      <c r="I424" s="21" t="s">
        <v>2184</v>
      </c>
      <c r="J424" s="1469">
        <f>G424</f>
        <v>6500000</v>
      </c>
      <c r="K424" s="1469">
        <f>F424-J424</f>
        <v>0</v>
      </c>
      <c r="L424" s="1517"/>
    </row>
    <row r="425" spans="1:12" ht="30" customHeight="1" x14ac:dyDescent="0.2">
      <c r="A425" s="1519">
        <v>276</v>
      </c>
      <c r="B425" s="1517" t="s">
        <v>130</v>
      </c>
      <c r="C425" s="1488"/>
      <c r="D425" s="1469">
        <v>95000000</v>
      </c>
      <c r="E425" s="1516">
        <v>5.2999999999999999E-2</v>
      </c>
      <c r="F425" s="1469">
        <v>5000000</v>
      </c>
      <c r="G425" s="1469">
        <v>5000000</v>
      </c>
      <c r="H425" s="1469" t="s">
        <v>3715</v>
      </c>
      <c r="I425" s="21" t="s">
        <v>3503</v>
      </c>
      <c r="J425" s="1469">
        <f>G425</f>
        <v>5000000</v>
      </c>
      <c r="K425" s="1469">
        <f>F425-J425</f>
        <v>0</v>
      </c>
      <c r="L425" s="1517"/>
    </row>
    <row r="426" spans="1:12" ht="30" customHeight="1" x14ac:dyDescent="0.2">
      <c r="A426" s="1519">
        <v>277</v>
      </c>
      <c r="B426" s="1517" t="s">
        <v>131</v>
      </c>
      <c r="C426" s="1488"/>
      <c r="D426" s="1469">
        <v>200000000</v>
      </c>
      <c r="E426" s="1516">
        <v>0.05</v>
      </c>
      <c r="F426" s="1469">
        <f t="shared" si="41"/>
        <v>10000000</v>
      </c>
      <c r="G426" s="1469">
        <v>10000000</v>
      </c>
      <c r="H426" s="1469" t="s">
        <v>3676</v>
      </c>
      <c r="I426" s="21" t="s">
        <v>3726</v>
      </c>
      <c r="J426" s="1469">
        <f>G426</f>
        <v>10000000</v>
      </c>
      <c r="K426" s="1469">
        <f>F426-J426</f>
        <v>0</v>
      </c>
      <c r="L426" s="1517"/>
    </row>
    <row r="427" spans="1:12" ht="30" customHeight="1" x14ac:dyDescent="0.2">
      <c r="A427" s="4459">
        <v>278</v>
      </c>
      <c r="B427" s="4457" t="s">
        <v>620</v>
      </c>
      <c r="C427" s="4537" t="s">
        <v>3007</v>
      </c>
      <c r="D427" s="1469">
        <v>30000000</v>
      </c>
      <c r="E427" s="1516">
        <v>4.4999999999999998E-2</v>
      </c>
      <c r="F427" s="1469">
        <f>D427*E427</f>
        <v>1350000</v>
      </c>
      <c r="G427" s="4413">
        <v>1750000</v>
      </c>
      <c r="H427" s="4413" t="s">
        <v>3676</v>
      </c>
      <c r="I427" s="4478" t="s">
        <v>3685</v>
      </c>
      <c r="J427" s="4413">
        <f>G427</f>
        <v>1750000</v>
      </c>
      <c r="K427" s="4413">
        <f>(F427+F428)-J427</f>
        <v>0</v>
      </c>
      <c r="L427" s="4599"/>
    </row>
    <row r="428" spans="1:12" ht="30" customHeight="1" x14ac:dyDescent="0.2">
      <c r="A428" s="4460"/>
      <c r="B428" s="4458"/>
      <c r="C428" s="4538"/>
      <c r="D428" s="1469">
        <v>10000000</v>
      </c>
      <c r="E428" s="1516">
        <v>0.04</v>
      </c>
      <c r="F428" s="1469">
        <f>D428*E428</f>
        <v>400000</v>
      </c>
      <c r="G428" s="4415"/>
      <c r="H428" s="4415"/>
      <c r="I428" s="4479"/>
      <c r="J428" s="4415"/>
      <c r="K428" s="4415"/>
      <c r="L428" s="4607"/>
    </row>
    <row r="429" spans="1:12" ht="30" customHeight="1" x14ac:dyDescent="0.2">
      <c r="A429" s="1519">
        <v>279</v>
      </c>
      <c r="B429" s="1517" t="s">
        <v>132</v>
      </c>
      <c r="C429" s="1488"/>
      <c r="D429" s="1469">
        <v>11000000</v>
      </c>
      <c r="E429" s="1516">
        <v>4.4999999999999998E-2</v>
      </c>
      <c r="F429" s="1469">
        <v>500000</v>
      </c>
      <c r="G429" s="1469">
        <v>500000</v>
      </c>
      <c r="H429" s="1469" t="s">
        <v>3660</v>
      </c>
      <c r="I429" s="21" t="s">
        <v>3670</v>
      </c>
      <c r="J429" s="1469">
        <f>G429</f>
        <v>500000</v>
      </c>
      <c r="K429" s="1469">
        <f>F429-J429</f>
        <v>0</v>
      </c>
      <c r="L429" s="1517"/>
    </row>
    <row r="430" spans="1:12" ht="30" customHeight="1" x14ac:dyDescent="0.2">
      <c r="A430" s="1519">
        <v>280</v>
      </c>
      <c r="B430" s="1514" t="s">
        <v>458</v>
      </c>
      <c r="C430" s="378"/>
      <c r="D430" s="1489">
        <v>20000000</v>
      </c>
      <c r="E430" s="1516">
        <v>0.05</v>
      </c>
      <c r="F430" s="1489">
        <f t="shared" si="41"/>
        <v>1000000</v>
      </c>
      <c r="G430" s="1806">
        <v>1000000</v>
      </c>
      <c r="H430" s="1806" t="s">
        <v>1189</v>
      </c>
      <c r="I430" s="1806" t="s">
        <v>3756</v>
      </c>
      <c r="J430" s="1806">
        <f>G430</f>
        <v>1000000</v>
      </c>
      <c r="K430" s="1806">
        <f>F430-J430</f>
        <v>0</v>
      </c>
      <c r="L430" s="1025" t="s">
        <v>3097</v>
      </c>
    </row>
    <row r="431" spans="1:12" ht="30" customHeight="1" x14ac:dyDescent="0.2">
      <c r="A431" s="1464">
        <v>281</v>
      </c>
      <c r="B431" s="1514" t="s">
        <v>133</v>
      </c>
      <c r="C431" s="1488" t="s">
        <v>1290</v>
      </c>
      <c r="D431" s="1469">
        <v>40000000</v>
      </c>
      <c r="E431" s="1466">
        <v>0.05</v>
      </c>
      <c r="F431" s="1469">
        <f t="shared" si="41"/>
        <v>2000000</v>
      </c>
      <c r="G431" s="1469">
        <v>2000000</v>
      </c>
      <c r="H431" s="1469" t="s">
        <v>3676</v>
      </c>
      <c r="I431" s="1718" t="s">
        <v>3679</v>
      </c>
      <c r="J431" s="1469">
        <f>G431</f>
        <v>2000000</v>
      </c>
      <c r="K431" s="1469">
        <f>F431-J431</f>
        <v>0</v>
      </c>
      <c r="L431" s="1730"/>
    </row>
    <row r="432" spans="1:12" ht="30" customHeight="1" x14ac:dyDescent="0.2">
      <c r="A432" s="1519">
        <v>282</v>
      </c>
      <c r="B432" s="1517" t="s">
        <v>1024</v>
      </c>
      <c r="C432" s="1488"/>
      <c r="D432" s="1469">
        <v>20000000</v>
      </c>
      <c r="E432" s="1516">
        <v>0.04</v>
      </c>
      <c r="F432" s="1469">
        <f t="shared" si="41"/>
        <v>800000</v>
      </c>
      <c r="G432" s="1469">
        <v>800000</v>
      </c>
      <c r="H432" s="1469" t="s">
        <v>3692</v>
      </c>
      <c r="I432" s="1509" t="s">
        <v>2453</v>
      </c>
      <c r="J432" s="1469">
        <f>G432</f>
        <v>800000</v>
      </c>
      <c r="K432" s="1469">
        <f>F432-J432</f>
        <v>0</v>
      </c>
      <c r="L432" s="1517"/>
    </row>
    <row r="433" spans="1:12" ht="30" customHeight="1" x14ac:dyDescent="0.2">
      <c r="A433" s="4459"/>
      <c r="B433" s="4599" t="s">
        <v>134</v>
      </c>
      <c r="C433" s="4537" t="s">
        <v>1294</v>
      </c>
      <c r="D433" s="1469">
        <v>40823000</v>
      </c>
      <c r="E433" s="1466">
        <v>0.05</v>
      </c>
      <c r="F433" s="1469">
        <f>D433*E433</f>
        <v>2041150</v>
      </c>
      <c r="G433" s="1757">
        <v>2041150</v>
      </c>
      <c r="H433" s="1757" t="s">
        <v>3692</v>
      </c>
      <c r="I433" s="1757" t="s">
        <v>630</v>
      </c>
      <c r="J433" s="1467">
        <f>G433</f>
        <v>2041150</v>
      </c>
      <c r="K433" s="1467">
        <f>F433-J433</f>
        <v>0</v>
      </c>
      <c r="L433" s="764" t="s">
        <v>3386</v>
      </c>
    </row>
    <row r="434" spans="1:12" ht="30" customHeight="1" x14ac:dyDescent="0.2">
      <c r="A434" s="4460"/>
      <c r="B434" s="4607"/>
      <c r="C434" s="4538"/>
      <c r="D434" s="1715">
        <f>40823000+3800000</f>
        <v>44623000</v>
      </c>
      <c r="E434" s="1714">
        <v>0.05</v>
      </c>
      <c r="F434" s="1715">
        <f>D434*E434</f>
        <v>2231150</v>
      </c>
      <c r="G434" s="4623" t="s">
        <v>3667</v>
      </c>
      <c r="H434" s="4624"/>
      <c r="I434" s="4624"/>
      <c r="J434" s="4625"/>
      <c r="K434" s="1712"/>
      <c r="L434" s="764"/>
    </row>
    <row r="435" spans="1:12" ht="30" customHeight="1" x14ac:dyDescent="0.2">
      <c r="A435" s="4459">
        <v>284</v>
      </c>
      <c r="B435" s="4457" t="s">
        <v>1158</v>
      </c>
      <c r="C435" s="4537" t="s">
        <v>371</v>
      </c>
      <c r="D435" s="1543">
        <v>110000000</v>
      </c>
      <c r="E435" s="1544">
        <v>4.4999999999999998E-2</v>
      </c>
      <c r="F435" s="1543">
        <f t="shared" si="41"/>
        <v>4950000</v>
      </c>
      <c r="G435" s="4413">
        <v>94500000</v>
      </c>
      <c r="H435" s="4413" t="s">
        <v>3676</v>
      </c>
      <c r="I435" s="4478" t="s">
        <v>3684</v>
      </c>
      <c r="J435" s="4413">
        <v>9450000</v>
      </c>
      <c r="K435" s="4413">
        <f>(F435+F436+F437)-J435</f>
        <v>0</v>
      </c>
      <c r="L435" s="4571"/>
    </row>
    <row r="436" spans="1:12" ht="30" customHeight="1" x14ac:dyDescent="0.2">
      <c r="A436" s="4464"/>
      <c r="B436" s="4488"/>
      <c r="C436" s="4540"/>
      <c r="D436" s="1543">
        <v>60000000</v>
      </c>
      <c r="E436" s="1545">
        <v>0.05</v>
      </c>
      <c r="F436" s="1543">
        <f t="shared" si="41"/>
        <v>3000000</v>
      </c>
      <c r="G436" s="4414"/>
      <c r="H436" s="4414"/>
      <c r="I436" s="4520"/>
      <c r="J436" s="4414"/>
      <c r="K436" s="4414"/>
      <c r="L436" s="4839"/>
    </row>
    <row r="437" spans="1:12" ht="30" customHeight="1" x14ac:dyDescent="0.2">
      <c r="A437" s="4460"/>
      <c r="B437" s="4458"/>
      <c r="C437" s="4538"/>
      <c r="D437" s="1543">
        <v>30000000</v>
      </c>
      <c r="E437" s="1545">
        <v>0.05</v>
      </c>
      <c r="F437" s="1543">
        <f t="shared" si="41"/>
        <v>1500000</v>
      </c>
      <c r="G437" s="4415"/>
      <c r="H437" s="4415"/>
      <c r="I437" s="4479"/>
      <c r="J437" s="4415"/>
      <c r="K437" s="4415"/>
      <c r="L437" s="1475" t="s">
        <v>2893</v>
      </c>
    </row>
    <row r="438" spans="1:12" ht="30" customHeight="1" x14ac:dyDescent="0.2">
      <c r="A438" s="4459"/>
      <c r="B438" s="4457" t="s">
        <v>1158</v>
      </c>
      <c r="C438" s="4537"/>
      <c r="D438" s="1543">
        <v>100000000</v>
      </c>
      <c r="E438" s="1545">
        <v>4.4999999999999998E-2</v>
      </c>
      <c r="F438" s="1543">
        <f t="shared" si="41"/>
        <v>4500000</v>
      </c>
      <c r="G438" s="4793" t="s">
        <v>3778</v>
      </c>
      <c r="H438" s="4794"/>
      <c r="I438" s="4794"/>
      <c r="J438" s="4795"/>
      <c r="K438" s="4413"/>
      <c r="L438" s="764" t="s">
        <v>3782</v>
      </c>
    </row>
    <row r="439" spans="1:12" ht="30" customHeight="1" x14ac:dyDescent="0.2">
      <c r="A439" s="4464"/>
      <c r="B439" s="4488"/>
      <c r="C439" s="4540"/>
      <c r="D439" s="1543">
        <v>60000000</v>
      </c>
      <c r="E439" s="1545">
        <v>0.05</v>
      </c>
      <c r="F439" s="1543">
        <f t="shared" si="41"/>
        <v>3000000</v>
      </c>
      <c r="G439" s="4796"/>
      <c r="H439" s="4797"/>
      <c r="I439" s="4797"/>
      <c r="J439" s="4798"/>
      <c r="K439" s="4414"/>
      <c r="L439" s="1337"/>
    </row>
    <row r="440" spans="1:12" ht="30" customHeight="1" x14ac:dyDescent="0.2">
      <c r="A440" s="4464"/>
      <c r="B440" s="4488"/>
      <c r="C440" s="4540"/>
      <c r="D440" s="1543">
        <v>30000000</v>
      </c>
      <c r="E440" s="1545">
        <v>0.05</v>
      </c>
      <c r="F440" s="1543">
        <f t="shared" si="41"/>
        <v>1500000</v>
      </c>
      <c r="G440" s="4799"/>
      <c r="H440" s="4800"/>
      <c r="I440" s="4800"/>
      <c r="J440" s="4801"/>
      <c r="K440" s="4414"/>
      <c r="L440" s="764" t="s">
        <v>3780</v>
      </c>
    </row>
    <row r="441" spans="1:12" ht="30" customHeight="1" x14ac:dyDescent="0.2">
      <c r="A441" s="4460"/>
      <c r="B441" s="4458"/>
      <c r="C441" s="4538"/>
      <c r="D441" s="1543">
        <v>40000000</v>
      </c>
      <c r="E441" s="1545">
        <v>0.05</v>
      </c>
      <c r="F441" s="1543">
        <f t="shared" si="41"/>
        <v>2000000</v>
      </c>
      <c r="G441" s="4303" t="s">
        <v>3779</v>
      </c>
      <c r="H441" s="4324"/>
      <c r="I441" s="4324"/>
      <c r="J441" s="4355"/>
      <c r="K441" s="4415"/>
      <c r="L441" s="523"/>
    </row>
    <row r="442" spans="1:12" ht="30" customHeight="1" x14ac:dyDescent="0.2">
      <c r="A442" s="1519">
        <v>285</v>
      </c>
      <c r="B442" s="1517" t="s">
        <v>135</v>
      </c>
      <c r="C442" s="1488" t="s">
        <v>2278</v>
      </c>
      <c r="D442" s="1469">
        <v>100000000</v>
      </c>
      <c r="E442" s="1516">
        <v>7.0000000000000007E-2</v>
      </c>
      <c r="F442" s="1469">
        <f t="shared" si="41"/>
        <v>7000000.0000000009</v>
      </c>
      <c r="G442" s="1469">
        <v>7000000</v>
      </c>
      <c r="H442" s="1469" t="s">
        <v>3676</v>
      </c>
      <c r="I442" s="21" t="s">
        <v>2210</v>
      </c>
      <c r="J442" s="1469">
        <f>G442</f>
        <v>7000000</v>
      </c>
      <c r="K442" s="1469">
        <f>F442-J442</f>
        <v>0</v>
      </c>
      <c r="L442" s="1517"/>
    </row>
    <row r="443" spans="1:12" ht="30" customHeight="1" x14ac:dyDescent="0.2">
      <c r="A443" s="1462">
        <v>286</v>
      </c>
      <c r="B443" s="1514" t="s">
        <v>1622</v>
      </c>
      <c r="C443" s="1518"/>
      <c r="D443" s="1489">
        <v>35000000</v>
      </c>
      <c r="E443" s="1028">
        <v>0.05</v>
      </c>
      <c r="F443" s="1489">
        <v>1700000</v>
      </c>
      <c r="G443" s="1489">
        <v>1700000</v>
      </c>
      <c r="H443" s="1489" t="s">
        <v>3434</v>
      </c>
      <c r="I443" s="18" t="s">
        <v>307</v>
      </c>
      <c r="J443" s="1489">
        <f>G443</f>
        <v>1700000</v>
      </c>
      <c r="K443" s="1973">
        <f>F443-J443</f>
        <v>0</v>
      </c>
      <c r="L443" s="1974"/>
    </row>
    <row r="444" spans="1:12" ht="30" customHeight="1" x14ac:dyDescent="0.2">
      <c r="A444" s="4459">
        <v>287</v>
      </c>
      <c r="B444" s="4457" t="s">
        <v>137</v>
      </c>
      <c r="C444" s="4537"/>
      <c r="D444" s="1469">
        <v>15000000</v>
      </c>
      <c r="E444" s="1466">
        <v>0.05</v>
      </c>
      <c r="F444" s="1469">
        <f t="shared" si="41"/>
        <v>750000</v>
      </c>
      <c r="G444" s="4413">
        <v>3000000</v>
      </c>
      <c r="H444" s="4413" t="s">
        <v>3676</v>
      </c>
      <c r="I444" s="4478" t="s">
        <v>2979</v>
      </c>
      <c r="J444" s="4413">
        <f>G444+G445</f>
        <v>3000000</v>
      </c>
      <c r="K444" s="4413">
        <f>(F444+F445)-J444</f>
        <v>0</v>
      </c>
      <c r="L444" s="4472"/>
    </row>
    <row r="445" spans="1:12" ht="30" customHeight="1" x14ac:dyDescent="0.2">
      <c r="A445" s="4460"/>
      <c r="B445" s="4458"/>
      <c r="C445" s="4538"/>
      <c r="D445" s="1469">
        <v>45000000</v>
      </c>
      <c r="E445" s="1466">
        <v>0.05</v>
      </c>
      <c r="F445" s="1469">
        <f t="shared" si="41"/>
        <v>2250000</v>
      </c>
      <c r="G445" s="4415"/>
      <c r="H445" s="4415"/>
      <c r="I445" s="4479"/>
      <c r="J445" s="4415"/>
      <c r="K445" s="4415"/>
      <c r="L445" s="4473"/>
    </row>
    <row r="446" spans="1:12" ht="30" customHeight="1" x14ac:dyDescent="0.2">
      <c r="A446" s="1519">
        <v>288</v>
      </c>
      <c r="B446" s="1517" t="s">
        <v>138</v>
      </c>
      <c r="C446" s="1488" t="s">
        <v>1289</v>
      </c>
      <c r="D446" s="1469">
        <v>50000000</v>
      </c>
      <c r="E446" s="1516">
        <v>4.4999999999999998E-2</v>
      </c>
      <c r="F446" s="1469">
        <f t="shared" si="41"/>
        <v>2250000</v>
      </c>
      <c r="G446" s="1469">
        <v>2250000</v>
      </c>
      <c r="H446" s="1469" t="s">
        <v>3676</v>
      </c>
      <c r="I446" s="21" t="s">
        <v>2083</v>
      </c>
      <c r="J446" s="1469">
        <f t="shared" ref="J446:J456" si="42">G446</f>
        <v>2250000</v>
      </c>
      <c r="K446" s="1469">
        <f>F446-J446</f>
        <v>0</v>
      </c>
      <c r="L446" s="1517"/>
    </row>
    <row r="447" spans="1:12" ht="30" customHeight="1" x14ac:dyDescent="0.2">
      <c r="A447" s="1519">
        <v>289</v>
      </c>
      <c r="B447" s="1517" t="s">
        <v>637</v>
      </c>
      <c r="C447" s="1488" t="s">
        <v>1299</v>
      </c>
      <c r="D447" s="1469">
        <v>25000000</v>
      </c>
      <c r="E447" s="1516">
        <v>5.3999999999999999E-2</v>
      </c>
      <c r="F447" s="1469">
        <f t="shared" si="41"/>
        <v>1350000</v>
      </c>
      <c r="G447" s="1469">
        <v>1350000</v>
      </c>
      <c r="H447" s="1469" t="s">
        <v>3692</v>
      </c>
      <c r="I447" s="18" t="s">
        <v>3699</v>
      </c>
      <c r="J447" s="1469">
        <f t="shared" si="42"/>
        <v>1350000</v>
      </c>
      <c r="K447" s="1469">
        <f>F447-J447</f>
        <v>0</v>
      </c>
      <c r="L447" s="1517"/>
    </row>
    <row r="448" spans="1:12" ht="30" customHeight="1" x14ac:dyDescent="0.2">
      <c r="A448" s="4459">
        <v>290</v>
      </c>
      <c r="B448" s="4457" t="s">
        <v>3848</v>
      </c>
      <c r="C448" s="1488" t="s">
        <v>1288</v>
      </c>
      <c r="D448" s="1469">
        <v>800000000</v>
      </c>
      <c r="E448" s="1516">
        <v>5.5E-2</v>
      </c>
      <c r="F448" s="1469">
        <f t="shared" si="41"/>
        <v>44000000</v>
      </c>
      <c r="G448" s="4325" t="s">
        <v>3849</v>
      </c>
      <c r="H448" s="4326"/>
      <c r="I448" s="4326"/>
      <c r="J448" s="4563"/>
      <c r="K448" s="1469"/>
      <c r="L448" s="1845" t="s">
        <v>623</v>
      </c>
    </row>
    <row r="449" spans="1:12" ht="30" customHeight="1" x14ac:dyDescent="0.2">
      <c r="A449" s="4464"/>
      <c r="B449" s="4488"/>
      <c r="C449" s="1843"/>
      <c r="D449" s="1837">
        <v>200000000</v>
      </c>
      <c r="E449" s="4610" t="s">
        <v>3850</v>
      </c>
      <c r="F449" s="4611"/>
      <c r="G449" s="4564"/>
      <c r="H449" s="4596"/>
      <c r="I449" s="4596"/>
      <c r="J449" s="4565"/>
      <c r="K449" s="1837"/>
      <c r="L449" s="162"/>
    </row>
    <row r="450" spans="1:12" ht="30" customHeight="1" x14ac:dyDescent="0.2">
      <c r="A450" s="4464"/>
      <c r="B450" s="4488"/>
      <c r="C450" s="1843"/>
      <c r="D450" s="1837">
        <v>700000000</v>
      </c>
      <c r="E450" s="1846"/>
      <c r="F450" s="1837"/>
      <c r="G450" s="4469" t="s">
        <v>3853</v>
      </c>
      <c r="H450" s="4470"/>
      <c r="I450" s="4470"/>
      <c r="J450" s="4471"/>
      <c r="K450" s="1837"/>
      <c r="L450" s="1845" t="s">
        <v>3856</v>
      </c>
    </row>
    <row r="451" spans="1:12" ht="30" customHeight="1" x14ac:dyDescent="0.2">
      <c r="A451" s="4464"/>
      <c r="B451" s="4488"/>
      <c r="C451" s="1843"/>
      <c r="D451" s="1837">
        <v>400000000</v>
      </c>
      <c r="E451" s="1846"/>
      <c r="F451" s="1837"/>
      <c r="G451" s="4469" t="s">
        <v>3854</v>
      </c>
      <c r="H451" s="4470"/>
      <c r="I451" s="4470"/>
      <c r="J451" s="4471"/>
      <c r="K451" s="1837"/>
      <c r="L451" s="1845" t="s">
        <v>3857</v>
      </c>
    </row>
    <row r="452" spans="1:12" ht="30" customHeight="1" x14ac:dyDescent="0.2">
      <c r="A452" s="4464"/>
      <c r="B452" s="4488"/>
      <c r="C452" s="1843"/>
      <c r="D452" s="1837">
        <v>50000000</v>
      </c>
      <c r="E452" s="1846"/>
      <c r="F452" s="1837"/>
      <c r="G452" s="4469" t="s">
        <v>3855</v>
      </c>
      <c r="H452" s="4470"/>
      <c r="I452" s="4470"/>
      <c r="J452" s="4471"/>
      <c r="K452" s="1837"/>
      <c r="L452" s="162"/>
    </row>
    <row r="453" spans="1:12" ht="30" customHeight="1" x14ac:dyDescent="0.2">
      <c r="A453" s="4460"/>
      <c r="B453" s="4458"/>
      <c r="C453" s="1843"/>
      <c r="D453" s="1840">
        <v>1150000000</v>
      </c>
      <c r="E453" s="436">
        <v>7.0000000000000007E-2</v>
      </c>
      <c r="F453" s="1840">
        <f>D453*E453</f>
        <v>80500000.000000015</v>
      </c>
      <c r="G453" s="4469" t="s">
        <v>3858</v>
      </c>
      <c r="H453" s="4470"/>
      <c r="I453" s="4470"/>
      <c r="J453" s="4471"/>
      <c r="K453" s="1837"/>
      <c r="L453" s="1845" t="s">
        <v>3859</v>
      </c>
    </row>
    <row r="454" spans="1:12" ht="30" customHeight="1" x14ac:dyDescent="0.2">
      <c r="A454" s="1519">
        <v>292</v>
      </c>
      <c r="B454" s="1517" t="s">
        <v>140</v>
      </c>
      <c r="C454" s="1518" t="s">
        <v>1299</v>
      </c>
      <c r="D454" s="1469">
        <v>100000000</v>
      </c>
      <c r="E454" s="1516">
        <v>0.05</v>
      </c>
      <c r="F454" s="1469">
        <f t="shared" si="41"/>
        <v>5000000</v>
      </c>
      <c r="G454" s="1469">
        <v>5000000</v>
      </c>
      <c r="H454" s="1469" t="s">
        <v>3692</v>
      </c>
      <c r="I454" s="65" t="s">
        <v>2567</v>
      </c>
      <c r="J454" s="1469">
        <f t="shared" si="42"/>
        <v>5000000</v>
      </c>
      <c r="K454" s="1469">
        <f>F454-J454</f>
        <v>0</v>
      </c>
      <c r="L454" s="1517"/>
    </row>
    <row r="455" spans="1:12" ht="30" customHeight="1" x14ac:dyDescent="0.2">
      <c r="A455" s="1519">
        <v>293</v>
      </c>
      <c r="B455" s="1517" t="s">
        <v>141</v>
      </c>
      <c r="C455" s="1488" t="s">
        <v>1299</v>
      </c>
      <c r="D455" s="1469">
        <v>75000000</v>
      </c>
      <c r="E455" s="1516">
        <v>0.04</v>
      </c>
      <c r="F455" s="1469">
        <f>D455*E455</f>
        <v>3000000</v>
      </c>
      <c r="G455" s="1469">
        <v>3000000</v>
      </c>
      <c r="H455" s="1469" t="s">
        <v>3692</v>
      </c>
      <c r="I455" s="18" t="s">
        <v>2181</v>
      </c>
      <c r="J455" s="1469">
        <f t="shared" si="42"/>
        <v>3000000</v>
      </c>
      <c r="K455" s="1469">
        <f>F455-J455</f>
        <v>0</v>
      </c>
      <c r="L455" s="1517"/>
    </row>
    <row r="456" spans="1:12" ht="30" customHeight="1" x14ac:dyDescent="0.2">
      <c r="A456" s="4459">
        <v>295</v>
      </c>
      <c r="B456" s="1514" t="s">
        <v>142</v>
      </c>
      <c r="C456" s="4537" t="s">
        <v>1299</v>
      </c>
      <c r="D456" s="1469">
        <v>100000000</v>
      </c>
      <c r="E456" s="1516">
        <v>0.05</v>
      </c>
      <c r="F456" s="1469">
        <f t="shared" si="41"/>
        <v>5000000</v>
      </c>
      <c r="G456" s="4413">
        <v>5500000</v>
      </c>
      <c r="H456" s="4413" t="s">
        <v>3692</v>
      </c>
      <c r="I456" s="4413" t="s">
        <v>3702</v>
      </c>
      <c r="J456" s="4413">
        <f t="shared" si="42"/>
        <v>5500000</v>
      </c>
      <c r="K456" s="4413">
        <f>(F456+F457)-G456</f>
        <v>0</v>
      </c>
      <c r="L456" s="4571"/>
    </row>
    <row r="457" spans="1:12" ht="30" customHeight="1" x14ac:dyDescent="0.2">
      <c r="A457" s="4460"/>
      <c r="B457" s="1517" t="s">
        <v>707</v>
      </c>
      <c r="C457" s="4538"/>
      <c r="D457" s="1469">
        <v>10000000</v>
      </c>
      <c r="E457" s="1516">
        <v>0.05</v>
      </c>
      <c r="F457" s="1469">
        <f>D457*E457</f>
        <v>500000</v>
      </c>
      <c r="G457" s="4415"/>
      <c r="H457" s="4415"/>
      <c r="I457" s="4415"/>
      <c r="J457" s="4415"/>
      <c r="K457" s="4415"/>
      <c r="L457" s="4572"/>
    </row>
    <row r="458" spans="1:12" ht="30" customHeight="1" x14ac:dyDescent="0.2">
      <c r="A458" s="1519">
        <v>296</v>
      </c>
      <c r="B458" s="1517" t="s">
        <v>143</v>
      </c>
      <c r="C458" s="1488" t="s">
        <v>1306</v>
      </c>
      <c r="D458" s="1469">
        <v>35000000</v>
      </c>
      <c r="E458" s="1516">
        <v>0.04</v>
      </c>
      <c r="F458" s="1469">
        <f t="shared" si="41"/>
        <v>1400000</v>
      </c>
      <c r="G458" s="1469">
        <v>1400000</v>
      </c>
      <c r="H458" s="1469" t="s">
        <v>2599</v>
      </c>
      <c r="I458" s="21" t="s">
        <v>1109</v>
      </c>
      <c r="J458" s="1469">
        <f>G458</f>
        <v>1400000</v>
      </c>
      <c r="K458" s="1469">
        <f>F458-J458</f>
        <v>0</v>
      </c>
      <c r="L458" s="1517"/>
    </row>
    <row r="459" spans="1:12" ht="30" customHeight="1" x14ac:dyDescent="0.2">
      <c r="A459" s="1519">
        <v>298</v>
      </c>
      <c r="B459" s="1517" t="s">
        <v>145</v>
      </c>
      <c r="C459" s="1488" t="s">
        <v>1134</v>
      </c>
      <c r="D459" s="1469">
        <v>38000000</v>
      </c>
      <c r="E459" s="1516">
        <v>5.1999999999999998E-2</v>
      </c>
      <c r="F459" s="1469">
        <v>2000000</v>
      </c>
      <c r="G459" s="1469">
        <v>2000000</v>
      </c>
      <c r="H459" s="1469" t="s">
        <v>1189</v>
      </c>
      <c r="I459" s="21" t="s">
        <v>981</v>
      </c>
      <c r="J459" s="1469">
        <f>G459</f>
        <v>2000000</v>
      </c>
      <c r="K459" s="1469">
        <f>F459-J459</f>
        <v>0</v>
      </c>
      <c r="L459" s="1517"/>
    </row>
    <row r="460" spans="1:12" ht="30" customHeight="1" x14ac:dyDescent="0.2">
      <c r="A460" s="1519">
        <v>300</v>
      </c>
      <c r="B460" s="1514" t="s">
        <v>147</v>
      </c>
      <c r="C460" s="1518" t="s">
        <v>890</v>
      </c>
      <c r="D460" s="1489">
        <v>178000000</v>
      </c>
      <c r="E460" s="1516">
        <v>5.8999999999999997E-2</v>
      </c>
      <c r="F460" s="1489">
        <v>10500000</v>
      </c>
      <c r="G460" s="1799">
        <v>10500000</v>
      </c>
      <c r="H460" s="1799" t="s">
        <v>1189</v>
      </c>
      <c r="I460" s="21" t="s">
        <v>3469</v>
      </c>
      <c r="J460" s="1799">
        <f>G460</f>
        <v>10500000</v>
      </c>
      <c r="K460" s="1489">
        <f>F460-J460</f>
        <v>0</v>
      </c>
      <c r="L460" s="1517"/>
    </row>
    <row r="461" spans="1:12" ht="30" customHeight="1" x14ac:dyDescent="0.2">
      <c r="A461" s="1519">
        <v>301</v>
      </c>
      <c r="B461" s="1517" t="s">
        <v>2347</v>
      </c>
      <c r="C461" s="1488"/>
      <c r="D461" s="1469">
        <v>10000000</v>
      </c>
      <c r="E461" s="1466">
        <v>0.04</v>
      </c>
      <c r="F461" s="1469">
        <f>D461*E461</f>
        <v>400000</v>
      </c>
      <c r="G461" s="1469">
        <v>400000</v>
      </c>
      <c r="H461" s="1469" t="s">
        <v>1189</v>
      </c>
      <c r="I461" s="1490" t="s">
        <v>723</v>
      </c>
      <c r="J461" s="1469">
        <f>G461</f>
        <v>400000</v>
      </c>
      <c r="K461" s="1469">
        <f>F461-J461</f>
        <v>0</v>
      </c>
      <c r="L461" s="97"/>
    </row>
    <row r="462" spans="1:12" ht="30" customHeight="1" x14ac:dyDescent="0.2">
      <c r="A462" s="1519">
        <v>302</v>
      </c>
      <c r="B462" s="1517" t="s">
        <v>149</v>
      </c>
      <c r="C462" s="1488" t="s">
        <v>1296</v>
      </c>
      <c r="D462" s="1469">
        <v>60000000</v>
      </c>
      <c r="E462" s="1516">
        <v>4.4999999999999998E-2</v>
      </c>
      <c r="F462" s="1469">
        <f t="shared" si="41"/>
        <v>2700000</v>
      </c>
      <c r="G462" s="1469">
        <v>2700000</v>
      </c>
      <c r="H462" s="1469" t="s">
        <v>3692</v>
      </c>
      <c r="I462" s="21" t="s">
        <v>1131</v>
      </c>
      <c r="J462" s="1469">
        <f>G462</f>
        <v>2700000</v>
      </c>
      <c r="K462" s="1469">
        <f>F462-J462</f>
        <v>0</v>
      </c>
      <c r="L462" s="1517"/>
    </row>
    <row r="463" spans="1:12" ht="30" customHeight="1" x14ac:dyDescent="0.2">
      <c r="A463" s="4467"/>
      <c r="B463" s="4457" t="s">
        <v>150</v>
      </c>
      <c r="C463" s="4537" t="s">
        <v>1796</v>
      </c>
      <c r="D463" s="4322">
        <v>1846000000</v>
      </c>
      <c r="E463" s="4608">
        <f>F463/D463</f>
        <v>7.3174431202600212E-2</v>
      </c>
      <c r="F463" s="4322">
        <v>135080000</v>
      </c>
      <c r="G463" s="1806"/>
      <c r="H463" s="1806"/>
      <c r="I463" s="1806"/>
      <c r="J463" s="1806"/>
      <c r="K463" s="1806"/>
      <c r="L463" s="1386" t="s">
        <v>3316</v>
      </c>
    </row>
    <row r="464" spans="1:12" ht="30" customHeight="1" x14ac:dyDescent="0.2">
      <c r="A464" s="4889"/>
      <c r="B464" s="4488"/>
      <c r="C464" s="4540"/>
      <c r="D464" s="4322"/>
      <c r="E464" s="4608"/>
      <c r="F464" s="4322"/>
      <c r="G464" s="233"/>
      <c r="H464" s="233"/>
      <c r="I464" s="233"/>
      <c r="J464" s="233"/>
      <c r="K464" s="1806"/>
      <c r="L464" s="1386" t="s">
        <v>3335</v>
      </c>
    </row>
    <row r="465" spans="1:12" ht="30" customHeight="1" x14ac:dyDescent="0.2">
      <c r="A465" s="4889"/>
      <c r="B465" s="4488"/>
      <c r="C465" s="4540"/>
      <c r="D465" s="1578">
        <v>1916000000</v>
      </c>
      <c r="E465" s="1599"/>
      <c r="F465" s="1590"/>
      <c r="G465" s="4469" t="s">
        <v>3453</v>
      </c>
      <c r="H465" s="4470"/>
      <c r="I465" s="4470"/>
      <c r="J465" s="4471"/>
      <c r="K465" s="1806"/>
      <c r="L465" s="1386" t="s">
        <v>3454</v>
      </c>
    </row>
    <row r="466" spans="1:12" ht="30" customHeight="1" x14ac:dyDescent="0.2">
      <c r="A466" s="4889"/>
      <c r="B466" s="4488"/>
      <c r="C466" s="4540"/>
      <c r="D466" s="1800"/>
      <c r="E466" s="436"/>
      <c r="F466" s="1796"/>
      <c r="G466" s="1796">
        <v>50000000</v>
      </c>
      <c r="H466" s="1796" t="s">
        <v>3771</v>
      </c>
      <c r="I466" s="1796" t="s">
        <v>2460</v>
      </c>
      <c r="J466" s="4504">
        <f>G466+G467+G468</f>
        <v>138440000</v>
      </c>
      <c r="K466" s="4413">
        <f>138440000-J466</f>
        <v>0</v>
      </c>
      <c r="L466" s="1386"/>
    </row>
    <row r="467" spans="1:12" ht="30" customHeight="1" x14ac:dyDescent="0.2">
      <c r="A467" s="4889"/>
      <c r="B467" s="4488"/>
      <c r="C467" s="4540"/>
      <c r="D467" s="1894"/>
      <c r="E467" s="436"/>
      <c r="F467" s="1893"/>
      <c r="G467" s="1895">
        <v>50000000</v>
      </c>
      <c r="H467" s="1895" t="s">
        <v>3507</v>
      </c>
      <c r="I467" s="1896" t="s">
        <v>2460</v>
      </c>
      <c r="J467" s="4888"/>
      <c r="K467" s="4414"/>
      <c r="L467" s="1386"/>
    </row>
    <row r="468" spans="1:12" ht="30" customHeight="1" x14ac:dyDescent="0.2">
      <c r="A468" s="4468"/>
      <c r="B468" s="4458"/>
      <c r="C468" s="4538"/>
      <c r="D468" s="1902"/>
      <c r="E468" s="1901"/>
      <c r="F468" s="1902"/>
      <c r="G468" s="1903">
        <v>38440000</v>
      </c>
      <c r="H468" s="1903" t="s">
        <v>3893</v>
      </c>
      <c r="I468" s="1920" t="s">
        <v>1084</v>
      </c>
      <c r="J468" s="4505"/>
      <c r="K468" s="4415"/>
      <c r="L468" s="1386"/>
    </row>
    <row r="469" spans="1:12" ht="30" customHeight="1" x14ac:dyDescent="0.2">
      <c r="A469" s="4459">
        <v>305</v>
      </c>
      <c r="B469" s="4457" t="s">
        <v>152</v>
      </c>
      <c r="C469" s="4537"/>
      <c r="D469" s="4413">
        <v>750000000</v>
      </c>
      <c r="E469" s="4476">
        <v>6.5000000000000002E-2</v>
      </c>
      <c r="F469" s="4413">
        <v>48000000</v>
      </c>
      <c r="G469" s="1469">
        <v>16000000</v>
      </c>
      <c r="H469" s="1469" t="s">
        <v>3362</v>
      </c>
      <c r="I469" s="21" t="s">
        <v>2394</v>
      </c>
      <c r="J469" s="1563">
        <f>G469</f>
        <v>16000000</v>
      </c>
      <c r="K469" s="1563">
        <f>38000000-22000000-J469</f>
        <v>0</v>
      </c>
      <c r="L469" s="345" t="s">
        <v>2991</v>
      </c>
    </row>
    <row r="470" spans="1:12" ht="30" customHeight="1" x14ac:dyDescent="0.2">
      <c r="A470" s="4464"/>
      <c r="B470" s="4488"/>
      <c r="C470" s="4540"/>
      <c r="D470" s="4414"/>
      <c r="E470" s="4516"/>
      <c r="F470" s="4414"/>
      <c r="G470" s="1469">
        <v>10000000</v>
      </c>
      <c r="H470" s="1469" t="s">
        <v>3771</v>
      </c>
      <c r="I470" s="21" t="s">
        <v>3772</v>
      </c>
      <c r="J470" s="4413">
        <f>G470+G471+G472</f>
        <v>38000000</v>
      </c>
      <c r="K470" s="4413">
        <f>38000000-J470</f>
        <v>0</v>
      </c>
      <c r="L470" s="345" t="s">
        <v>3350</v>
      </c>
    </row>
    <row r="471" spans="1:12" ht="30" customHeight="1" x14ac:dyDescent="0.2">
      <c r="A471" s="4464"/>
      <c r="B471" s="4488"/>
      <c r="C471" s="4540"/>
      <c r="D471" s="4414"/>
      <c r="E471" s="4516"/>
      <c r="F471" s="4414"/>
      <c r="G471" s="1900">
        <v>9800000</v>
      </c>
      <c r="H471" s="1900" t="s">
        <v>3893</v>
      </c>
      <c r="I471" s="21" t="s">
        <v>2394</v>
      </c>
      <c r="J471" s="4414"/>
      <c r="K471" s="4414"/>
      <c r="L471" s="345"/>
    </row>
    <row r="472" spans="1:12" ht="30" customHeight="1" x14ac:dyDescent="0.2">
      <c r="A472" s="4460"/>
      <c r="B472" s="4458"/>
      <c r="C472" s="4538"/>
      <c r="D472" s="4415"/>
      <c r="E472" s="4477"/>
      <c r="F472" s="4415"/>
      <c r="G472" s="1900">
        <v>18200000</v>
      </c>
      <c r="H472" s="1900" t="s">
        <v>3893</v>
      </c>
      <c r="I472" s="21" t="s">
        <v>2394</v>
      </c>
      <c r="J472" s="4415"/>
      <c r="K472" s="4415"/>
      <c r="L472" s="345"/>
    </row>
    <row r="473" spans="1:12" ht="30" customHeight="1" x14ac:dyDescent="0.2">
      <c r="A473" s="1519">
        <v>307</v>
      </c>
      <c r="B473" s="1517" t="s">
        <v>154</v>
      </c>
      <c r="C473" s="1488" t="s">
        <v>1306</v>
      </c>
      <c r="D473" s="1469">
        <v>260000000</v>
      </c>
      <c r="E473" s="1516">
        <v>0.05</v>
      </c>
      <c r="F473" s="1469">
        <f t="shared" si="41"/>
        <v>13000000</v>
      </c>
      <c r="G473" s="1469">
        <v>13000000</v>
      </c>
      <c r="H473" s="1469" t="s">
        <v>2599</v>
      </c>
      <c r="I473" s="21" t="s">
        <v>2409</v>
      </c>
      <c r="J473" s="1469">
        <f>G473</f>
        <v>13000000</v>
      </c>
      <c r="K473" s="1469">
        <f>F473-J473</f>
        <v>0</v>
      </c>
      <c r="L473" s="1517"/>
    </row>
    <row r="474" spans="1:12" ht="30" customHeight="1" x14ac:dyDescent="0.2">
      <c r="A474" s="1462">
        <v>308</v>
      </c>
      <c r="B474" s="1514" t="s">
        <v>155</v>
      </c>
      <c r="C474" s="1518" t="s">
        <v>1294</v>
      </c>
      <c r="D474" s="1489">
        <v>300000000</v>
      </c>
      <c r="E474" s="1516">
        <v>0.05</v>
      </c>
      <c r="F474" s="1489">
        <f t="shared" si="41"/>
        <v>15000000</v>
      </c>
      <c r="G474" s="4413">
        <v>30000000</v>
      </c>
      <c r="H474" s="4413" t="s">
        <v>3463</v>
      </c>
      <c r="I474" s="4553" t="s">
        <v>3467</v>
      </c>
      <c r="J474" s="4413">
        <f>G474</f>
        <v>30000000</v>
      </c>
      <c r="K474" s="4413">
        <f>(F474+F475)-J474</f>
        <v>-6000000</v>
      </c>
      <c r="L474" s="4643" t="s">
        <v>3506</v>
      </c>
    </row>
    <row r="475" spans="1:12" ht="30" customHeight="1" x14ac:dyDescent="0.2">
      <c r="A475" s="1519">
        <v>309</v>
      </c>
      <c r="B475" s="1514" t="s">
        <v>1874</v>
      </c>
      <c r="C475" s="1518" t="s">
        <v>372</v>
      </c>
      <c r="D475" s="1469">
        <v>180000000</v>
      </c>
      <c r="E475" s="1466">
        <v>0.05</v>
      </c>
      <c r="F475" s="1469">
        <f>D475*E475</f>
        <v>9000000</v>
      </c>
      <c r="G475" s="4415"/>
      <c r="H475" s="4415"/>
      <c r="I475" s="4554"/>
      <c r="J475" s="4415"/>
      <c r="K475" s="4415"/>
      <c r="L475" s="4644"/>
    </row>
    <row r="476" spans="1:12" ht="30" customHeight="1" x14ac:dyDescent="0.2">
      <c r="A476" s="1462">
        <v>310</v>
      </c>
      <c r="B476" s="1517" t="s">
        <v>157</v>
      </c>
      <c r="C476" s="1488" t="s">
        <v>392</v>
      </c>
      <c r="D476" s="1469">
        <v>100000000</v>
      </c>
      <c r="E476" s="1466">
        <v>0.05</v>
      </c>
      <c r="F476" s="1469">
        <f t="shared" ref="F476:F495" si="43">D476*E476</f>
        <v>5000000</v>
      </c>
      <c r="G476" s="1469">
        <v>5000000</v>
      </c>
      <c r="H476" s="1469" t="s">
        <v>3485</v>
      </c>
      <c r="I476" s="21" t="s">
        <v>3519</v>
      </c>
      <c r="J476" s="1469">
        <f>G476</f>
        <v>5000000</v>
      </c>
      <c r="K476" s="1469">
        <f t="shared" ref="K476:K485" si="44">F476-J476</f>
        <v>0</v>
      </c>
      <c r="L476" s="2760" t="s">
        <v>2045</v>
      </c>
    </row>
    <row r="477" spans="1:12" ht="30" customHeight="1" x14ac:dyDescent="0.2">
      <c r="A477" s="4459">
        <v>311</v>
      </c>
      <c r="B477" s="4457" t="s">
        <v>158</v>
      </c>
      <c r="C477" s="4537" t="s">
        <v>889</v>
      </c>
      <c r="D477" s="1469">
        <v>55000000</v>
      </c>
      <c r="E477" s="1516">
        <v>0.05</v>
      </c>
      <c r="F477" s="1469">
        <f t="shared" si="43"/>
        <v>2750000</v>
      </c>
      <c r="G477" s="1469"/>
      <c r="H477" s="1469"/>
      <c r="I477" s="1491"/>
      <c r="J477" s="1469">
        <f>G477</f>
        <v>0</v>
      </c>
      <c r="K477" s="1469">
        <f t="shared" si="44"/>
        <v>2750000</v>
      </c>
      <c r="L477" s="160"/>
    </row>
    <row r="478" spans="1:12" ht="30" customHeight="1" x14ac:dyDescent="0.2">
      <c r="A478" s="4460"/>
      <c r="B478" s="4458"/>
      <c r="C478" s="4538"/>
      <c r="D478" s="1580">
        <v>85000000</v>
      </c>
      <c r="E478" s="1599">
        <v>0.05</v>
      </c>
      <c r="F478" s="1580">
        <f t="shared" si="43"/>
        <v>4250000</v>
      </c>
      <c r="G478" s="4303" t="s">
        <v>3452</v>
      </c>
      <c r="H478" s="4324"/>
      <c r="I478" s="4324"/>
      <c r="J478" s="4355"/>
      <c r="K478" s="1580"/>
      <c r="L478" s="160"/>
    </row>
    <row r="479" spans="1:12" ht="30" customHeight="1" x14ac:dyDescent="0.2">
      <c r="A479" s="1462">
        <v>312</v>
      </c>
      <c r="B479" s="1517" t="s">
        <v>159</v>
      </c>
      <c r="C479" s="1488"/>
      <c r="D479" s="1478"/>
      <c r="E479" s="40"/>
      <c r="F479" s="1478">
        <f t="shared" si="43"/>
        <v>0</v>
      </c>
      <c r="G479" s="1469"/>
      <c r="H479" s="1469"/>
      <c r="I479" s="21"/>
      <c r="J479" s="1469">
        <f>G479</f>
        <v>0</v>
      </c>
      <c r="K479" s="1478">
        <f t="shared" si="44"/>
        <v>0</v>
      </c>
      <c r="L479" s="1517"/>
    </row>
    <row r="480" spans="1:12" ht="30" customHeight="1" x14ac:dyDescent="0.2">
      <c r="A480" s="4459">
        <v>313</v>
      </c>
      <c r="B480" s="4457" t="s">
        <v>161</v>
      </c>
      <c r="C480" s="4537"/>
      <c r="D480" s="4413">
        <v>152000000</v>
      </c>
      <c r="E480" s="4476">
        <v>0.05</v>
      </c>
      <c r="F480" s="4413">
        <f>D480*E480</f>
        <v>7600000</v>
      </c>
      <c r="G480" s="1469">
        <v>5600000</v>
      </c>
      <c r="H480" s="1469" t="s">
        <v>3463</v>
      </c>
      <c r="I480" s="21" t="s">
        <v>3468</v>
      </c>
      <c r="J480" s="4413">
        <f>G480+G481</f>
        <v>7600000</v>
      </c>
      <c r="K480" s="4413">
        <f t="shared" si="44"/>
        <v>0</v>
      </c>
      <c r="L480" s="4599"/>
    </row>
    <row r="481" spans="1:12" ht="30" customHeight="1" x14ac:dyDescent="0.2">
      <c r="A481" s="4460"/>
      <c r="B481" s="4458"/>
      <c r="C481" s="4538"/>
      <c r="D481" s="4415"/>
      <c r="E481" s="4477"/>
      <c r="F481" s="4415"/>
      <c r="G481" s="1642">
        <v>2000000</v>
      </c>
      <c r="H481" s="1642" t="s">
        <v>3558</v>
      </c>
      <c r="I481" s="21" t="s">
        <v>3560</v>
      </c>
      <c r="J481" s="4415"/>
      <c r="K481" s="4415"/>
      <c r="L481" s="4607"/>
    </row>
    <row r="482" spans="1:12" ht="30" customHeight="1" x14ac:dyDescent="0.2">
      <c r="A482" s="1462">
        <v>314</v>
      </c>
      <c r="B482" s="1461" t="s">
        <v>162</v>
      </c>
      <c r="C482" s="1488"/>
      <c r="D482" s="1469">
        <v>20000000</v>
      </c>
      <c r="E482" s="1516">
        <v>0.04</v>
      </c>
      <c r="F482" s="1469">
        <f t="shared" si="43"/>
        <v>800000</v>
      </c>
      <c r="G482" s="1469"/>
      <c r="H482" s="1469"/>
      <c r="I482" s="21"/>
      <c r="J482" s="1469"/>
      <c r="K482" s="1469">
        <f t="shared" si="44"/>
        <v>800000</v>
      </c>
      <c r="L482" s="97" t="s">
        <v>728</v>
      </c>
    </row>
    <row r="483" spans="1:12" ht="30" customHeight="1" x14ac:dyDescent="0.2">
      <c r="A483" s="1462">
        <v>315</v>
      </c>
      <c r="B483" s="19" t="s">
        <v>163</v>
      </c>
      <c r="C483" s="1518" t="s">
        <v>1176</v>
      </c>
      <c r="D483" s="1489">
        <v>400000000</v>
      </c>
      <c r="E483" s="1516">
        <v>6.3E-2</v>
      </c>
      <c r="F483" s="1489">
        <v>25000000</v>
      </c>
      <c r="G483" s="1489">
        <v>25000000</v>
      </c>
      <c r="H483" s="1489" t="s">
        <v>3485</v>
      </c>
      <c r="I483" s="1513" t="s">
        <v>1806</v>
      </c>
      <c r="J483" s="1590">
        <f t="shared" ref="J483:J494" si="45">G483</f>
        <v>25000000</v>
      </c>
      <c r="K483" s="1489">
        <f t="shared" si="44"/>
        <v>0</v>
      </c>
      <c r="L483" s="1484"/>
    </row>
    <row r="484" spans="1:12" ht="30" customHeight="1" x14ac:dyDescent="0.2">
      <c r="A484" s="1519">
        <v>316</v>
      </c>
      <c r="B484" s="1461" t="s">
        <v>164</v>
      </c>
      <c r="C484" s="1488"/>
      <c r="D484" s="1469">
        <v>35000000</v>
      </c>
      <c r="E484" s="1466">
        <v>0.04</v>
      </c>
      <c r="F484" s="1469">
        <f>D484*E484</f>
        <v>1400000</v>
      </c>
      <c r="G484" s="1469">
        <v>1400000</v>
      </c>
      <c r="H484" s="1469" t="s">
        <v>3558</v>
      </c>
      <c r="I484" s="1492" t="s">
        <v>288</v>
      </c>
      <c r="J484" s="1469">
        <f t="shared" si="45"/>
        <v>1400000</v>
      </c>
      <c r="K484" s="1469">
        <f t="shared" si="44"/>
        <v>0</v>
      </c>
      <c r="L484" s="1517"/>
    </row>
    <row r="485" spans="1:12" ht="30" customHeight="1" x14ac:dyDescent="0.2">
      <c r="A485" s="4459">
        <v>317</v>
      </c>
      <c r="B485" s="4457" t="s">
        <v>165</v>
      </c>
      <c r="C485" s="1488" t="s">
        <v>359</v>
      </c>
      <c r="D485" s="1469">
        <v>100000000</v>
      </c>
      <c r="E485" s="1516">
        <v>0.05</v>
      </c>
      <c r="F485" s="1469">
        <f>D485*E485</f>
        <v>5000000</v>
      </c>
      <c r="G485" s="1469">
        <v>5000000</v>
      </c>
      <c r="H485" s="1469" t="s">
        <v>3583</v>
      </c>
      <c r="I485" s="21" t="s">
        <v>3584</v>
      </c>
      <c r="J485" s="1469">
        <f t="shared" si="45"/>
        <v>5000000</v>
      </c>
      <c r="K485" s="1469">
        <f t="shared" si="44"/>
        <v>0</v>
      </c>
      <c r="L485" s="97" t="s">
        <v>2708</v>
      </c>
    </row>
    <row r="486" spans="1:12" ht="30" customHeight="1" x14ac:dyDescent="0.2">
      <c r="A486" s="4464"/>
      <c r="B486" s="4488"/>
      <c r="C486" s="1488" t="s">
        <v>1287</v>
      </c>
      <c r="D486" s="1469">
        <v>210000000</v>
      </c>
      <c r="E486" s="1516">
        <v>0.05</v>
      </c>
      <c r="F486" s="1469">
        <f>D486*E486</f>
        <v>10500000</v>
      </c>
      <c r="G486" s="1718">
        <v>10000000</v>
      </c>
      <c r="H486" s="1718" t="s">
        <v>3660</v>
      </c>
      <c r="I486" s="21" t="s">
        <v>2996</v>
      </c>
      <c r="J486" s="4413">
        <f>G486+G487</f>
        <v>17000000</v>
      </c>
      <c r="K486" s="4413">
        <f>17000000-J486</f>
        <v>0</v>
      </c>
      <c r="L486" s="97" t="s">
        <v>2709</v>
      </c>
    </row>
    <row r="487" spans="1:12" ht="30" customHeight="1" x14ac:dyDescent="0.2">
      <c r="A487" s="4460"/>
      <c r="B487" s="4458"/>
      <c r="C487" s="1488"/>
      <c r="D487" s="1469"/>
      <c r="E487" s="1516"/>
      <c r="F487" s="1469"/>
      <c r="G487" s="1718">
        <v>7000000</v>
      </c>
      <c r="H487" s="1718" t="s">
        <v>3676</v>
      </c>
      <c r="I487" s="21" t="s">
        <v>3584</v>
      </c>
      <c r="J487" s="4415"/>
      <c r="K487" s="4415"/>
      <c r="L487" s="97" t="s">
        <v>3292</v>
      </c>
    </row>
    <row r="488" spans="1:12" ht="30" customHeight="1" x14ac:dyDescent="0.2">
      <c r="A488" s="1519">
        <v>318</v>
      </c>
      <c r="B488" s="1517" t="s">
        <v>167</v>
      </c>
      <c r="C488" s="1488"/>
      <c r="D488" s="1469">
        <v>80000000</v>
      </c>
      <c r="E488" s="1516">
        <v>0.05</v>
      </c>
      <c r="F488" s="1469">
        <f t="shared" si="43"/>
        <v>4000000</v>
      </c>
      <c r="G488" s="1469">
        <v>4000000</v>
      </c>
      <c r="H488" s="1469" t="s">
        <v>3547</v>
      </c>
      <c r="I488" s="18" t="s">
        <v>1814</v>
      </c>
      <c r="J488" s="1469">
        <f t="shared" si="45"/>
        <v>4000000</v>
      </c>
      <c r="K488" s="1469">
        <f>F488-J488</f>
        <v>0</v>
      </c>
      <c r="L488" s="1517"/>
    </row>
    <row r="489" spans="1:12" ht="30" customHeight="1" x14ac:dyDescent="0.2">
      <c r="A489" s="1519">
        <v>319</v>
      </c>
      <c r="B489" s="1517" t="s">
        <v>168</v>
      </c>
      <c r="C489" s="1488" t="s">
        <v>1287</v>
      </c>
      <c r="D489" s="1469">
        <v>200000000</v>
      </c>
      <c r="E489" s="1516">
        <v>5.5E-2</v>
      </c>
      <c r="F489" s="1469">
        <f t="shared" si="43"/>
        <v>11000000</v>
      </c>
      <c r="G489" s="1469">
        <v>11000000</v>
      </c>
      <c r="H489" s="1469" t="s">
        <v>3676</v>
      </c>
      <c r="I489" s="21" t="s">
        <v>3723</v>
      </c>
      <c r="J489" s="1469">
        <f t="shared" si="45"/>
        <v>11000000</v>
      </c>
      <c r="K489" s="1469">
        <f>F489-J489</f>
        <v>0</v>
      </c>
      <c r="L489" s="97"/>
    </row>
    <row r="490" spans="1:12" ht="30" customHeight="1" x14ac:dyDescent="0.2">
      <c r="A490" s="4459">
        <v>320</v>
      </c>
      <c r="B490" s="4457" t="s">
        <v>169</v>
      </c>
      <c r="C490" s="4537" t="s">
        <v>2278</v>
      </c>
      <c r="D490" s="1469">
        <v>135000000</v>
      </c>
      <c r="E490" s="1516">
        <v>0.06</v>
      </c>
      <c r="F490" s="1469">
        <v>8000000</v>
      </c>
      <c r="G490" s="4413">
        <v>9750000</v>
      </c>
      <c r="H490" s="4413" t="s">
        <v>3676</v>
      </c>
      <c r="I490" s="4478" t="s">
        <v>3678</v>
      </c>
      <c r="J490" s="4413">
        <f t="shared" si="45"/>
        <v>9750000</v>
      </c>
      <c r="K490" s="4413">
        <f>(F490+F491)-J490</f>
        <v>0</v>
      </c>
      <c r="L490" s="97"/>
    </row>
    <row r="491" spans="1:12" ht="30" customHeight="1" x14ac:dyDescent="0.2">
      <c r="A491" s="4460"/>
      <c r="B491" s="4458"/>
      <c r="C491" s="4538"/>
      <c r="D491" s="1580">
        <v>35000000</v>
      </c>
      <c r="E491" s="1599">
        <v>0.05</v>
      </c>
      <c r="F491" s="1580">
        <f>D491*E491</f>
        <v>1750000</v>
      </c>
      <c r="G491" s="4415"/>
      <c r="H491" s="4415"/>
      <c r="I491" s="4479"/>
      <c r="J491" s="4415"/>
      <c r="K491" s="4415"/>
      <c r="L491" s="97" t="s">
        <v>3458</v>
      </c>
    </row>
    <row r="492" spans="1:12" ht="30" customHeight="1" x14ac:dyDescent="0.2">
      <c r="A492" s="1519">
        <v>321</v>
      </c>
      <c r="B492" s="1517" t="s">
        <v>171</v>
      </c>
      <c r="C492" s="1488"/>
      <c r="D492" s="1469">
        <v>5000000</v>
      </c>
      <c r="E492" s="1516">
        <v>0.04</v>
      </c>
      <c r="F492" s="1469">
        <f t="shared" si="43"/>
        <v>200000</v>
      </c>
      <c r="G492" s="1469">
        <v>200000</v>
      </c>
      <c r="H492" s="1469" t="s">
        <v>3893</v>
      </c>
      <c r="I492" s="21" t="s">
        <v>2330</v>
      </c>
      <c r="J492" s="1469">
        <f t="shared" si="45"/>
        <v>200000</v>
      </c>
      <c r="K492" s="1469">
        <f>F492-J492</f>
        <v>0</v>
      </c>
      <c r="L492" s="1517"/>
    </row>
    <row r="493" spans="1:12" ht="30" customHeight="1" x14ac:dyDescent="0.2">
      <c r="A493" s="4459">
        <v>322</v>
      </c>
      <c r="B493" s="4457" t="s">
        <v>1378</v>
      </c>
      <c r="C493" s="4537" t="s">
        <v>1081</v>
      </c>
      <c r="D493" s="1469">
        <v>10000000</v>
      </c>
      <c r="E493" s="1516">
        <v>0.05</v>
      </c>
      <c r="F493" s="1469">
        <f t="shared" si="43"/>
        <v>500000</v>
      </c>
      <c r="G493" s="1469">
        <v>500000</v>
      </c>
      <c r="H493" s="1469" t="s">
        <v>3434</v>
      </c>
      <c r="I493" s="1509" t="s">
        <v>1376</v>
      </c>
      <c r="J493" s="1469">
        <f t="shared" si="45"/>
        <v>500000</v>
      </c>
      <c r="K493" s="1469">
        <f>F493-J493</f>
        <v>0</v>
      </c>
      <c r="L493" s="1025" t="s">
        <v>3439</v>
      </c>
    </row>
    <row r="494" spans="1:12" ht="30" customHeight="1" x14ac:dyDescent="0.2">
      <c r="A494" s="4460"/>
      <c r="B494" s="4458"/>
      <c r="C494" s="4538"/>
      <c r="D494" s="1469">
        <v>10000000</v>
      </c>
      <c r="E494" s="1516">
        <v>0.05</v>
      </c>
      <c r="F494" s="1469">
        <f t="shared" si="43"/>
        <v>500000</v>
      </c>
      <c r="G494" s="1469">
        <v>500000</v>
      </c>
      <c r="H494" s="1469" t="s">
        <v>3893</v>
      </c>
      <c r="I494" s="1509" t="s">
        <v>3904</v>
      </c>
      <c r="J494" s="1469">
        <f t="shared" si="45"/>
        <v>500000</v>
      </c>
      <c r="K494" s="1469">
        <f>F494-J494</f>
        <v>0</v>
      </c>
      <c r="L494" s="1517"/>
    </row>
    <row r="495" spans="1:12" ht="30" customHeight="1" x14ac:dyDescent="0.2">
      <c r="A495" s="1519">
        <v>323</v>
      </c>
      <c r="B495" s="1517" t="s">
        <v>172</v>
      </c>
      <c r="C495" s="1488"/>
      <c r="D495" s="1469">
        <v>60000000</v>
      </c>
      <c r="E495" s="1516">
        <v>4.4999999999999998E-2</v>
      </c>
      <c r="F495" s="1469">
        <f t="shared" si="43"/>
        <v>2700000</v>
      </c>
      <c r="G495" s="1469"/>
      <c r="H495" s="1469"/>
      <c r="I495" s="1490"/>
      <c r="J495" s="1469">
        <f>G495</f>
        <v>0</v>
      </c>
      <c r="K495" s="1469">
        <f>F495-J495</f>
        <v>2700000</v>
      </c>
      <c r="L495" s="1517"/>
    </row>
    <row r="496" spans="1:12" ht="30" customHeight="1" x14ac:dyDescent="0.2">
      <c r="A496" s="1519">
        <v>324</v>
      </c>
      <c r="B496" s="1517" t="s">
        <v>173</v>
      </c>
      <c r="C496" s="1488" t="s">
        <v>889</v>
      </c>
      <c r="D496" s="1469">
        <v>20000000</v>
      </c>
      <c r="E496" s="1516">
        <v>0.05</v>
      </c>
      <c r="F496" s="1469">
        <f>D496*E496</f>
        <v>1000000</v>
      </c>
      <c r="G496" s="1469">
        <v>1000000</v>
      </c>
      <c r="H496" s="1469" t="s">
        <v>3547</v>
      </c>
      <c r="I496" s="21" t="s">
        <v>1740</v>
      </c>
      <c r="J496" s="1469">
        <f>G496</f>
        <v>1000000</v>
      </c>
      <c r="K496" s="1469">
        <f>F496-J496</f>
        <v>0</v>
      </c>
      <c r="L496" s="1517"/>
    </row>
    <row r="497" spans="1:12" ht="30" customHeight="1" x14ac:dyDescent="0.2">
      <c r="A497" s="4459">
        <v>325</v>
      </c>
      <c r="B497" s="4457" t="s">
        <v>270</v>
      </c>
      <c r="C497" s="4537"/>
      <c r="D497" s="1469">
        <v>300000000</v>
      </c>
      <c r="E497" s="1516">
        <v>0.1</v>
      </c>
      <c r="F497" s="1469">
        <v>30750000</v>
      </c>
      <c r="G497" s="4413">
        <v>40550000</v>
      </c>
      <c r="H497" s="4413" t="s">
        <v>3583</v>
      </c>
      <c r="I497" s="4478" t="s">
        <v>2927</v>
      </c>
      <c r="J497" s="4413">
        <f>G497</f>
        <v>40550000</v>
      </c>
      <c r="K497" s="4413">
        <f>(F497+F498)-J497</f>
        <v>0</v>
      </c>
      <c r="L497" s="4537"/>
    </row>
    <row r="498" spans="1:12" ht="30" customHeight="1" x14ac:dyDescent="0.2">
      <c r="A498" s="4460"/>
      <c r="B498" s="4458"/>
      <c r="C498" s="4538"/>
      <c r="D498" s="1469">
        <v>140000000</v>
      </c>
      <c r="E498" s="1516">
        <v>7.0000000000000007E-2</v>
      </c>
      <c r="F498" s="1469">
        <v>9800000</v>
      </c>
      <c r="G498" s="4415"/>
      <c r="H498" s="4415"/>
      <c r="I498" s="4479"/>
      <c r="J498" s="4415"/>
      <c r="K498" s="4415"/>
      <c r="L498" s="4538"/>
    </row>
    <row r="499" spans="1:12" ht="30" customHeight="1" x14ac:dyDescent="0.2">
      <c r="A499" s="4459">
        <v>326</v>
      </c>
      <c r="B499" s="4615" t="s">
        <v>176</v>
      </c>
      <c r="C499" s="4620"/>
      <c r="D499" s="4322">
        <v>500000000</v>
      </c>
      <c r="E499" s="4608">
        <v>0.05</v>
      </c>
      <c r="F499" s="4322">
        <f>D499*E499</f>
        <v>25000000</v>
      </c>
      <c r="G499" s="233"/>
      <c r="H499" s="233"/>
      <c r="I499" s="233"/>
      <c r="J499" s="233"/>
      <c r="K499" s="1489">
        <f>F499-J499</f>
        <v>25000000</v>
      </c>
      <c r="L499" s="4571" t="s">
        <v>3387</v>
      </c>
    </row>
    <row r="500" spans="1:12" ht="30" customHeight="1" x14ac:dyDescent="0.2">
      <c r="A500" s="4460"/>
      <c r="B500" s="4615"/>
      <c r="C500" s="4620"/>
      <c r="D500" s="4322"/>
      <c r="E500" s="4608"/>
      <c r="F500" s="4322"/>
      <c r="G500" s="233"/>
      <c r="H500" s="233"/>
      <c r="I500" s="233"/>
      <c r="J500" s="233"/>
      <c r="K500" s="1469"/>
      <c r="L500" s="4572"/>
    </row>
    <row r="501" spans="1:12" ht="30" customHeight="1" x14ac:dyDescent="0.2">
      <c r="A501" s="1519">
        <v>327</v>
      </c>
      <c r="B501" s="1546" t="s">
        <v>1232</v>
      </c>
      <c r="C501" s="940"/>
      <c r="D501" s="941">
        <v>60000000</v>
      </c>
      <c r="E501" s="1547">
        <v>0.05</v>
      </c>
      <c r="F501" s="941">
        <f t="shared" ref="F501:F507" si="46">D501*E501</f>
        <v>3000000</v>
      </c>
      <c r="G501" s="941">
        <v>3000000</v>
      </c>
      <c r="H501" s="941" t="s">
        <v>3507</v>
      </c>
      <c r="I501" s="944" t="s">
        <v>1231</v>
      </c>
      <c r="J501" s="941">
        <f>G501</f>
        <v>3000000</v>
      </c>
      <c r="K501" s="941">
        <f>F501-J501</f>
        <v>0</v>
      </c>
      <c r="L501" s="97"/>
    </row>
    <row r="502" spans="1:12" ht="30" customHeight="1" x14ac:dyDescent="0.2">
      <c r="A502" s="4459">
        <v>328</v>
      </c>
      <c r="B502" s="4457" t="s">
        <v>2675</v>
      </c>
      <c r="C502" s="4537" t="s">
        <v>942</v>
      </c>
      <c r="D502" s="1590">
        <v>745000000</v>
      </c>
      <c r="E502" s="1599">
        <v>0.06</v>
      </c>
      <c r="F502" s="1590">
        <f>D502*E502</f>
        <v>44700000</v>
      </c>
      <c r="G502" s="1558">
        <v>44700000</v>
      </c>
      <c r="H502" s="1558" t="s">
        <v>3417</v>
      </c>
      <c r="I502" s="21" t="s">
        <v>1434</v>
      </c>
      <c r="J502" s="1558">
        <f>G502</f>
        <v>44700000</v>
      </c>
      <c r="K502" s="1469">
        <f>F502-J502</f>
        <v>0</v>
      </c>
      <c r="L502" s="97" t="s">
        <v>4663</v>
      </c>
    </row>
    <row r="503" spans="1:12" ht="30" customHeight="1" x14ac:dyDescent="0.2">
      <c r="A503" s="4464"/>
      <c r="B503" s="4488"/>
      <c r="C503" s="4540"/>
      <c r="D503" s="4325" t="s">
        <v>3444</v>
      </c>
      <c r="E503" s="4326"/>
      <c r="F503" s="4563"/>
      <c r="G503" s="1469">
        <v>50000000</v>
      </c>
      <c r="H503" s="1469" t="s">
        <v>3427</v>
      </c>
      <c r="I503" s="21" t="s">
        <v>1434</v>
      </c>
      <c r="J503" s="4413">
        <f>G503+G504</f>
        <v>60000000</v>
      </c>
      <c r="K503" s="4413">
        <f>60000000-J503</f>
        <v>0</v>
      </c>
      <c r="L503" s="4492" t="s">
        <v>3428</v>
      </c>
    </row>
    <row r="504" spans="1:12" ht="30" customHeight="1" x14ac:dyDescent="0.2">
      <c r="A504" s="4460"/>
      <c r="B504" s="4458"/>
      <c r="C504" s="4538"/>
      <c r="D504" s="4564"/>
      <c r="E504" s="4596"/>
      <c r="F504" s="4565"/>
      <c r="G504" s="1580">
        <v>10000000</v>
      </c>
      <c r="H504" s="1580" t="s">
        <v>3440</v>
      </c>
      <c r="I504" s="21" t="s">
        <v>3443</v>
      </c>
      <c r="J504" s="4415"/>
      <c r="K504" s="4415"/>
      <c r="L504" s="4493"/>
    </row>
    <row r="505" spans="1:12" ht="30" customHeight="1" x14ac:dyDescent="0.2">
      <c r="A505" s="4459"/>
      <c r="B505" s="4457" t="s">
        <v>2675</v>
      </c>
      <c r="C505" s="4537" t="s">
        <v>942</v>
      </c>
      <c r="D505" s="4872">
        <v>685000000</v>
      </c>
      <c r="E505" s="4874">
        <v>0.06</v>
      </c>
      <c r="F505" s="4872">
        <f>D505*E505</f>
        <v>41100000</v>
      </c>
      <c r="G505" s="4469" t="s">
        <v>4664</v>
      </c>
      <c r="H505" s="4470"/>
      <c r="I505" s="4470"/>
      <c r="J505" s="4471"/>
      <c r="K505" s="1580"/>
      <c r="L505" s="1581"/>
    </row>
    <row r="506" spans="1:12" ht="30" customHeight="1" x14ac:dyDescent="0.2">
      <c r="A506" s="4460"/>
      <c r="B506" s="4458"/>
      <c r="C506" s="4538"/>
      <c r="D506" s="4873"/>
      <c r="E506" s="4875"/>
      <c r="F506" s="4873"/>
      <c r="G506" s="2172">
        <v>40000000</v>
      </c>
      <c r="H506" s="2172" t="s">
        <v>3531</v>
      </c>
      <c r="I506" s="21" t="s">
        <v>3532</v>
      </c>
      <c r="J506" s="2171">
        <f>G506</f>
        <v>40000000</v>
      </c>
      <c r="K506" s="2172"/>
      <c r="L506" s="180" t="s">
        <v>2604</v>
      </c>
    </row>
    <row r="507" spans="1:12" ht="30" customHeight="1" x14ac:dyDescent="0.2">
      <c r="A507" s="1462">
        <v>329</v>
      </c>
      <c r="B507" s="1514" t="s">
        <v>181</v>
      </c>
      <c r="C507" s="378"/>
      <c r="D507" s="1481"/>
      <c r="E507" s="40"/>
      <c r="F507" s="1481">
        <f t="shared" si="46"/>
        <v>0</v>
      </c>
      <c r="G507" s="1489"/>
      <c r="H507" s="1489"/>
      <c r="I507" s="1513"/>
      <c r="J507" s="1489"/>
      <c r="K507" s="1481">
        <f>F507-J507</f>
        <v>0</v>
      </c>
      <c r="L507" s="1484"/>
    </row>
    <row r="508" spans="1:12" ht="30" customHeight="1" x14ac:dyDescent="0.2">
      <c r="A508" s="1519">
        <v>330</v>
      </c>
      <c r="B508" s="1517" t="s">
        <v>1170</v>
      </c>
      <c r="C508" s="1488" t="s">
        <v>1138</v>
      </c>
      <c r="D508" s="1469">
        <v>30000000</v>
      </c>
      <c r="E508" s="1466">
        <f>F508/D508</f>
        <v>0.05</v>
      </c>
      <c r="F508" s="1469">
        <v>1500000</v>
      </c>
      <c r="G508" s="1469">
        <v>1500000</v>
      </c>
      <c r="H508" s="1469" t="s">
        <v>3893</v>
      </c>
      <c r="I508" s="21" t="s">
        <v>3902</v>
      </c>
      <c r="J508" s="1469">
        <f>G508</f>
        <v>1500000</v>
      </c>
      <c r="K508" s="1469">
        <f>F508-J508</f>
        <v>0</v>
      </c>
      <c r="L508" s="1517"/>
    </row>
    <row r="509" spans="1:12" ht="30" customHeight="1" x14ac:dyDescent="0.2">
      <c r="A509" s="383">
        <v>331</v>
      </c>
      <c r="B509" s="1517" t="s">
        <v>339</v>
      </c>
      <c r="C509" s="1518" t="s">
        <v>371</v>
      </c>
      <c r="D509" s="1489">
        <v>290000000</v>
      </c>
      <c r="E509" s="1516">
        <v>0.06</v>
      </c>
      <c r="F509" s="1489">
        <f t="shared" ref="F509" si="47">D509*E509</f>
        <v>17400000</v>
      </c>
      <c r="G509" s="1648">
        <v>17400000</v>
      </c>
      <c r="H509" s="1648" t="s">
        <v>3558</v>
      </c>
      <c r="I509" s="1648" t="s">
        <v>2814</v>
      </c>
      <c r="J509" s="1648">
        <f>G509</f>
        <v>17400000</v>
      </c>
      <c r="K509" s="1489">
        <f>F509-J509</f>
        <v>0</v>
      </c>
      <c r="L509" s="97" t="s">
        <v>2812</v>
      </c>
    </row>
    <row r="510" spans="1:12" ht="30" customHeight="1" x14ac:dyDescent="0.2">
      <c r="A510" s="1519">
        <v>332</v>
      </c>
      <c r="B510" s="1461" t="s">
        <v>370</v>
      </c>
      <c r="C510" s="1488" t="s">
        <v>371</v>
      </c>
      <c r="D510" s="1469">
        <v>30000000</v>
      </c>
      <c r="E510" s="1466">
        <v>0.05</v>
      </c>
      <c r="F510" s="1469">
        <f t="shared" ref="F510:F514" si="48">D510*E510</f>
        <v>1500000</v>
      </c>
      <c r="G510" s="1469">
        <v>1500000</v>
      </c>
      <c r="H510" s="1469" t="s">
        <v>3558</v>
      </c>
      <c r="I510" s="21" t="s">
        <v>3575</v>
      </c>
      <c r="J510" s="1468">
        <f>G510</f>
        <v>1500000</v>
      </c>
      <c r="K510" s="1468">
        <f>F510-J510</f>
        <v>0</v>
      </c>
      <c r="L510" s="1517"/>
    </row>
    <row r="511" spans="1:12" ht="30" customHeight="1" x14ac:dyDescent="0.2">
      <c r="A511" s="4459">
        <v>333</v>
      </c>
      <c r="B511" s="4457" t="s">
        <v>888</v>
      </c>
      <c r="C511" s="1488" t="s">
        <v>889</v>
      </c>
      <c r="D511" s="1469">
        <v>320000000</v>
      </c>
      <c r="E511" s="1516">
        <v>0.05</v>
      </c>
      <c r="F511" s="1469">
        <f t="shared" si="48"/>
        <v>16000000</v>
      </c>
      <c r="G511" s="4413">
        <v>21000000</v>
      </c>
      <c r="H511" s="4413" t="s">
        <v>3499</v>
      </c>
      <c r="I511" s="4478" t="s">
        <v>3503</v>
      </c>
      <c r="J511" s="4322">
        <f>G511</f>
        <v>21000000</v>
      </c>
      <c r="K511" s="4322">
        <f>(F511+F512)-J511</f>
        <v>0</v>
      </c>
      <c r="L511" s="4643" t="s">
        <v>3504</v>
      </c>
    </row>
    <row r="512" spans="1:12" ht="30" customHeight="1" x14ac:dyDescent="0.2">
      <c r="A512" s="4460"/>
      <c r="B512" s="4458"/>
      <c r="C512" s="1488" t="s">
        <v>890</v>
      </c>
      <c r="D512" s="1469">
        <v>100000000</v>
      </c>
      <c r="E512" s="1516">
        <v>0.05</v>
      </c>
      <c r="F512" s="1469">
        <f t="shared" si="48"/>
        <v>5000000</v>
      </c>
      <c r="G512" s="4415"/>
      <c r="H512" s="4415"/>
      <c r="I512" s="4479"/>
      <c r="J512" s="4322"/>
      <c r="K512" s="4322"/>
      <c r="L512" s="4644"/>
    </row>
    <row r="513" spans="1:12" ht="30" customHeight="1" x14ac:dyDescent="0.2">
      <c r="A513" s="4459">
        <v>335</v>
      </c>
      <c r="B513" s="4457" t="s">
        <v>1276</v>
      </c>
      <c r="C513" s="4537" t="s">
        <v>889</v>
      </c>
      <c r="D513" s="1469">
        <v>10000000</v>
      </c>
      <c r="E513" s="1516">
        <v>0.05</v>
      </c>
      <c r="F513" s="1469">
        <f t="shared" si="48"/>
        <v>500000</v>
      </c>
      <c r="G513" s="1469">
        <v>500000</v>
      </c>
      <c r="H513" s="1469" t="s">
        <v>3362</v>
      </c>
      <c r="I513" s="21" t="s">
        <v>3410</v>
      </c>
      <c r="J513" s="1469">
        <f>G513</f>
        <v>500000</v>
      </c>
      <c r="K513" s="1469">
        <f>F513-J513</f>
        <v>0</v>
      </c>
      <c r="L513" s="1517"/>
    </row>
    <row r="514" spans="1:12" ht="30" customHeight="1" x14ac:dyDescent="0.2">
      <c r="A514" s="4460"/>
      <c r="B514" s="4458"/>
      <c r="C514" s="4538"/>
      <c r="D514" s="1469">
        <v>15000000</v>
      </c>
      <c r="E514" s="1516">
        <v>0.05</v>
      </c>
      <c r="F514" s="1469">
        <f t="shared" si="48"/>
        <v>750000</v>
      </c>
      <c r="G514" s="4632" t="s">
        <v>3388</v>
      </c>
      <c r="H514" s="4633"/>
      <c r="I514" s="4633"/>
      <c r="J514" s="4634"/>
      <c r="K514" s="1469"/>
      <c r="L514" s="1517"/>
    </row>
    <row r="515" spans="1:12" ht="30" customHeight="1" x14ac:dyDescent="0.2">
      <c r="A515" s="1519">
        <v>336</v>
      </c>
      <c r="B515" s="1461" t="s">
        <v>2576</v>
      </c>
      <c r="C515" s="1488" t="s">
        <v>889</v>
      </c>
      <c r="D515" s="1469">
        <v>210000000</v>
      </c>
      <c r="E515" s="1516">
        <v>0.05</v>
      </c>
      <c r="F515" s="1469">
        <f>D515*E515</f>
        <v>10500000</v>
      </c>
      <c r="G515" s="1469">
        <v>10500000</v>
      </c>
      <c r="H515" s="1469" t="s">
        <v>3362</v>
      </c>
      <c r="I515" s="21" t="s">
        <v>3408</v>
      </c>
      <c r="J515" s="1469">
        <f>G515</f>
        <v>10500000</v>
      </c>
      <c r="K515" s="1469">
        <f>F515-J515</f>
        <v>0</v>
      </c>
      <c r="L515" s="1517"/>
    </row>
    <row r="516" spans="1:12" ht="30" customHeight="1" x14ac:dyDescent="0.2">
      <c r="A516" s="1519">
        <v>337</v>
      </c>
      <c r="B516" s="1461" t="s">
        <v>1304</v>
      </c>
      <c r="C516" s="1488" t="s">
        <v>889</v>
      </c>
      <c r="D516" s="1469">
        <v>80000000</v>
      </c>
      <c r="E516" s="1516">
        <v>7.0000000000000007E-2</v>
      </c>
      <c r="F516" s="1469">
        <f t="shared" ref="F516:F541" si="49">D516*E516</f>
        <v>5600000.0000000009</v>
      </c>
      <c r="G516" s="1469">
        <v>5600000</v>
      </c>
      <c r="H516" s="1469" t="s">
        <v>3440</v>
      </c>
      <c r="I516" s="21" t="s">
        <v>3449</v>
      </c>
      <c r="J516" s="1469">
        <f>G516</f>
        <v>5600000</v>
      </c>
      <c r="K516" s="1469">
        <f>G516-J516</f>
        <v>0</v>
      </c>
      <c r="L516" s="1517"/>
    </row>
    <row r="517" spans="1:12" ht="30" customHeight="1" x14ac:dyDescent="0.2">
      <c r="A517" s="4459">
        <v>338</v>
      </c>
      <c r="B517" s="4533" t="s">
        <v>1677</v>
      </c>
      <c r="C517" s="4525" t="s">
        <v>889</v>
      </c>
      <c r="D517" s="3260">
        <v>235500000</v>
      </c>
      <c r="E517" s="1516">
        <v>0.05</v>
      </c>
      <c r="F517" s="1469">
        <f t="shared" si="49"/>
        <v>11775000</v>
      </c>
      <c r="G517" s="4413">
        <v>40265000</v>
      </c>
      <c r="H517" s="4413" t="s">
        <v>3485</v>
      </c>
      <c r="I517" s="4413" t="s">
        <v>3524</v>
      </c>
      <c r="J517" s="4413">
        <f>G517</f>
        <v>40265000</v>
      </c>
      <c r="K517" s="4413">
        <f>F525-J517</f>
        <v>0</v>
      </c>
      <c r="L517" s="4652" t="s">
        <v>3337</v>
      </c>
    </row>
    <row r="518" spans="1:12" ht="30" customHeight="1" x14ac:dyDescent="0.2">
      <c r="A518" s="4464"/>
      <c r="B518" s="4708"/>
      <c r="C518" s="4787"/>
      <c r="D518" s="3256">
        <v>300000000</v>
      </c>
      <c r="E518" s="3258">
        <v>7.0000000000000007E-2</v>
      </c>
      <c r="F518" s="3256">
        <f t="shared" si="49"/>
        <v>21000000.000000004</v>
      </c>
      <c r="G518" s="4414"/>
      <c r="H518" s="4414"/>
      <c r="I518" s="4414"/>
      <c r="J518" s="4414"/>
      <c r="K518" s="4414"/>
      <c r="L518" s="4685"/>
    </row>
    <row r="519" spans="1:12" ht="30" customHeight="1" x14ac:dyDescent="0.2">
      <c r="A519" s="4464"/>
      <c r="B519" s="4708"/>
      <c r="C519" s="4787"/>
      <c r="D519" s="3256">
        <v>30000000</v>
      </c>
      <c r="E519" s="3258">
        <v>7.0000000000000007E-2</v>
      </c>
      <c r="F519" s="3256">
        <f t="shared" si="49"/>
        <v>2100000</v>
      </c>
      <c r="G519" s="4414"/>
      <c r="H519" s="4414"/>
      <c r="I519" s="4414"/>
      <c r="J519" s="4414"/>
      <c r="K519" s="4414"/>
      <c r="L519" s="4685"/>
    </row>
    <row r="520" spans="1:12" ht="30" customHeight="1" x14ac:dyDescent="0.2">
      <c r="A520" s="4464"/>
      <c r="B520" s="4708"/>
      <c r="C520" s="4787"/>
      <c r="D520" s="3257">
        <v>20000000</v>
      </c>
      <c r="E520" s="3259">
        <v>7.0000000000000007E-2</v>
      </c>
      <c r="F520" s="3257">
        <f>D520*E520</f>
        <v>1400000.0000000002</v>
      </c>
      <c r="G520" s="4414"/>
      <c r="H520" s="4414"/>
      <c r="I520" s="4414"/>
      <c r="J520" s="4414"/>
      <c r="K520" s="4414"/>
      <c r="L520" s="4685"/>
    </row>
    <row r="521" spans="1:12" ht="30" customHeight="1" x14ac:dyDescent="0.2">
      <c r="A521" s="4464"/>
      <c r="B521" s="4708"/>
      <c r="C521" s="4787"/>
      <c r="D521" s="3257">
        <v>12000000</v>
      </c>
      <c r="E521" s="3259">
        <v>7.0000000000000007E-2</v>
      </c>
      <c r="F521" s="3257">
        <f>D521*E521</f>
        <v>840000.00000000012</v>
      </c>
      <c r="G521" s="4414"/>
      <c r="H521" s="4414"/>
      <c r="I521" s="4414"/>
      <c r="J521" s="4414"/>
      <c r="K521" s="4414"/>
      <c r="L521" s="4685"/>
    </row>
    <row r="522" spans="1:12" ht="30" customHeight="1" x14ac:dyDescent="0.2">
      <c r="A522" s="4464"/>
      <c r="B522" s="4708"/>
      <c r="C522" s="4787"/>
      <c r="D522" s="3257">
        <f>SUM(D518:D521)</f>
        <v>362000000</v>
      </c>
      <c r="E522" s="3259">
        <v>7.0000000000000007E-2</v>
      </c>
      <c r="F522" s="3257">
        <f>D522*E522</f>
        <v>25340000.000000004</v>
      </c>
      <c r="G522" s="4414"/>
      <c r="H522" s="4414"/>
      <c r="I522" s="4414"/>
      <c r="J522" s="4414"/>
      <c r="K522" s="4414"/>
      <c r="L522" s="4685"/>
    </row>
    <row r="523" spans="1:12" ht="30" customHeight="1" x14ac:dyDescent="0.2">
      <c r="A523" s="4464"/>
      <c r="B523" s="4708"/>
      <c r="C523" s="4787"/>
      <c r="D523" s="4807">
        <f>D517+D522</f>
        <v>597500000</v>
      </c>
      <c r="E523" s="4808"/>
      <c r="F523" s="3257">
        <f>F517+F522</f>
        <v>37115000</v>
      </c>
      <c r="G523" s="4414"/>
      <c r="H523" s="4414"/>
      <c r="I523" s="4414"/>
      <c r="J523" s="4414"/>
      <c r="K523" s="4414"/>
      <c r="L523" s="4685"/>
    </row>
    <row r="524" spans="1:12" ht="30" customHeight="1" x14ac:dyDescent="0.2">
      <c r="A524" s="4464"/>
      <c r="B524" s="4708"/>
      <c r="C524" s="4787"/>
      <c r="D524" s="3244">
        <v>45000000</v>
      </c>
      <c r="E524" s="3233">
        <v>7.0000000000000007E-2</v>
      </c>
      <c r="F524" s="3244">
        <f>D524*E524</f>
        <v>3150000.0000000005</v>
      </c>
      <c r="G524" s="4415"/>
      <c r="H524" s="4415"/>
      <c r="I524" s="4415"/>
      <c r="J524" s="4415"/>
      <c r="K524" s="4415"/>
      <c r="L524" s="4685"/>
    </row>
    <row r="525" spans="1:12" ht="30" customHeight="1" x14ac:dyDescent="0.2">
      <c r="A525" s="4460"/>
      <c r="B525" s="4534"/>
      <c r="C525" s="4526"/>
      <c r="D525" s="4635">
        <f>D523+D524</f>
        <v>642500000</v>
      </c>
      <c r="E525" s="4637"/>
      <c r="F525" s="3244">
        <f>F523+F524</f>
        <v>40265000</v>
      </c>
      <c r="G525" s="4635" t="s">
        <v>3315</v>
      </c>
      <c r="H525" s="4636"/>
      <c r="I525" s="4636"/>
      <c r="J525" s="4636"/>
      <c r="K525" s="4637"/>
      <c r="L525" s="4653"/>
    </row>
    <row r="526" spans="1:12" ht="30" customHeight="1" x14ac:dyDescent="0.2">
      <c r="A526" s="4459"/>
      <c r="B526" s="4599" t="s">
        <v>1677</v>
      </c>
      <c r="C526" s="4537" t="s">
        <v>889</v>
      </c>
      <c r="D526" s="3260">
        <v>235500000</v>
      </c>
      <c r="E526" s="1831">
        <v>0.05</v>
      </c>
      <c r="F526" s="1826">
        <f t="shared" ref="F526:F528" si="50">D526*E526</f>
        <v>11775000</v>
      </c>
      <c r="G526" s="1818"/>
      <c r="H526" s="1819"/>
      <c r="I526" s="1819"/>
      <c r="J526" s="1819"/>
      <c r="K526" s="1605"/>
      <c r="L526" s="1832"/>
    </row>
    <row r="527" spans="1:12" ht="30" customHeight="1" x14ac:dyDescent="0.2">
      <c r="A527" s="4464"/>
      <c r="B527" s="4600"/>
      <c r="C527" s="4540"/>
      <c r="D527" s="3256">
        <v>300000000</v>
      </c>
      <c r="E527" s="3258">
        <v>7.0000000000000007E-2</v>
      </c>
      <c r="F527" s="3256">
        <f t="shared" si="50"/>
        <v>21000000.000000004</v>
      </c>
      <c r="G527" s="1818"/>
      <c r="H527" s="1819"/>
      <c r="I527" s="1819"/>
      <c r="J527" s="1819"/>
      <c r="K527" s="1605"/>
      <c r="L527" s="1832"/>
    </row>
    <row r="528" spans="1:12" ht="30" customHeight="1" x14ac:dyDescent="0.2">
      <c r="A528" s="4464"/>
      <c r="B528" s="4600"/>
      <c r="C528" s="4540"/>
      <c r="D528" s="3256">
        <v>30000000</v>
      </c>
      <c r="E528" s="3258">
        <v>7.0000000000000007E-2</v>
      </c>
      <c r="F528" s="3256">
        <f t="shared" si="50"/>
        <v>2100000</v>
      </c>
      <c r="G528" s="1818"/>
      <c r="H528" s="1819"/>
      <c r="I528" s="1819"/>
      <c r="J528" s="1819"/>
      <c r="K528" s="1605"/>
      <c r="L528" s="1832"/>
    </row>
    <row r="529" spans="1:17" ht="30" customHeight="1" x14ac:dyDescent="0.2">
      <c r="A529" s="4464"/>
      <c r="B529" s="4600"/>
      <c r="C529" s="4540"/>
      <c r="D529" s="3257">
        <v>20000000</v>
      </c>
      <c r="E529" s="3259">
        <v>7.0000000000000007E-2</v>
      </c>
      <c r="F529" s="3257">
        <f>D529*E529</f>
        <v>1400000.0000000002</v>
      </c>
      <c r="G529" s="1818"/>
      <c r="H529" s="1819"/>
      <c r="I529" s="1819"/>
      <c r="J529" s="1819"/>
      <c r="K529" s="1605"/>
      <c r="L529" s="1832"/>
    </row>
    <row r="530" spans="1:17" ht="30" customHeight="1" x14ac:dyDescent="0.2">
      <c r="A530" s="4464"/>
      <c r="B530" s="4600"/>
      <c r="C530" s="4540"/>
      <c r="D530" s="3257">
        <v>12000000</v>
      </c>
      <c r="E530" s="3259">
        <v>7.0000000000000007E-2</v>
      </c>
      <c r="F530" s="3257">
        <f>D530*E530</f>
        <v>840000.00000000012</v>
      </c>
      <c r="G530" s="1818"/>
      <c r="H530" s="1819"/>
      <c r="I530" s="1819"/>
      <c r="J530" s="1819"/>
      <c r="K530" s="1605"/>
      <c r="L530" s="1832"/>
    </row>
    <row r="531" spans="1:17" ht="30" customHeight="1" x14ac:dyDescent="0.2">
      <c r="A531" s="4464"/>
      <c r="B531" s="4600"/>
      <c r="C531" s="4540"/>
      <c r="D531" s="3257">
        <f>SUM(D527:D530)</f>
        <v>362000000</v>
      </c>
      <c r="E531" s="3259">
        <v>7.0000000000000007E-2</v>
      </c>
      <c r="F531" s="3257">
        <f>D531*E531</f>
        <v>25340000.000000004</v>
      </c>
      <c r="G531" s="1818"/>
      <c r="H531" s="1819"/>
      <c r="I531" s="1819"/>
      <c r="J531" s="1819"/>
      <c r="K531" s="1605"/>
      <c r="L531" s="1832"/>
    </row>
    <row r="532" spans="1:17" ht="30" customHeight="1" x14ac:dyDescent="0.2">
      <c r="A532" s="4464"/>
      <c r="B532" s="4600"/>
      <c r="C532" s="4540"/>
      <c r="D532" s="4807">
        <f>D526+D531</f>
        <v>597500000</v>
      </c>
      <c r="E532" s="4808"/>
      <c r="F532" s="3257">
        <f>F526+F531</f>
        <v>37115000</v>
      </c>
      <c r="G532" s="1818"/>
      <c r="H532" s="1819"/>
      <c r="I532" s="1819"/>
      <c r="J532" s="1819"/>
      <c r="K532" s="1605"/>
      <c r="L532" s="1832"/>
    </row>
    <row r="533" spans="1:17" ht="30" customHeight="1" x14ac:dyDescent="0.2">
      <c r="A533" s="4464"/>
      <c r="B533" s="4600"/>
      <c r="C533" s="4540"/>
      <c r="D533" s="3244">
        <v>45000000</v>
      </c>
      <c r="E533" s="3233">
        <v>7.0000000000000007E-2</v>
      </c>
      <c r="F533" s="3244">
        <f>D533*E533</f>
        <v>3150000.0000000005</v>
      </c>
      <c r="G533" s="3218"/>
      <c r="H533" s="3220"/>
      <c r="I533" s="3220"/>
      <c r="J533" s="3220"/>
      <c r="K533" s="1605"/>
      <c r="L533" s="1832"/>
    </row>
    <row r="534" spans="1:17" ht="30" customHeight="1" x14ac:dyDescent="0.2">
      <c r="A534" s="4464"/>
      <c r="B534" s="4600"/>
      <c r="C534" s="4540"/>
      <c r="D534" s="3244">
        <v>100000000</v>
      </c>
      <c r="E534" s="3233">
        <v>7.0000000000000007E-2</v>
      </c>
      <c r="F534" s="3244">
        <f>D534*E534</f>
        <v>7000000.0000000009</v>
      </c>
      <c r="G534" s="4469" t="s">
        <v>3791</v>
      </c>
      <c r="H534" s="4470"/>
      <c r="I534" s="4470"/>
      <c r="J534" s="4470"/>
      <c r="K534" s="4471"/>
      <c r="L534" s="1832"/>
    </row>
    <row r="535" spans="1:17" ht="30" customHeight="1" x14ac:dyDescent="0.2">
      <c r="A535" s="4464"/>
      <c r="B535" s="4600"/>
      <c r="C535" s="4540"/>
      <c r="D535" s="3244">
        <v>80000000</v>
      </c>
      <c r="E535" s="3233">
        <v>7.0000000000000007E-2</v>
      </c>
      <c r="F535" s="3244">
        <f t="shared" ref="F535:F536" si="51">D535*E535</f>
        <v>5600000.0000000009</v>
      </c>
      <c r="G535" s="4469" t="s">
        <v>3792</v>
      </c>
      <c r="H535" s="4470"/>
      <c r="I535" s="4470"/>
      <c r="J535" s="4470"/>
      <c r="K535" s="4471"/>
      <c r="L535" s="1832"/>
    </row>
    <row r="536" spans="1:17" ht="30" customHeight="1" x14ac:dyDescent="0.2">
      <c r="A536" s="4464"/>
      <c r="B536" s="4600"/>
      <c r="C536" s="4540"/>
      <c r="D536" s="3244">
        <v>55000000</v>
      </c>
      <c r="E536" s="3233">
        <v>7.0000000000000007E-2</v>
      </c>
      <c r="F536" s="3244">
        <f t="shared" si="51"/>
        <v>3850000.0000000005</v>
      </c>
      <c r="G536" s="4469" t="s">
        <v>3793</v>
      </c>
      <c r="H536" s="4470"/>
      <c r="I536" s="4470"/>
      <c r="J536" s="4470"/>
      <c r="K536" s="4471"/>
      <c r="L536" s="1832"/>
    </row>
    <row r="537" spans="1:17" ht="30" customHeight="1" x14ac:dyDescent="0.2">
      <c r="A537" s="4464"/>
      <c r="B537" s="4600"/>
      <c r="C537" s="4540"/>
      <c r="D537" s="4635">
        <f>D532+D533+D534+D535+D536</f>
        <v>877500000</v>
      </c>
      <c r="E537" s="4637"/>
      <c r="F537" s="3244">
        <f>F532+F533+F534+F535+F536</f>
        <v>56715000</v>
      </c>
      <c r="G537" s="4623" t="s">
        <v>3673</v>
      </c>
      <c r="H537" s="4624"/>
      <c r="I537" s="4624"/>
      <c r="J537" s="4624"/>
      <c r="K537" s="4625"/>
      <c r="L537" s="1832"/>
    </row>
    <row r="538" spans="1:17" ht="30" customHeight="1" x14ac:dyDescent="0.2">
      <c r="A538" s="4464"/>
      <c r="B538" s="4600"/>
      <c r="C538" s="4540"/>
      <c r="D538" s="1857">
        <v>150000000</v>
      </c>
      <c r="E538" s="1922">
        <v>7.0000000000000007E-2</v>
      </c>
      <c r="F538" s="1857">
        <f>D538*E538</f>
        <v>10500000.000000002</v>
      </c>
      <c r="G538" s="4469" t="s">
        <v>3881</v>
      </c>
      <c r="H538" s="4470"/>
      <c r="I538" s="4470"/>
      <c r="J538" s="4470"/>
      <c r="K538" s="4471"/>
      <c r="L538" s="1912"/>
    </row>
    <row r="539" spans="1:17" ht="30" customHeight="1" x14ac:dyDescent="0.2">
      <c r="A539" s="4464"/>
      <c r="B539" s="4600"/>
      <c r="C539" s="4540"/>
      <c r="D539" s="4822">
        <f>D537+D538</f>
        <v>1027500000</v>
      </c>
      <c r="E539" s="4823"/>
      <c r="F539" s="1857">
        <f>F537+F538</f>
        <v>67215000</v>
      </c>
      <c r="G539" s="4804" t="s">
        <v>3882</v>
      </c>
      <c r="H539" s="4805"/>
      <c r="I539" s="4805"/>
      <c r="J539" s="4805"/>
      <c r="K539" s="4806"/>
      <c r="L539" s="1912"/>
    </row>
    <row r="540" spans="1:17" ht="30" customHeight="1" x14ac:dyDescent="0.2">
      <c r="A540" s="4460"/>
      <c r="B540" s="4607"/>
      <c r="C540" s="4538"/>
      <c r="D540" s="3227"/>
      <c r="E540" s="3223"/>
      <c r="F540" s="3227"/>
      <c r="G540" s="1907"/>
      <c r="H540" s="1908"/>
      <c r="I540" s="1908"/>
      <c r="J540" s="1908"/>
      <c r="K540" s="1909"/>
      <c r="L540" s="1912"/>
    </row>
    <row r="541" spans="1:17" ht="30" customHeight="1" x14ac:dyDescent="0.2">
      <c r="A541" s="1024">
        <v>339</v>
      </c>
      <c r="B541" s="1515" t="s">
        <v>170</v>
      </c>
      <c r="C541" s="1488" t="s">
        <v>1306</v>
      </c>
      <c r="D541" s="1489">
        <v>200000000</v>
      </c>
      <c r="E541" s="1516">
        <v>7.0000000000000007E-2</v>
      </c>
      <c r="F541" s="1489">
        <f t="shared" si="49"/>
        <v>14000000.000000002</v>
      </c>
      <c r="G541" s="233"/>
      <c r="H541" s="233"/>
      <c r="I541" s="1389"/>
      <c r="J541" s="233"/>
      <c r="K541" s="387"/>
      <c r="L541" s="385"/>
      <c r="M541" s="386"/>
      <c r="N541" s="386"/>
      <c r="O541" s="386"/>
      <c r="P541" s="386"/>
      <c r="Q541" s="386"/>
    </row>
    <row r="542" spans="1:17" ht="30" customHeight="1" x14ac:dyDescent="0.2">
      <c r="A542" s="4459">
        <v>340</v>
      </c>
      <c r="B542" s="4599" t="s">
        <v>67</v>
      </c>
      <c r="C542" s="4537" t="s">
        <v>1138</v>
      </c>
      <c r="D542" s="1469">
        <v>60000000</v>
      </c>
      <c r="E542" s="1516">
        <v>0.05</v>
      </c>
      <c r="F542" s="1469">
        <f>D542*E542</f>
        <v>3000000</v>
      </c>
      <c r="G542" s="4303" t="s">
        <v>2404</v>
      </c>
      <c r="H542" s="4324"/>
      <c r="I542" s="4355"/>
      <c r="J542" s="1489" t="str">
        <f t="shared" ref="J542:J551" si="52">G542</f>
        <v>به اصل مبلغ اضافه شد.</v>
      </c>
      <c r="K542" s="1457" t="e">
        <f>F542-J542</f>
        <v>#VALUE!</v>
      </c>
      <c r="L542" s="1502" t="s">
        <v>3272</v>
      </c>
      <c r="M542" s="386"/>
      <c r="N542" s="386"/>
      <c r="O542" s="386"/>
      <c r="P542" s="386"/>
      <c r="Q542" s="386"/>
    </row>
    <row r="543" spans="1:17" ht="30" customHeight="1" x14ac:dyDescent="0.2">
      <c r="A543" s="4460"/>
      <c r="B543" s="4607"/>
      <c r="C543" s="4538"/>
      <c r="D543" s="2038">
        <v>25000000</v>
      </c>
      <c r="E543" s="2041">
        <v>0.05</v>
      </c>
      <c r="F543" s="2038">
        <f>D543*E543</f>
        <v>1250000</v>
      </c>
      <c r="G543" s="4469" t="s">
        <v>4250</v>
      </c>
      <c r="H543" s="4470"/>
      <c r="I543" s="4470"/>
      <c r="J543" s="4471"/>
      <c r="K543" s="2040"/>
      <c r="L543" s="2024" t="s">
        <v>4251</v>
      </c>
      <c r="M543" s="386"/>
      <c r="N543" s="386"/>
      <c r="O543" s="386"/>
      <c r="P543" s="386"/>
      <c r="Q543" s="386"/>
    </row>
    <row r="544" spans="1:17" ht="30" customHeight="1" x14ac:dyDescent="0.2">
      <c r="A544" s="1464">
        <v>341</v>
      </c>
      <c r="B544" s="1461" t="s">
        <v>1357</v>
      </c>
      <c r="C544" s="1488"/>
      <c r="D544" s="1469">
        <v>75000000</v>
      </c>
      <c r="E544" s="1516">
        <v>4.4999999999999998E-2</v>
      </c>
      <c r="F544" s="1469">
        <v>3500000</v>
      </c>
      <c r="G544" s="1469">
        <v>3500000</v>
      </c>
      <c r="H544" s="1469" t="s">
        <v>3362</v>
      </c>
      <c r="I544" s="1482" t="s">
        <v>3407</v>
      </c>
      <c r="J544" s="1469">
        <f t="shared" si="52"/>
        <v>3500000</v>
      </c>
      <c r="K544" s="1505">
        <f>G544-J544</f>
        <v>0</v>
      </c>
      <c r="L544" s="385"/>
      <c r="M544" s="386"/>
      <c r="N544" s="386"/>
      <c r="O544" s="386"/>
      <c r="P544" s="386"/>
      <c r="Q544" s="386"/>
    </row>
    <row r="545" spans="1:17" ht="30" customHeight="1" x14ac:dyDescent="0.2">
      <c r="A545" s="1464">
        <v>342</v>
      </c>
      <c r="B545" s="1461" t="s">
        <v>71</v>
      </c>
      <c r="C545" s="1488" t="s">
        <v>2363</v>
      </c>
      <c r="D545" s="1469">
        <v>110000000</v>
      </c>
      <c r="E545" s="1516">
        <v>0.05</v>
      </c>
      <c r="F545" s="1469">
        <f>D545*E545</f>
        <v>5500000</v>
      </c>
      <c r="G545" s="1469">
        <v>5500000</v>
      </c>
      <c r="H545" s="1469" t="s">
        <v>3362</v>
      </c>
      <c r="I545" s="1482" t="s">
        <v>3413</v>
      </c>
      <c r="J545" s="1469">
        <f t="shared" si="52"/>
        <v>5500000</v>
      </c>
      <c r="K545" s="1505">
        <f>F545-J545</f>
        <v>0</v>
      </c>
      <c r="L545" s="385" t="s">
        <v>3414</v>
      </c>
      <c r="M545" s="386"/>
      <c r="N545" s="386"/>
      <c r="O545" s="386"/>
      <c r="P545" s="386"/>
      <c r="Q545" s="386"/>
    </row>
    <row r="546" spans="1:17" ht="30" customHeight="1" x14ac:dyDescent="0.2">
      <c r="A546" s="1029">
        <v>343</v>
      </c>
      <c r="B546" s="19" t="s">
        <v>1365</v>
      </c>
      <c r="C546" s="1518" t="s">
        <v>1796</v>
      </c>
      <c r="D546" s="1489">
        <v>8000000</v>
      </c>
      <c r="E546" s="1516">
        <v>0.04</v>
      </c>
      <c r="F546" s="1489">
        <f>D546*E546</f>
        <v>320000</v>
      </c>
      <c r="G546" s="1489">
        <v>320000</v>
      </c>
      <c r="H546" s="1489" t="s">
        <v>3507</v>
      </c>
      <c r="I546" s="1489" t="s">
        <v>1366</v>
      </c>
      <c r="J546" s="1489">
        <f t="shared" si="52"/>
        <v>320000</v>
      </c>
      <c r="K546" s="1457">
        <f>F546-J546</f>
        <v>0</v>
      </c>
      <c r="L546" s="1504"/>
      <c r="M546" s="386"/>
      <c r="N546" s="386"/>
      <c r="O546" s="386"/>
      <c r="P546" s="386"/>
      <c r="Q546" s="386"/>
    </row>
    <row r="547" spans="1:17" ht="30" customHeight="1" x14ac:dyDescent="0.2">
      <c r="A547" s="1464">
        <v>344</v>
      </c>
      <c r="B547" s="1461" t="s">
        <v>1373</v>
      </c>
      <c r="C547" s="1488"/>
      <c r="D547" s="1478"/>
      <c r="E547" s="1480"/>
      <c r="F547" s="1478"/>
      <c r="G547" s="1469">
        <v>6500000</v>
      </c>
      <c r="H547" s="1469" t="s">
        <v>3427</v>
      </c>
      <c r="I547" s="1482" t="s">
        <v>3429</v>
      </c>
      <c r="J547" s="1469">
        <f t="shared" si="52"/>
        <v>6500000</v>
      </c>
      <c r="K547" s="1510">
        <f>F547-J547</f>
        <v>-6500000</v>
      </c>
      <c r="L547" s="385"/>
      <c r="M547" s="386"/>
      <c r="N547" s="386"/>
      <c r="O547" s="386"/>
      <c r="P547" s="386"/>
      <c r="Q547" s="386"/>
    </row>
    <row r="548" spans="1:17" ht="30" customHeight="1" x14ac:dyDescent="0.2">
      <c r="A548" s="1464">
        <v>345</v>
      </c>
      <c r="B548" s="1461" t="s">
        <v>2080</v>
      </c>
      <c r="C548" s="1488" t="s">
        <v>1299</v>
      </c>
      <c r="D548" s="1469">
        <v>60000000</v>
      </c>
      <c r="E548" s="1516">
        <v>7.0000000000000007E-2</v>
      </c>
      <c r="F548" s="1469">
        <f>D548*E548</f>
        <v>4200000</v>
      </c>
      <c r="G548" s="1469">
        <v>4200000</v>
      </c>
      <c r="H548" s="1469" t="s">
        <v>3692</v>
      </c>
      <c r="I548" s="1482" t="s">
        <v>2081</v>
      </c>
      <c r="J548" s="1469">
        <f t="shared" si="52"/>
        <v>4200000</v>
      </c>
      <c r="K548" s="1505">
        <f>G548-J548</f>
        <v>0</v>
      </c>
      <c r="L548" s="385"/>
      <c r="M548" s="386"/>
      <c r="N548" s="386"/>
      <c r="O548" s="386"/>
      <c r="P548" s="386"/>
      <c r="Q548" s="386"/>
    </row>
    <row r="549" spans="1:17" ht="30" customHeight="1" x14ac:dyDescent="0.2">
      <c r="A549" s="1464">
        <v>346</v>
      </c>
      <c r="B549" s="1461" t="s">
        <v>1380</v>
      </c>
      <c r="C549" s="1488"/>
      <c r="D549" s="1478"/>
      <c r="E549" s="40"/>
      <c r="F549" s="1478"/>
      <c r="G549" s="1469"/>
      <c r="H549" s="1469"/>
      <c r="I549" s="1482"/>
      <c r="J549" s="1469">
        <f t="shared" si="52"/>
        <v>0</v>
      </c>
      <c r="K549" s="1510">
        <f t="shared" ref="K549:K557" si="53">F549-J549</f>
        <v>0</v>
      </c>
      <c r="L549" s="385"/>
      <c r="M549" s="386"/>
      <c r="N549" s="386"/>
      <c r="O549" s="386"/>
      <c r="P549" s="386"/>
      <c r="Q549" s="386"/>
    </row>
    <row r="550" spans="1:17" ht="30" customHeight="1" x14ac:dyDescent="0.2">
      <c r="A550" s="1464">
        <v>347</v>
      </c>
      <c r="B550" s="1461" t="s">
        <v>178</v>
      </c>
      <c r="C550" s="1488" t="s">
        <v>1796</v>
      </c>
      <c r="D550" s="1469">
        <v>130000000</v>
      </c>
      <c r="E550" s="1516">
        <v>0.05</v>
      </c>
      <c r="F550" s="1469">
        <f>D550*E550</f>
        <v>6500000</v>
      </c>
      <c r="G550" s="1469">
        <v>6500000</v>
      </c>
      <c r="H550" s="1469" t="s">
        <v>3943</v>
      </c>
      <c r="I550" s="1482" t="s">
        <v>3952</v>
      </c>
      <c r="J550" s="1469">
        <f t="shared" si="52"/>
        <v>6500000</v>
      </c>
      <c r="K550" s="1505">
        <f t="shared" si="53"/>
        <v>0</v>
      </c>
      <c r="L550" s="385"/>
      <c r="M550" s="386"/>
      <c r="N550" s="386"/>
      <c r="O550" s="386"/>
      <c r="P550" s="386"/>
      <c r="Q550" s="386"/>
    </row>
    <row r="551" spans="1:17" ht="30" customHeight="1" x14ac:dyDescent="0.2">
      <c r="A551" s="1519">
        <v>348</v>
      </c>
      <c r="B551" s="19" t="s">
        <v>1408</v>
      </c>
      <c r="C551" s="1518" t="s">
        <v>1306</v>
      </c>
      <c r="D551" s="1489">
        <v>50000000</v>
      </c>
      <c r="E551" s="1516">
        <v>0.04</v>
      </c>
      <c r="F551" s="1489">
        <f>D551*E551</f>
        <v>2000000</v>
      </c>
      <c r="G551" s="1489">
        <v>2000000</v>
      </c>
      <c r="H551" s="1489" t="s">
        <v>3893</v>
      </c>
      <c r="I551" s="1482" t="s">
        <v>3906</v>
      </c>
      <c r="J551" s="1469">
        <f t="shared" si="52"/>
        <v>2000000</v>
      </c>
      <c r="K551" s="1505">
        <f t="shared" si="53"/>
        <v>0</v>
      </c>
      <c r="L551" s="385"/>
      <c r="M551" s="386"/>
      <c r="N551" s="386"/>
      <c r="O551" s="386"/>
      <c r="P551" s="386"/>
      <c r="Q551" s="386"/>
    </row>
    <row r="552" spans="1:17" ht="30" customHeight="1" x14ac:dyDescent="0.2">
      <c r="A552" s="1464">
        <v>349</v>
      </c>
      <c r="B552" s="1461" t="s">
        <v>1526</v>
      </c>
      <c r="C552" s="1488"/>
      <c r="D552" s="1469">
        <v>80000000</v>
      </c>
      <c r="E552" s="1466">
        <v>0.04</v>
      </c>
      <c r="F552" s="1469">
        <f>D552*E552</f>
        <v>3200000</v>
      </c>
      <c r="G552" s="1469"/>
      <c r="H552" s="1469"/>
      <c r="I552" s="1482"/>
      <c r="J552" s="1469"/>
      <c r="K552" s="1505">
        <f t="shared" si="53"/>
        <v>3200000</v>
      </c>
      <c r="L552" s="385"/>
      <c r="M552" s="386"/>
      <c r="N552" s="386"/>
      <c r="O552" s="386"/>
      <c r="P552" s="386"/>
      <c r="Q552" s="386"/>
    </row>
    <row r="553" spans="1:17" ht="30" customHeight="1" x14ac:dyDescent="0.2">
      <c r="A553" s="1464">
        <v>350</v>
      </c>
      <c r="B553" s="1461" t="s">
        <v>1554</v>
      </c>
      <c r="C553" s="1488"/>
      <c r="D553" s="1469">
        <v>110000000</v>
      </c>
      <c r="E553" s="4783" t="s">
        <v>1556</v>
      </c>
      <c r="F553" s="4784"/>
      <c r="G553" s="1469">
        <v>4400000</v>
      </c>
      <c r="H553" s="1469" t="s">
        <v>3463</v>
      </c>
      <c r="I553" s="1482" t="s">
        <v>3469</v>
      </c>
      <c r="J553" s="1469">
        <f t="shared" ref="J553:J559" si="54">G553</f>
        <v>4400000</v>
      </c>
      <c r="K553" s="1510">
        <f t="shared" si="53"/>
        <v>-4400000</v>
      </c>
      <c r="L553" s="385"/>
      <c r="M553" s="386"/>
      <c r="N553" s="386"/>
      <c r="O553" s="386"/>
      <c r="P553" s="386"/>
      <c r="Q553" s="386"/>
    </row>
    <row r="554" spans="1:17" ht="30" customHeight="1" x14ac:dyDescent="0.2">
      <c r="A554" s="1519"/>
      <c r="B554" s="19" t="s">
        <v>1558</v>
      </c>
      <c r="C554" s="1518" t="s">
        <v>1172</v>
      </c>
      <c r="D554" s="1489">
        <v>680000000</v>
      </c>
      <c r="E554" s="1516">
        <v>7.0000000000000007E-2</v>
      </c>
      <c r="F554" s="1489">
        <f t="shared" ref="F554:F560" si="55">D554*E554</f>
        <v>47600000.000000007</v>
      </c>
      <c r="G554" s="1648">
        <v>47600000</v>
      </c>
      <c r="H554" s="1648" t="s">
        <v>3583</v>
      </c>
      <c r="I554" s="1648" t="s">
        <v>2460</v>
      </c>
      <c r="J554" s="1648">
        <f t="shared" si="54"/>
        <v>47600000</v>
      </c>
      <c r="K554" s="1651">
        <f t="shared" si="53"/>
        <v>0</v>
      </c>
      <c r="L554" s="899" t="s">
        <v>2732</v>
      </c>
      <c r="M554" s="386"/>
      <c r="N554" s="386"/>
      <c r="O554" s="386"/>
      <c r="P554" s="386"/>
      <c r="Q554" s="386"/>
    </row>
    <row r="555" spans="1:17" ht="30" customHeight="1" x14ac:dyDescent="0.2">
      <c r="A555" s="1464">
        <v>352</v>
      </c>
      <c r="B555" s="1461" t="s">
        <v>1561</v>
      </c>
      <c r="C555" s="1488"/>
      <c r="D555" s="1469">
        <v>50000000</v>
      </c>
      <c r="E555" s="1466">
        <v>7.0000000000000007E-2</v>
      </c>
      <c r="F555" s="1469">
        <f t="shared" si="55"/>
        <v>3500000.0000000005</v>
      </c>
      <c r="G555" s="1469">
        <v>3500000</v>
      </c>
      <c r="H555" s="1469" t="s">
        <v>3485</v>
      </c>
      <c r="I555" s="21" t="s">
        <v>3517</v>
      </c>
      <c r="J555" s="1469">
        <f t="shared" si="54"/>
        <v>3500000</v>
      </c>
      <c r="K555" s="1505">
        <f t="shared" si="53"/>
        <v>0</v>
      </c>
      <c r="L555" s="385"/>
      <c r="M555" s="386"/>
      <c r="N555" s="386"/>
      <c r="O555" s="386"/>
      <c r="P555" s="386"/>
      <c r="Q555" s="386"/>
    </row>
    <row r="556" spans="1:17" ht="30" customHeight="1" x14ac:dyDescent="0.2">
      <c r="A556" s="4614">
        <v>353</v>
      </c>
      <c r="B556" s="4615" t="s">
        <v>1565</v>
      </c>
      <c r="C556" s="1518" t="s">
        <v>1172</v>
      </c>
      <c r="D556" s="1469">
        <v>50000000</v>
      </c>
      <c r="E556" s="1516">
        <v>0.05</v>
      </c>
      <c r="F556" s="1469">
        <f t="shared" si="55"/>
        <v>2500000</v>
      </c>
      <c r="G556" s="1469">
        <v>2500000</v>
      </c>
      <c r="H556" s="1469" t="s">
        <v>3463</v>
      </c>
      <c r="I556" s="1482" t="s">
        <v>2847</v>
      </c>
      <c r="J556" s="1469">
        <f t="shared" si="54"/>
        <v>2500000</v>
      </c>
      <c r="K556" s="1505">
        <f t="shared" si="53"/>
        <v>0</v>
      </c>
      <c r="L556" s="385"/>
      <c r="M556" s="386"/>
      <c r="N556" s="386"/>
      <c r="O556" s="386"/>
      <c r="P556" s="386"/>
      <c r="Q556" s="386"/>
    </row>
    <row r="557" spans="1:17" ht="30" customHeight="1" x14ac:dyDescent="0.2">
      <c r="A557" s="4614"/>
      <c r="B557" s="4615"/>
      <c r="C557" s="1518" t="s">
        <v>1299</v>
      </c>
      <c r="D557" s="1469">
        <v>20000000</v>
      </c>
      <c r="E557" s="1516">
        <v>0.05</v>
      </c>
      <c r="F557" s="1469">
        <f t="shared" si="55"/>
        <v>1000000</v>
      </c>
      <c r="G557" s="1456">
        <v>1000000</v>
      </c>
      <c r="H557" s="1456" t="s">
        <v>2599</v>
      </c>
      <c r="I557" s="1456" t="s">
        <v>3718</v>
      </c>
      <c r="J557" s="1456">
        <f t="shared" si="54"/>
        <v>1000000</v>
      </c>
      <c r="K557" s="1505">
        <f t="shared" si="53"/>
        <v>0</v>
      </c>
      <c r="L557" s="385" t="s">
        <v>2909</v>
      </c>
      <c r="M557" s="386"/>
      <c r="N557" s="386"/>
      <c r="O557" s="386"/>
      <c r="P557" s="386"/>
      <c r="Q557" s="386"/>
    </row>
    <row r="558" spans="1:17" ht="30" customHeight="1" x14ac:dyDescent="0.2">
      <c r="A558" s="1464">
        <v>355</v>
      </c>
      <c r="B558" s="1461" t="s">
        <v>1582</v>
      </c>
      <c r="C558" s="1488" t="s">
        <v>2644</v>
      </c>
      <c r="D558" s="1469">
        <v>115000000</v>
      </c>
      <c r="E558" s="1516">
        <v>0.05</v>
      </c>
      <c r="F558" s="1469">
        <f t="shared" si="55"/>
        <v>5750000</v>
      </c>
      <c r="G558" s="1469">
        <v>5750000</v>
      </c>
      <c r="H558" s="1469" t="s">
        <v>3362</v>
      </c>
      <c r="I558" s="473" t="s">
        <v>3411</v>
      </c>
      <c r="J558" s="1469">
        <f t="shared" si="54"/>
        <v>5750000</v>
      </c>
      <c r="K558" s="1505">
        <f>F558-J558</f>
        <v>0</v>
      </c>
      <c r="L558" s="385"/>
      <c r="M558" s="386"/>
      <c r="N558" s="386"/>
      <c r="O558" s="386"/>
      <c r="P558" s="386"/>
      <c r="Q558" s="386"/>
    </row>
    <row r="559" spans="1:17" ht="30" customHeight="1" x14ac:dyDescent="0.2">
      <c r="A559" s="4459">
        <v>356</v>
      </c>
      <c r="B559" s="4457" t="s">
        <v>1590</v>
      </c>
      <c r="C559" s="4537"/>
      <c r="D559" s="1886">
        <v>60000000</v>
      </c>
      <c r="E559" s="1889">
        <v>0.04</v>
      </c>
      <c r="F559" s="1886">
        <f t="shared" si="55"/>
        <v>2400000</v>
      </c>
      <c r="G559" s="4413">
        <v>2800000</v>
      </c>
      <c r="H559" s="4413" t="s">
        <v>3463</v>
      </c>
      <c r="I559" s="4789" t="s">
        <v>3464</v>
      </c>
      <c r="J559" s="4413">
        <f t="shared" si="54"/>
        <v>2800000</v>
      </c>
      <c r="K559" s="4603">
        <f>(F559+F560)-J559</f>
        <v>0</v>
      </c>
      <c r="L559" s="4603"/>
      <c r="M559" s="386"/>
      <c r="N559" s="386"/>
      <c r="O559" s="386"/>
      <c r="P559" s="386"/>
      <c r="Q559" s="386"/>
    </row>
    <row r="560" spans="1:17" ht="30" customHeight="1" x14ac:dyDescent="0.2">
      <c r="A560" s="4460"/>
      <c r="B560" s="4458"/>
      <c r="C560" s="4538"/>
      <c r="D560" s="1886">
        <v>10000000</v>
      </c>
      <c r="E560" s="1889">
        <v>0.04</v>
      </c>
      <c r="F560" s="1886">
        <f t="shared" si="55"/>
        <v>400000</v>
      </c>
      <c r="G560" s="4415"/>
      <c r="H560" s="4415"/>
      <c r="I560" s="4790"/>
      <c r="J560" s="4415"/>
      <c r="K560" s="4604"/>
      <c r="L560" s="4604"/>
      <c r="M560" s="386"/>
      <c r="N560" s="386"/>
      <c r="O560" s="386"/>
      <c r="P560" s="386"/>
      <c r="Q560" s="386"/>
    </row>
    <row r="561" spans="1:17" ht="30" customHeight="1" x14ac:dyDescent="0.2">
      <c r="A561" s="1464">
        <v>357</v>
      </c>
      <c r="B561" s="1461" t="s">
        <v>1592</v>
      </c>
      <c r="C561" s="1488"/>
      <c r="D561" s="1469">
        <v>70000000</v>
      </c>
      <c r="E561" s="40"/>
      <c r="F561" s="1478"/>
      <c r="G561" s="1469"/>
      <c r="H561" s="1469"/>
      <c r="I561" s="473"/>
      <c r="J561" s="1469"/>
      <c r="K561" s="1510"/>
      <c r="L561" s="385" t="s">
        <v>1593</v>
      </c>
      <c r="M561" s="386"/>
      <c r="N561" s="386"/>
      <c r="O561" s="386"/>
      <c r="P561" s="386"/>
      <c r="Q561" s="386"/>
    </row>
    <row r="562" spans="1:17" ht="30" customHeight="1" x14ac:dyDescent="0.2">
      <c r="A562" s="4459">
        <v>358</v>
      </c>
      <c r="B562" s="4457" t="s">
        <v>1597</v>
      </c>
      <c r="C562" s="4537"/>
      <c r="D562" s="4506"/>
      <c r="E562" s="4512"/>
      <c r="F562" s="4506"/>
      <c r="G562" s="1469">
        <v>50000000</v>
      </c>
      <c r="H562" s="1469" t="s">
        <v>3558</v>
      </c>
      <c r="I562" s="473" t="s">
        <v>3582</v>
      </c>
      <c r="J562" s="4413">
        <f>G562+G563</f>
        <v>105000000</v>
      </c>
      <c r="K562" s="4605">
        <f>F562-J562</f>
        <v>-105000000</v>
      </c>
      <c r="L562" s="4603"/>
      <c r="M562" s="386"/>
      <c r="N562" s="386"/>
      <c r="O562" s="386"/>
      <c r="P562" s="386"/>
      <c r="Q562" s="386"/>
    </row>
    <row r="563" spans="1:17" ht="30" customHeight="1" x14ac:dyDescent="0.2">
      <c r="A563" s="4460"/>
      <c r="B563" s="4458"/>
      <c r="C563" s="4538"/>
      <c r="D563" s="4508"/>
      <c r="E563" s="4514"/>
      <c r="F563" s="4508"/>
      <c r="G563" s="1674">
        <v>55000000</v>
      </c>
      <c r="H563" s="1674" t="s">
        <v>3595</v>
      </c>
      <c r="I563" s="473" t="s">
        <v>2655</v>
      </c>
      <c r="J563" s="4415"/>
      <c r="K563" s="4606"/>
      <c r="L563" s="4604"/>
      <c r="M563" s="386"/>
      <c r="N563" s="386"/>
      <c r="O563" s="386"/>
      <c r="P563" s="386"/>
      <c r="Q563" s="386"/>
    </row>
    <row r="564" spans="1:17" ht="30" customHeight="1" x14ac:dyDescent="0.2">
      <c r="A564" s="4459">
        <v>359</v>
      </c>
      <c r="B564" s="4457" t="s">
        <v>1599</v>
      </c>
      <c r="C564" s="4537"/>
      <c r="D564" s="4506"/>
      <c r="E564" s="4512"/>
      <c r="F564" s="4506"/>
      <c r="G564" s="1469"/>
      <c r="H564" s="1469"/>
      <c r="I564" s="473"/>
      <c r="J564" s="4413">
        <f>G564+G565</f>
        <v>0</v>
      </c>
      <c r="K564" s="4605">
        <f>F564-J564</f>
        <v>0</v>
      </c>
      <c r="L564" s="4603"/>
      <c r="M564" s="386"/>
      <c r="N564" s="386"/>
      <c r="O564" s="386"/>
      <c r="P564" s="386"/>
      <c r="Q564" s="386"/>
    </row>
    <row r="565" spans="1:17" ht="30" customHeight="1" x14ac:dyDescent="0.2">
      <c r="A565" s="4460"/>
      <c r="B565" s="4458"/>
      <c r="C565" s="4538"/>
      <c r="D565" s="4508"/>
      <c r="E565" s="4514"/>
      <c r="F565" s="4508"/>
      <c r="G565" s="1469"/>
      <c r="H565" s="1469"/>
      <c r="I565" s="473"/>
      <c r="J565" s="4415"/>
      <c r="K565" s="4606"/>
      <c r="L565" s="4604"/>
      <c r="M565" s="386"/>
      <c r="N565" s="386"/>
      <c r="O565" s="386"/>
      <c r="P565" s="386"/>
      <c r="Q565" s="386"/>
    </row>
    <row r="566" spans="1:17" ht="30" customHeight="1" x14ac:dyDescent="0.2">
      <c r="A566" s="4459">
        <v>360</v>
      </c>
      <c r="B566" s="4457" t="s">
        <v>1614</v>
      </c>
      <c r="C566" s="4537" t="s">
        <v>889</v>
      </c>
      <c r="D566" s="1489">
        <v>290000000</v>
      </c>
      <c r="E566" s="1516">
        <v>0.05</v>
      </c>
      <c r="F566" s="1489">
        <f>D566*E566</f>
        <v>14500000</v>
      </c>
      <c r="G566" s="4413">
        <v>27100000</v>
      </c>
      <c r="H566" s="4413" t="s">
        <v>3434</v>
      </c>
      <c r="I566" s="4789" t="s">
        <v>1611</v>
      </c>
      <c r="J566" s="4413">
        <f>G566+G567</f>
        <v>27100000</v>
      </c>
      <c r="K566" s="4603">
        <f>(F566+F567)-G566</f>
        <v>0</v>
      </c>
      <c r="L566" s="4603"/>
      <c r="M566" s="386"/>
      <c r="N566" s="386"/>
      <c r="O566" s="386"/>
      <c r="P566" s="386"/>
      <c r="Q566" s="386"/>
    </row>
    <row r="567" spans="1:17" ht="30" customHeight="1" x14ac:dyDescent="0.2">
      <c r="A567" s="4460"/>
      <c r="B567" s="4458"/>
      <c r="C567" s="4538"/>
      <c r="D567" s="1489">
        <v>210000000</v>
      </c>
      <c r="E567" s="1516">
        <v>0.06</v>
      </c>
      <c r="F567" s="1489">
        <f>D567*E567</f>
        <v>12600000</v>
      </c>
      <c r="G567" s="4415"/>
      <c r="H567" s="4415"/>
      <c r="I567" s="4790"/>
      <c r="J567" s="4415"/>
      <c r="K567" s="4604"/>
      <c r="L567" s="4604"/>
      <c r="M567" s="386"/>
      <c r="N567" s="386"/>
      <c r="O567" s="386"/>
      <c r="P567" s="386"/>
      <c r="Q567" s="386"/>
    </row>
    <row r="568" spans="1:17" ht="30" customHeight="1" x14ac:dyDescent="0.2">
      <c r="A568" s="4459">
        <v>361</v>
      </c>
      <c r="B568" s="4457" t="s">
        <v>1612</v>
      </c>
      <c r="C568" s="4537"/>
      <c r="D568" s="4413">
        <v>3045000000</v>
      </c>
      <c r="E568" s="4476"/>
      <c r="F568" s="4413">
        <v>103600000</v>
      </c>
      <c r="G568" s="1469">
        <v>9600000</v>
      </c>
      <c r="H568" s="1469" t="s">
        <v>3362</v>
      </c>
      <c r="I568" s="473" t="s">
        <v>1613</v>
      </c>
      <c r="J568" s="1557">
        <f>G568</f>
        <v>9600000</v>
      </c>
      <c r="K568" s="1565">
        <f>103600000-94000000-J568</f>
        <v>0</v>
      </c>
      <c r="L568" s="1501" t="s">
        <v>2991</v>
      </c>
      <c r="M568" s="386"/>
      <c r="N568" s="386"/>
      <c r="O568" s="386"/>
      <c r="P568" s="386"/>
      <c r="Q568" s="386"/>
    </row>
    <row r="569" spans="1:17" ht="30" customHeight="1" x14ac:dyDescent="0.2">
      <c r="A569" s="4464"/>
      <c r="B569" s="4488"/>
      <c r="C569" s="4540"/>
      <c r="D569" s="4414"/>
      <c r="E569" s="4516"/>
      <c r="F569" s="4414"/>
      <c r="G569" s="1469">
        <v>50000000</v>
      </c>
      <c r="H569" s="1469"/>
      <c r="I569" s="473"/>
      <c r="J569" s="4322">
        <f>G569+G570+G571+G572+G573+G574+G575+G576+G577+G578</f>
        <v>103600000</v>
      </c>
      <c r="K569" s="4332">
        <f>F568-J569</f>
        <v>0</v>
      </c>
      <c r="L569" s="1521" t="s">
        <v>2879</v>
      </c>
      <c r="M569" s="386"/>
      <c r="N569" s="386"/>
      <c r="O569" s="386"/>
      <c r="P569" s="386"/>
      <c r="Q569" s="386"/>
    </row>
    <row r="570" spans="1:17" ht="30" customHeight="1" x14ac:dyDescent="0.2">
      <c r="A570" s="4464"/>
      <c r="B570" s="4488"/>
      <c r="C570" s="4540"/>
      <c r="D570" s="4414"/>
      <c r="E570" s="4516"/>
      <c r="F570" s="4414"/>
      <c r="G570" s="1469">
        <v>2000000</v>
      </c>
      <c r="H570" s="1469" t="s">
        <v>3417</v>
      </c>
      <c r="I570" s="473" t="s">
        <v>2467</v>
      </c>
      <c r="J570" s="4322"/>
      <c r="K570" s="4332"/>
      <c r="L570" s="849"/>
      <c r="M570" s="386"/>
      <c r="N570" s="386"/>
      <c r="O570" s="386"/>
      <c r="P570" s="386"/>
      <c r="Q570" s="386"/>
    </row>
    <row r="571" spans="1:17" ht="30" customHeight="1" x14ac:dyDescent="0.2">
      <c r="A571" s="4464"/>
      <c r="B571" s="4488"/>
      <c r="C571" s="4540"/>
      <c r="D571" s="4414"/>
      <c r="E571" s="4516"/>
      <c r="F571" s="4414"/>
      <c r="G571" s="1469">
        <v>11600000</v>
      </c>
      <c r="H571" s="1469" t="s">
        <v>3558</v>
      </c>
      <c r="I571" s="473" t="s">
        <v>1613</v>
      </c>
      <c r="J571" s="4322"/>
      <c r="K571" s="4332"/>
      <c r="L571" s="849"/>
      <c r="M571" s="386"/>
      <c r="N571" s="386"/>
      <c r="O571" s="386"/>
      <c r="P571" s="386"/>
      <c r="Q571" s="386"/>
    </row>
    <row r="572" spans="1:17" ht="30" customHeight="1" x14ac:dyDescent="0.2">
      <c r="A572" s="4464"/>
      <c r="B572" s="4488"/>
      <c r="C572" s="4540"/>
      <c r="D572" s="4414"/>
      <c r="E572" s="4516"/>
      <c r="F572" s="4414"/>
      <c r="G572" s="1469">
        <v>40000000</v>
      </c>
      <c r="H572" s="1469" t="s">
        <v>3676</v>
      </c>
      <c r="I572" s="473" t="s">
        <v>1613</v>
      </c>
      <c r="J572" s="4322"/>
      <c r="K572" s="4332"/>
      <c r="L572" s="849"/>
      <c r="M572" s="386"/>
      <c r="N572" s="386"/>
      <c r="O572" s="386"/>
      <c r="P572" s="386"/>
      <c r="Q572" s="386"/>
    </row>
    <row r="573" spans="1:17" ht="30" customHeight="1" x14ac:dyDescent="0.2">
      <c r="A573" s="4464"/>
      <c r="B573" s="4488"/>
      <c r="C573" s="4540"/>
      <c r="D573" s="4414"/>
      <c r="E573" s="4516"/>
      <c r="F573" s="4414"/>
      <c r="G573" s="1469"/>
      <c r="H573" s="1469"/>
      <c r="I573" s="473"/>
      <c r="J573" s="4322"/>
      <c r="K573" s="4332"/>
      <c r="L573" s="849"/>
      <c r="M573" s="386"/>
      <c r="N573" s="386"/>
      <c r="O573" s="386"/>
      <c r="P573" s="386"/>
      <c r="Q573" s="386"/>
    </row>
    <row r="574" spans="1:17" ht="30" customHeight="1" x14ac:dyDescent="0.2">
      <c r="A574" s="4464"/>
      <c r="B574" s="4488"/>
      <c r="C574" s="4540"/>
      <c r="D574" s="4414"/>
      <c r="E574" s="4516"/>
      <c r="F574" s="4414"/>
      <c r="G574" s="1469"/>
      <c r="H574" s="1469"/>
      <c r="I574" s="473"/>
      <c r="J574" s="4322"/>
      <c r="K574" s="4332"/>
      <c r="L574" s="849"/>
      <c r="M574" s="386"/>
      <c r="N574" s="386"/>
      <c r="O574" s="386"/>
      <c r="P574" s="386"/>
      <c r="Q574" s="386"/>
    </row>
    <row r="575" spans="1:17" ht="30" customHeight="1" x14ac:dyDescent="0.2">
      <c r="A575" s="4464"/>
      <c r="B575" s="4488"/>
      <c r="C575" s="4540"/>
      <c r="D575" s="4414"/>
      <c r="E575" s="4516"/>
      <c r="F575" s="4414"/>
      <c r="G575" s="1469"/>
      <c r="H575" s="1469"/>
      <c r="I575" s="473"/>
      <c r="J575" s="4322"/>
      <c r="K575" s="4332"/>
      <c r="L575" s="849"/>
      <c r="M575" s="386"/>
      <c r="N575" s="386"/>
      <c r="O575" s="386"/>
      <c r="P575" s="386"/>
      <c r="Q575" s="386"/>
    </row>
    <row r="576" spans="1:17" ht="30" customHeight="1" x14ac:dyDescent="0.2">
      <c r="A576" s="4464"/>
      <c r="B576" s="4488"/>
      <c r="C576" s="4540"/>
      <c r="D576" s="4414"/>
      <c r="E576" s="4516"/>
      <c r="F576" s="4414"/>
      <c r="G576" s="1469"/>
      <c r="H576" s="1469"/>
      <c r="I576" s="473"/>
      <c r="J576" s="4322"/>
      <c r="K576" s="4332"/>
      <c r="L576" s="849"/>
      <c r="M576" s="386"/>
      <c r="N576" s="386"/>
      <c r="O576" s="386"/>
      <c r="P576" s="386"/>
      <c r="Q576" s="386"/>
    </row>
    <row r="577" spans="1:17" ht="30" customHeight="1" x14ac:dyDescent="0.2">
      <c r="A577" s="4464"/>
      <c r="B577" s="4488"/>
      <c r="C577" s="4540"/>
      <c r="D577" s="4414"/>
      <c r="E577" s="4516"/>
      <c r="F577" s="4414"/>
      <c r="G577" s="1469"/>
      <c r="H577" s="1469"/>
      <c r="I577" s="473"/>
      <c r="J577" s="4322"/>
      <c r="K577" s="4332"/>
      <c r="L577" s="849"/>
      <c r="M577" s="386"/>
      <c r="N577" s="386"/>
      <c r="O577" s="386"/>
      <c r="P577" s="386"/>
      <c r="Q577" s="386"/>
    </row>
    <row r="578" spans="1:17" ht="30" customHeight="1" x14ac:dyDescent="0.2">
      <c r="A578" s="4460"/>
      <c r="B578" s="4458"/>
      <c r="C578" s="4538"/>
      <c r="D578" s="4415"/>
      <c r="E578" s="4477"/>
      <c r="F578" s="4415"/>
      <c r="G578" s="1469"/>
      <c r="H578" s="1469"/>
      <c r="I578" s="473"/>
      <c r="J578" s="4322"/>
      <c r="K578" s="4332"/>
      <c r="L578" s="899"/>
      <c r="M578" s="386"/>
      <c r="N578" s="386"/>
      <c r="O578" s="386"/>
      <c r="P578" s="386"/>
      <c r="Q578" s="386"/>
    </row>
    <row r="579" spans="1:17" ht="30" customHeight="1" x14ac:dyDescent="0.2">
      <c r="A579" s="4459">
        <v>362</v>
      </c>
      <c r="B579" s="4599" t="s">
        <v>1619</v>
      </c>
      <c r="C579" s="4537" t="s">
        <v>1652</v>
      </c>
      <c r="D579" s="1469">
        <v>300000000</v>
      </c>
      <c r="E579" s="1516">
        <v>4.4999999999999998E-2</v>
      </c>
      <c r="F579" s="1469">
        <f>D579*E579</f>
        <v>13500000</v>
      </c>
      <c r="G579" s="1469">
        <v>13500000</v>
      </c>
      <c r="H579" s="1469" t="s">
        <v>3434</v>
      </c>
      <c r="I579" s="473" t="s">
        <v>1620</v>
      </c>
      <c r="J579" s="1469">
        <f>G579</f>
        <v>13500000</v>
      </c>
      <c r="K579" s="1505">
        <f>F579-J579</f>
        <v>0</v>
      </c>
      <c r="L579" s="385"/>
      <c r="M579" s="386"/>
      <c r="N579" s="386"/>
      <c r="O579" s="386"/>
      <c r="P579" s="386"/>
      <c r="Q579" s="386"/>
    </row>
    <row r="580" spans="1:17" ht="30" customHeight="1" x14ac:dyDescent="0.2">
      <c r="A580" s="4460"/>
      <c r="B580" s="4607"/>
      <c r="C580" s="4538"/>
      <c r="D580" s="1580">
        <v>360000000</v>
      </c>
      <c r="E580" s="1599">
        <v>4.4999999999999998E-2</v>
      </c>
      <c r="F580" s="1580">
        <v>16500000</v>
      </c>
      <c r="G580" s="4469" t="s">
        <v>3451</v>
      </c>
      <c r="H580" s="4470"/>
      <c r="I580" s="4470"/>
      <c r="J580" s="4471"/>
      <c r="K580" s="1596"/>
      <c r="L580" s="385"/>
      <c r="M580" s="386"/>
      <c r="N580" s="386"/>
      <c r="O580" s="386"/>
      <c r="P580" s="386"/>
      <c r="Q580" s="386"/>
    </row>
    <row r="581" spans="1:17" ht="30" customHeight="1" x14ac:dyDescent="0.2">
      <c r="A581" s="1464">
        <v>363</v>
      </c>
      <c r="B581" s="1461" t="s">
        <v>1641</v>
      </c>
      <c r="C581" s="1488"/>
      <c r="D581" s="1478"/>
      <c r="E581" s="40"/>
      <c r="F581" s="1478"/>
      <c r="G581" s="1469">
        <v>1175000</v>
      </c>
      <c r="H581" s="1469" t="s">
        <v>3434</v>
      </c>
      <c r="I581" s="473" t="s">
        <v>1621</v>
      </c>
      <c r="J581" s="1469">
        <f>G581</f>
        <v>1175000</v>
      </c>
      <c r="K581" s="1505">
        <f>F581-J581</f>
        <v>-1175000</v>
      </c>
      <c r="L581" s="385"/>
      <c r="M581" s="386"/>
      <c r="N581" s="386"/>
      <c r="O581" s="386"/>
      <c r="P581" s="386"/>
      <c r="Q581" s="386"/>
    </row>
    <row r="582" spans="1:17" ht="30" customHeight="1" x14ac:dyDescent="0.2">
      <c r="A582" s="1464">
        <v>364</v>
      </c>
      <c r="B582" s="1461" t="s">
        <v>1637</v>
      </c>
      <c r="C582" s="1488"/>
      <c r="D582" s="1478"/>
      <c r="E582" s="40"/>
      <c r="F582" s="1478"/>
      <c r="G582" s="1469">
        <v>6600000</v>
      </c>
      <c r="H582" s="1469" t="s">
        <v>3427</v>
      </c>
      <c r="I582" s="473" t="s">
        <v>2776</v>
      </c>
      <c r="J582" s="1469">
        <f>G582</f>
        <v>6600000</v>
      </c>
      <c r="K582" s="1510">
        <f>F582-J582</f>
        <v>-6600000</v>
      </c>
      <c r="L582" s="385"/>
      <c r="M582" s="386"/>
      <c r="N582" s="386"/>
      <c r="O582" s="386"/>
      <c r="P582" s="386"/>
      <c r="Q582" s="386"/>
    </row>
    <row r="583" spans="1:17" ht="30" customHeight="1" x14ac:dyDescent="0.2">
      <c r="A583" s="1519">
        <v>365</v>
      </c>
      <c r="B583" s="1517" t="s">
        <v>1639</v>
      </c>
      <c r="C583" s="1518" t="s">
        <v>1718</v>
      </c>
      <c r="D583" s="1469">
        <v>250000000</v>
      </c>
      <c r="E583" s="1516">
        <v>0.05</v>
      </c>
      <c r="F583" s="1469">
        <f>D583*E583</f>
        <v>12500000</v>
      </c>
      <c r="G583" s="1489">
        <v>12500000</v>
      </c>
      <c r="H583" s="1489" t="s">
        <v>3485</v>
      </c>
      <c r="I583" s="1489" t="s">
        <v>2808</v>
      </c>
      <c r="J583" s="1489">
        <f>G583</f>
        <v>12500000</v>
      </c>
      <c r="K583" s="1505">
        <f>F583-J583</f>
        <v>0</v>
      </c>
      <c r="L583" s="1502" t="s">
        <v>2741</v>
      </c>
      <c r="M583" s="386"/>
      <c r="N583" s="386"/>
      <c r="O583" s="386"/>
      <c r="P583" s="386"/>
      <c r="Q583" s="386"/>
    </row>
    <row r="584" spans="1:17" ht="30" customHeight="1" x14ac:dyDescent="0.2">
      <c r="A584" s="1464">
        <v>366</v>
      </c>
      <c r="B584" s="1461" t="s">
        <v>1719</v>
      </c>
      <c r="C584" s="1488" t="s">
        <v>1107</v>
      </c>
      <c r="D584" s="1469">
        <v>70000000</v>
      </c>
      <c r="E584" s="1516">
        <v>6.3E-2</v>
      </c>
      <c r="F584" s="1469">
        <v>4400000</v>
      </c>
      <c r="G584" s="1469">
        <v>4400000</v>
      </c>
      <c r="H584" s="1469" t="s">
        <v>2472</v>
      </c>
      <c r="I584" s="473" t="s">
        <v>3773</v>
      </c>
      <c r="J584" s="1469">
        <f>G584</f>
        <v>4400000</v>
      </c>
      <c r="K584" s="1505">
        <f>F584-J584</f>
        <v>0</v>
      </c>
      <c r="L584" s="385"/>
      <c r="M584" s="386"/>
      <c r="N584" s="386"/>
      <c r="O584" s="386"/>
      <c r="P584" s="386"/>
      <c r="Q584" s="386"/>
    </row>
    <row r="585" spans="1:17" ht="30" customHeight="1" x14ac:dyDescent="0.2">
      <c r="A585" s="1464">
        <v>367</v>
      </c>
      <c r="B585" s="1461" t="s">
        <v>1666</v>
      </c>
      <c r="C585" s="1488"/>
      <c r="D585" s="1478"/>
      <c r="E585" s="40"/>
      <c r="F585" s="1478">
        <f>D585*E585</f>
        <v>0</v>
      </c>
      <c r="G585" s="1469">
        <v>1250000</v>
      </c>
      <c r="H585" s="1469" t="s">
        <v>3463</v>
      </c>
      <c r="I585" s="473" t="s">
        <v>1667</v>
      </c>
      <c r="J585" s="1469">
        <f>G585</f>
        <v>1250000</v>
      </c>
      <c r="K585" s="1510">
        <f>F585-J585</f>
        <v>-1250000</v>
      </c>
      <c r="L585" s="385"/>
      <c r="M585" s="386"/>
      <c r="N585" s="386"/>
      <c r="O585" s="386"/>
      <c r="P585" s="386"/>
      <c r="Q585" s="386"/>
    </row>
    <row r="586" spans="1:17" ht="30" customHeight="1" x14ac:dyDescent="0.2">
      <c r="A586" s="4614">
        <v>368</v>
      </c>
      <c r="B586" s="4615" t="s">
        <v>1793</v>
      </c>
      <c r="C586" s="4620"/>
      <c r="D586" s="4322">
        <v>800000000</v>
      </c>
      <c r="E586" s="4608">
        <v>7.0000000000000007E-2</v>
      </c>
      <c r="F586" s="4322">
        <f>D586*E586</f>
        <v>56000000.000000007</v>
      </c>
      <c r="G586" s="1563">
        <v>20000000</v>
      </c>
      <c r="H586" s="1563" t="s">
        <v>3421</v>
      </c>
      <c r="I586" s="1030" t="s">
        <v>2579</v>
      </c>
      <c r="J586" s="4322">
        <f>G586+G587</f>
        <v>40000000</v>
      </c>
      <c r="K586" s="4332">
        <f>F586-16000000-J586</f>
        <v>0</v>
      </c>
      <c r="L586" s="4675" t="s">
        <v>3389</v>
      </c>
      <c r="M586" s="386"/>
      <c r="N586" s="386"/>
      <c r="O586" s="386"/>
      <c r="P586" s="386"/>
      <c r="Q586" s="386"/>
    </row>
    <row r="587" spans="1:17" ht="30" customHeight="1" x14ac:dyDescent="0.2">
      <c r="A587" s="4614"/>
      <c r="B587" s="4615"/>
      <c r="C587" s="4620"/>
      <c r="D587" s="4322"/>
      <c r="E587" s="4608"/>
      <c r="F587" s="4322"/>
      <c r="G587" s="1563">
        <v>20000000</v>
      </c>
      <c r="H587" s="1563" t="s">
        <v>3528</v>
      </c>
      <c r="I587" s="1030" t="s">
        <v>2579</v>
      </c>
      <c r="J587" s="4322"/>
      <c r="K587" s="4332"/>
      <c r="L587" s="4676"/>
      <c r="M587" s="386"/>
      <c r="N587" s="386"/>
      <c r="O587" s="386"/>
      <c r="P587" s="386"/>
      <c r="Q587" s="386"/>
    </row>
    <row r="588" spans="1:17" ht="30" customHeight="1" x14ac:dyDescent="0.2">
      <c r="A588" s="4459">
        <v>369</v>
      </c>
      <c r="B588" s="4457" t="s">
        <v>1676</v>
      </c>
      <c r="C588" s="4537" t="s">
        <v>1652</v>
      </c>
      <c r="D588" s="1469">
        <v>250000000</v>
      </c>
      <c r="E588" s="1559">
        <v>0.05</v>
      </c>
      <c r="F588" s="1469">
        <f>D588*E588</f>
        <v>12500000</v>
      </c>
      <c r="G588" s="1469">
        <v>12500000</v>
      </c>
      <c r="H588" s="1469" t="s">
        <v>3496</v>
      </c>
      <c r="I588" s="4469" t="s">
        <v>3497</v>
      </c>
      <c r="J588" s="4470"/>
      <c r="K588" s="4471"/>
      <c r="L588" s="385"/>
      <c r="M588" s="386"/>
      <c r="N588" s="386"/>
      <c r="O588" s="386"/>
      <c r="P588" s="386"/>
      <c r="Q588" s="386"/>
    </row>
    <row r="589" spans="1:17" ht="30" customHeight="1" x14ac:dyDescent="0.2">
      <c r="A589" s="4464"/>
      <c r="B589" s="4488"/>
      <c r="C589" s="4540"/>
      <c r="D589" s="1799">
        <v>150000000</v>
      </c>
      <c r="E589" s="1798">
        <v>0.06</v>
      </c>
      <c r="F589" s="1799">
        <f>D589*E589</f>
        <v>9000000</v>
      </c>
      <c r="G589" s="4838" t="s">
        <v>3884</v>
      </c>
      <c r="H589" s="4838"/>
      <c r="I589" s="4838"/>
      <c r="J589" s="4838"/>
      <c r="K589" s="1817"/>
      <c r="L589" s="1813"/>
      <c r="M589" s="386"/>
      <c r="N589" s="386"/>
      <c r="O589" s="386"/>
      <c r="P589" s="386"/>
      <c r="Q589" s="386"/>
    </row>
    <row r="590" spans="1:17" ht="30" customHeight="1" x14ac:dyDescent="0.2">
      <c r="A590" s="4460"/>
      <c r="B590" s="4458"/>
      <c r="C590" s="4538"/>
      <c r="D590" s="1900">
        <v>50000000</v>
      </c>
      <c r="E590" s="1898">
        <v>0.06</v>
      </c>
      <c r="F590" s="1900">
        <f>D590*E590</f>
        <v>3000000</v>
      </c>
      <c r="G590" s="4469" t="s">
        <v>3885</v>
      </c>
      <c r="H590" s="4470"/>
      <c r="I590" s="4470"/>
      <c r="J590" s="4471"/>
      <c r="K590" s="1921"/>
      <c r="L590" s="1913"/>
      <c r="M590" s="386"/>
      <c r="N590" s="386"/>
      <c r="O590" s="386"/>
      <c r="P590" s="386"/>
      <c r="Q590" s="386"/>
    </row>
    <row r="591" spans="1:17" ht="30" customHeight="1" x14ac:dyDescent="0.2">
      <c r="A591" s="1954">
        <v>370</v>
      </c>
      <c r="B591" s="1961" t="s">
        <v>1696</v>
      </c>
      <c r="C591" s="1488" t="s">
        <v>3323</v>
      </c>
      <c r="D591" s="1956">
        <v>200000000</v>
      </c>
      <c r="E591" s="1959">
        <v>0.05</v>
      </c>
      <c r="F591" s="1956">
        <f>D591*E591</f>
        <v>10000000</v>
      </c>
      <c r="G591" s="1956">
        <v>10000000</v>
      </c>
      <c r="H591" s="1956" t="s">
        <v>3362</v>
      </c>
      <c r="I591" s="473" t="s">
        <v>3400</v>
      </c>
      <c r="J591" s="1956">
        <f>G591</f>
        <v>10000000</v>
      </c>
      <c r="K591" s="1958">
        <f>F591-J591</f>
        <v>0</v>
      </c>
      <c r="L591" s="1957"/>
      <c r="M591" s="386"/>
      <c r="N591" s="386"/>
      <c r="O591" s="386"/>
      <c r="P591" s="386"/>
      <c r="Q591" s="386"/>
    </row>
    <row r="592" spans="1:17" ht="30" customHeight="1" x14ac:dyDescent="0.2">
      <c r="A592" s="4459">
        <v>371</v>
      </c>
      <c r="B592" s="4457" t="s">
        <v>1698</v>
      </c>
      <c r="C592" s="4537" t="s">
        <v>942</v>
      </c>
      <c r="D592" s="4413">
        <v>50000000</v>
      </c>
      <c r="E592" s="4476">
        <v>0.04</v>
      </c>
      <c r="F592" s="4413">
        <f>D592*E592</f>
        <v>2000000</v>
      </c>
      <c r="G592" s="1469">
        <v>2000000</v>
      </c>
      <c r="H592" s="1469" t="s">
        <v>3399</v>
      </c>
      <c r="I592" s="473" t="s">
        <v>1699</v>
      </c>
      <c r="J592" s="1469">
        <f>G592</f>
        <v>2000000</v>
      </c>
      <c r="K592" s="1505">
        <f>F592-J592</f>
        <v>0</v>
      </c>
      <c r="L592" s="385"/>
      <c r="M592" s="386"/>
      <c r="N592" s="386"/>
      <c r="O592" s="386"/>
      <c r="P592" s="386"/>
      <c r="Q592" s="386"/>
    </row>
    <row r="593" spans="1:17" ht="30" customHeight="1" x14ac:dyDescent="0.2">
      <c r="A593" s="4460"/>
      <c r="B593" s="4458"/>
      <c r="C593" s="4538"/>
      <c r="D593" s="4415"/>
      <c r="E593" s="4477"/>
      <c r="F593" s="4415"/>
      <c r="G593" s="1900">
        <v>2000000</v>
      </c>
      <c r="H593" s="1900" t="s">
        <v>3893</v>
      </c>
      <c r="I593" s="473" t="s">
        <v>1699</v>
      </c>
      <c r="J593" s="1900">
        <f>G593</f>
        <v>2000000</v>
      </c>
      <c r="K593" s="1914">
        <f>F592-J593</f>
        <v>0</v>
      </c>
      <c r="L593" s="1918"/>
      <c r="M593" s="386"/>
      <c r="N593" s="386"/>
      <c r="O593" s="386"/>
      <c r="P593" s="386"/>
      <c r="Q593" s="386"/>
    </row>
    <row r="594" spans="1:17" ht="30" customHeight="1" x14ac:dyDescent="0.2">
      <c r="A594" s="1464">
        <v>372</v>
      </c>
      <c r="B594" s="1461" t="s">
        <v>1706</v>
      </c>
      <c r="C594" s="1488"/>
      <c r="D594" s="1478"/>
      <c r="E594" s="40"/>
      <c r="F594" s="1478"/>
      <c r="G594" s="1469"/>
      <c r="H594" s="1469"/>
      <c r="I594" s="473"/>
      <c r="J594" s="1469">
        <f>G594</f>
        <v>0</v>
      </c>
      <c r="K594" s="1510"/>
      <c r="L594" s="385"/>
      <c r="M594" s="386"/>
      <c r="N594" s="386"/>
      <c r="O594" s="386"/>
      <c r="P594" s="386"/>
      <c r="Q594" s="386"/>
    </row>
    <row r="595" spans="1:17" ht="30" customHeight="1" x14ac:dyDescent="0.2">
      <c r="A595" s="4459"/>
      <c r="B595" s="4457" t="s">
        <v>1725</v>
      </c>
      <c r="C595" s="4537"/>
      <c r="D595" s="4413">
        <v>20000000</v>
      </c>
      <c r="E595" s="4476">
        <v>0.05</v>
      </c>
      <c r="F595" s="4413">
        <f>D595*E595</f>
        <v>1000000</v>
      </c>
      <c r="G595" s="1590">
        <v>500000</v>
      </c>
      <c r="H595" s="1590" t="s">
        <v>3485</v>
      </c>
      <c r="I595" s="1590" t="s">
        <v>3486</v>
      </c>
      <c r="J595" s="4413">
        <f>G595+G596</f>
        <v>1000000</v>
      </c>
      <c r="K595" s="4603">
        <f>F595-J595</f>
        <v>0</v>
      </c>
      <c r="L595" s="4675" t="s">
        <v>2771</v>
      </c>
      <c r="M595" s="386"/>
      <c r="N595" s="386"/>
      <c r="O595" s="386"/>
      <c r="P595" s="386"/>
      <c r="Q595" s="386"/>
    </row>
    <row r="596" spans="1:17" ht="30" customHeight="1" x14ac:dyDescent="0.2">
      <c r="A596" s="4460"/>
      <c r="B596" s="4458"/>
      <c r="C596" s="4538"/>
      <c r="D596" s="4415"/>
      <c r="E596" s="4477"/>
      <c r="F596" s="4415"/>
      <c r="G596" s="1580">
        <v>500000</v>
      </c>
      <c r="H596" s="1580" t="s">
        <v>3485</v>
      </c>
      <c r="I596" s="1590" t="s">
        <v>3486</v>
      </c>
      <c r="J596" s="4415"/>
      <c r="K596" s="4604"/>
      <c r="L596" s="4676"/>
      <c r="M596" s="386"/>
      <c r="N596" s="386"/>
      <c r="O596" s="386"/>
      <c r="P596" s="386"/>
      <c r="Q596" s="386"/>
    </row>
    <row r="597" spans="1:17" ht="30" customHeight="1" x14ac:dyDescent="0.2">
      <c r="A597" s="1464">
        <v>374</v>
      </c>
      <c r="B597" s="1461" t="s">
        <v>1727</v>
      </c>
      <c r="C597" s="1488"/>
      <c r="D597" s="1478"/>
      <c r="E597" s="1480"/>
      <c r="F597" s="1478"/>
      <c r="G597" s="1469"/>
      <c r="H597" s="1469"/>
      <c r="I597" s="473"/>
      <c r="J597" s="1469">
        <f>G597</f>
        <v>0</v>
      </c>
      <c r="K597" s="1510">
        <f t="shared" ref="K597:K602" si="56">F597-J597</f>
        <v>0</v>
      </c>
      <c r="L597" s="385"/>
      <c r="M597" s="386"/>
      <c r="N597" s="386"/>
      <c r="O597" s="386"/>
      <c r="P597" s="386"/>
      <c r="Q597" s="386"/>
    </row>
    <row r="598" spans="1:17" ht="30" customHeight="1" x14ac:dyDescent="0.2">
      <c r="A598" s="1464">
        <v>375</v>
      </c>
      <c r="B598" s="1461" t="s">
        <v>1735</v>
      </c>
      <c r="C598" s="1488"/>
      <c r="D598" s="1469">
        <v>100000000</v>
      </c>
      <c r="E598" s="1516">
        <v>0.05</v>
      </c>
      <c r="F598" s="1469">
        <f>D598*E598</f>
        <v>5000000</v>
      </c>
      <c r="G598" s="1469">
        <v>5000000</v>
      </c>
      <c r="H598" s="1469" t="s">
        <v>3421</v>
      </c>
      <c r="I598" s="473" t="s">
        <v>3426</v>
      </c>
      <c r="J598" s="1469">
        <f>G598</f>
        <v>5000000</v>
      </c>
      <c r="K598" s="1505">
        <f t="shared" si="56"/>
        <v>0</v>
      </c>
      <c r="L598" s="385"/>
      <c r="M598" s="386"/>
      <c r="N598" s="386"/>
      <c r="O598" s="386"/>
      <c r="P598" s="386"/>
      <c r="Q598" s="386"/>
    </row>
    <row r="599" spans="1:17" ht="30" customHeight="1" x14ac:dyDescent="0.2">
      <c r="A599" s="1464">
        <v>376</v>
      </c>
      <c r="B599" s="1461" t="s">
        <v>3580</v>
      </c>
      <c r="C599" s="1488"/>
      <c r="D599" s="1964">
        <v>50000000</v>
      </c>
      <c r="E599" s="1966">
        <v>0.06</v>
      </c>
      <c r="F599" s="1964">
        <f>D599*E599</f>
        <v>3000000</v>
      </c>
      <c r="G599" s="1964">
        <v>3000000</v>
      </c>
      <c r="H599" s="1964" t="s">
        <v>3558</v>
      </c>
      <c r="I599" s="473" t="s">
        <v>1743</v>
      </c>
      <c r="J599" s="1964">
        <f>G599</f>
        <v>3000000</v>
      </c>
      <c r="K599" s="1965">
        <f t="shared" si="56"/>
        <v>0</v>
      </c>
      <c r="L599" s="385"/>
      <c r="M599" s="386"/>
      <c r="N599" s="386"/>
      <c r="O599" s="386"/>
      <c r="P599" s="386"/>
      <c r="Q599" s="386"/>
    </row>
    <row r="600" spans="1:17" ht="30" customHeight="1" x14ac:dyDescent="0.2">
      <c r="A600" s="1464">
        <v>377</v>
      </c>
      <c r="B600" s="1461" t="s">
        <v>1752</v>
      </c>
      <c r="C600" s="1488" t="s">
        <v>1652</v>
      </c>
      <c r="D600" s="1469">
        <v>153000000</v>
      </c>
      <c r="E600" s="1516">
        <v>7.0000000000000007E-2</v>
      </c>
      <c r="F600" s="1469">
        <f>D600*E600</f>
        <v>10710000.000000002</v>
      </c>
      <c r="G600" s="1469">
        <v>10710000</v>
      </c>
      <c r="H600" s="1469" t="s">
        <v>3531</v>
      </c>
      <c r="I600" s="473" t="s">
        <v>1952</v>
      </c>
      <c r="J600" s="1469">
        <f>G600</f>
        <v>10710000</v>
      </c>
      <c r="K600" s="1505">
        <f t="shared" si="56"/>
        <v>0</v>
      </c>
      <c r="L600" s="385"/>
      <c r="M600" s="386"/>
      <c r="N600" s="386"/>
      <c r="O600" s="386"/>
      <c r="P600" s="386"/>
      <c r="Q600" s="386"/>
    </row>
    <row r="601" spans="1:17" ht="30" customHeight="1" x14ac:dyDescent="0.2">
      <c r="A601" s="1464">
        <v>378</v>
      </c>
      <c r="B601" s="1461" t="s">
        <v>1790</v>
      </c>
      <c r="C601" s="1488" t="s">
        <v>889</v>
      </c>
      <c r="D601" s="1469">
        <v>300000000</v>
      </c>
      <c r="E601" s="1516">
        <v>5.0999999999999997E-2</v>
      </c>
      <c r="F601" s="1469">
        <v>15500000</v>
      </c>
      <c r="G601" s="1469">
        <v>15500000</v>
      </c>
      <c r="H601" s="1469" t="s">
        <v>3427</v>
      </c>
      <c r="I601" s="473" t="s">
        <v>3062</v>
      </c>
      <c r="J601" s="1469">
        <f>G601</f>
        <v>15500000</v>
      </c>
      <c r="K601" s="1505">
        <f t="shared" si="56"/>
        <v>0</v>
      </c>
      <c r="L601" s="385"/>
      <c r="M601" s="386"/>
      <c r="N601" s="386"/>
      <c r="O601" s="386"/>
      <c r="P601" s="386"/>
      <c r="Q601" s="386"/>
    </row>
    <row r="602" spans="1:17" ht="30" customHeight="1" x14ac:dyDescent="0.2">
      <c r="A602" s="4459">
        <v>379</v>
      </c>
      <c r="B602" s="4457" t="s">
        <v>1753</v>
      </c>
      <c r="C602" s="4537" t="s">
        <v>372</v>
      </c>
      <c r="D602" s="4413">
        <v>50000000</v>
      </c>
      <c r="E602" s="4476">
        <v>0.04</v>
      </c>
      <c r="F602" s="4413">
        <f>D602*E602</f>
        <v>2000000</v>
      </c>
      <c r="G602" s="4413">
        <v>2000000</v>
      </c>
      <c r="H602" s="4413" t="s">
        <v>3531</v>
      </c>
      <c r="I602" s="4789" t="s">
        <v>3537</v>
      </c>
      <c r="J602" s="4413">
        <f>G602+G603</f>
        <v>2000000</v>
      </c>
      <c r="K602" s="4603">
        <f t="shared" si="56"/>
        <v>0</v>
      </c>
      <c r="L602" s="4603"/>
      <c r="M602" s="386"/>
      <c r="N602" s="386"/>
      <c r="O602" s="386"/>
      <c r="P602" s="386"/>
      <c r="Q602" s="386"/>
    </row>
    <row r="603" spans="1:17" ht="30" customHeight="1" x14ac:dyDescent="0.2">
      <c r="A603" s="4460"/>
      <c r="B603" s="4458"/>
      <c r="C603" s="4538"/>
      <c r="D603" s="4415"/>
      <c r="E603" s="4477"/>
      <c r="F603" s="4415"/>
      <c r="G603" s="4415"/>
      <c r="H603" s="4415"/>
      <c r="I603" s="4790"/>
      <c r="J603" s="4415"/>
      <c r="K603" s="4604"/>
      <c r="L603" s="4604"/>
      <c r="M603" s="386"/>
      <c r="N603" s="386"/>
      <c r="O603" s="386"/>
      <c r="P603" s="386"/>
      <c r="Q603" s="386"/>
    </row>
    <row r="604" spans="1:17" ht="30" customHeight="1" x14ac:dyDescent="0.2">
      <c r="A604" s="1464">
        <v>380</v>
      </c>
      <c r="B604" s="1461" t="s">
        <v>1795</v>
      </c>
      <c r="C604" s="1488" t="s">
        <v>1100</v>
      </c>
      <c r="D604" s="1469">
        <v>10000000</v>
      </c>
      <c r="E604" s="1516">
        <v>0.05</v>
      </c>
      <c r="F604" s="1469">
        <f>D604*E604</f>
        <v>500000</v>
      </c>
      <c r="G604" s="1469"/>
      <c r="H604" s="1469"/>
      <c r="I604" s="473"/>
      <c r="J604" s="1469">
        <f>G604</f>
        <v>0</v>
      </c>
      <c r="K604" s="1505">
        <f>F604-J604</f>
        <v>500000</v>
      </c>
      <c r="L604" s="385" t="s">
        <v>1871</v>
      </c>
      <c r="M604" s="386"/>
      <c r="N604" s="386"/>
      <c r="O604" s="386"/>
      <c r="P604" s="386"/>
      <c r="Q604" s="386"/>
    </row>
    <row r="605" spans="1:17" ht="30" customHeight="1" x14ac:dyDescent="0.2">
      <c r="A605" s="1464">
        <v>381</v>
      </c>
      <c r="B605" s="1461" t="s">
        <v>1797</v>
      </c>
      <c r="C605" s="1488" t="s">
        <v>889</v>
      </c>
      <c r="D605" s="1469">
        <v>50000000</v>
      </c>
      <c r="E605" s="1516">
        <v>0.05</v>
      </c>
      <c r="F605" s="1469">
        <f>D605*E605</f>
        <v>2500000</v>
      </c>
      <c r="G605" s="1469">
        <v>2500000</v>
      </c>
      <c r="H605" s="1469" t="s">
        <v>3485</v>
      </c>
      <c r="I605" s="473" t="s">
        <v>3516</v>
      </c>
      <c r="J605" s="1469">
        <f>G605</f>
        <v>2500000</v>
      </c>
      <c r="K605" s="1505">
        <f>F605-J605</f>
        <v>0</v>
      </c>
      <c r="L605" s="385"/>
      <c r="M605" s="386"/>
      <c r="N605" s="386"/>
      <c r="O605" s="386"/>
      <c r="P605" s="386"/>
      <c r="Q605" s="386"/>
    </row>
    <row r="606" spans="1:17" ht="30" customHeight="1" x14ac:dyDescent="0.2">
      <c r="A606" s="1464">
        <v>382</v>
      </c>
      <c r="B606" s="1461" t="s">
        <v>1812</v>
      </c>
      <c r="C606" s="1488" t="s">
        <v>262</v>
      </c>
      <c r="D606" s="1469">
        <v>150000000</v>
      </c>
      <c r="E606" s="1516"/>
      <c r="F606" s="1469"/>
      <c r="G606" s="1469"/>
      <c r="H606" s="1469"/>
      <c r="I606" s="473"/>
      <c r="J606" s="1469"/>
      <c r="K606" s="1505"/>
      <c r="L606" s="385"/>
      <c r="M606" s="386"/>
      <c r="N606" s="386"/>
      <c r="O606" s="386"/>
      <c r="P606" s="386"/>
      <c r="Q606" s="386"/>
    </row>
    <row r="607" spans="1:17" ht="30" customHeight="1" x14ac:dyDescent="0.2">
      <c r="A607" s="1464">
        <v>383</v>
      </c>
      <c r="B607" s="1461" t="s">
        <v>1823</v>
      </c>
      <c r="C607" s="1488" t="s">
        <v>262</v>
      </c>
      <c r="D607" s="1469">
        <v>10000000</v>
      </c>
      <c r="E607" s="1516">
        <v>7.0000000000000007E-2</v>
      </c>
      <c r="F607" s="1469">
        <f t="shared" ref="F607:F612" si="57">D607*E607</f>
        <v>700000.00000000012</v>
      </c>
      <c r="G607" s="1469">
        <v>700000</v>
      </c>
      <c r="H607" s="1469" t="s">
        <v>3547</v>
      </c>
      <c r="I607" s="473" t="s">
        <v>2928</v>
      </c>
      <c r="J607" s="1469">
        <f>G607</f>
        <v>700000</v>
      </c>
      <c r="K607" s="1505">
        <f>F607-J607</f>
        <v>0</v>
      </c>
      <c r="L607" s="385"/>
      <c r="M607" s="386"/>
      <c r="N607" s="386"/>
      <c r="O607" s="386"/>
      <c r="P607" s="386"/>
      <c r="Q607" s="386"/>
    </row>
    <row r="608" spans="1:17" ht="30" customHeight="1" x14ac:dyDescent="0.2">
      <c r="A608" s="625">
        <v>384</v>
      </c>
      <c r="B608" s="1461" t="s">
        <v>1861</v>
      </c>
      <c r="C608" s="1488" t="s">
        <v>262</v>
      </c>
      <c r="D608" s="1469">
        <v>150000000</v>
      </c>
      <c r="E608" s="1516">
        <v>7.0000000000000007E-2</v>
      </c>
      <c r="F608" s="1469">
        <f t="shared" si="57"/>
        <v>10500000.000000002</v>
      </c>
      <c r="G608" s="1469">
        <v>10500000</v>
      </c>
      <c r="H608" s="1469" t="s">
        <v>3676</v>
      </c>
      <c r="I608" s="473" t="s">
        <v>1960</v>
      </c>
      <c r="J608" s="1469">
        <f>G608</f>
        <v>10500000</v>
      </c>
      <c r="K608" s="1505">
        <f>F608-J608</f>
        <v>0</v>
      </c>
      <c r="L608" s="385"/>
      <c r="M608" s="386"/>
      <c r="N608" s="386"/>
      <c r="O608" s="386"/>
      <c r="P608" s="386"/>
      <c r="Q608" s="386"/>
    </row>
    <row r="609" spans="1:17" ht="30" customHeight="1" x14ac:dyDescent="0.2">
      <c r="A609" s="1464">
        <v>385</v>
      </c>
      <c r="B609" s="1461" t="s">
        <v>1877</v>
      </c>
      <c r="C609" s="1488" t="s">
        <v>371</v>
      </c>
      <c r="D609" s="1469">
        <v>12000000</v>
      </c>
      <c r="E609" s="1516">
        <v>0.05</v>
      </c>
      <c r="F609" s="1469">
        <f t="shared" si="57"/>
        <v>600000</v>
      </c>
      <c r="G609" s="1469">
        <v>600000</v>
      </c>
      <c r="H609" s="1469" t="s">
        <v>3558</v>
      </c>
      <c r="I609" s="473" t="s">
        <v>3574</v>
      </c>
      <c r="J609" s="1469">
        <f>G609</f>
        <v>600000</v>
      </c>
      <c r="K609" s="1505">
        <f>F609-J609</f>
        <v>0</v>
      </c>
      <c r="L609" s="385" t="s">
        <v>1878</v>
      </c>
      <c r="M609" s="386"/>
      <c r="N609" s="386"/>
      <c r="O609" s="386"/>
      <c r="P609" s="386"/>
      <c r="Q609" s="386"/>
    </row>
    <row r="610" spans="1:17" ht="30" customHeight="1" x14ac:dyDescent="0.2">
      <c r="A610" s="383">
        <v>386</v>
      </c>
      <c r="B610" s="1514" t="s">
        <v>3092</v>
      </c>
      <c r="C610" s="1487" t="s">
        <v>1306</v>
      </c>
      <c r="D610" s="1467">
        <v>200000000</v>
      </c>
      <c r="E610" s="1465">
        <v>0.06</v>
      </c>
      <c r="F610" s="1467">
        <f t="shared" si="57"/>
        <v>12000000</v>
      </c>
      <c r="G610" s="1469">
        <v>12000000</v>
      </c>
      <c r="H610" s="1469" t="s">
        <v>3712</v>
      </c>
      <c r="I610" s="473" t="s">
        <v>1943</v>
      </c>
      <c r="J610" s="1467">
        <f>G610</f>
        <v>12000000</v>
      </c>
      <c r="K610" s="1504">
        <f>F610-J610</f>
        <v>0</v>
      </c>
      <c r="L610" s="1504"/>
      <c r="M610" s="386"/>
      <c r="N610" s="386"/>
      <c r="O610" s="386"/>
      <c r="P610" s="386"/>
      <c r="Q610" s="386"/>
    </row>
    <row r="611" spans="1:17" ht="30" customHeight="1" x14ac:dyDescent="0.2">
      <c r="A611" s="1462">
        <v>387</v>
      </c>
      <c r="B611" s="1517" t="s">
        <v>1923</v>
      </c>
      <c r="C611" s="1518"/>
      <c r="D611" s="1489">
        <v>60000000</v>
      </c>
      <c r="E611" s="1516">
        <v>0.04</v>
      </c>
      <c r="F611" s="1489">
        <f t="shared" si="57"/>
        <v>2400000</v>
      </c>
      <c r="G611" s="1489">
        <v>2400000</v>
      </c>
      <c r="H611" s="1489" t="s">
        <v>1189</v>
      </c>
      <c r="I611" s="1030" t="s">
        <v>3754</v>
      </c>
      <c r="J611" s="1489">
        <f>G611</f>
        <v>2400000</v>
      </c>
      <c r="K611" s="1457">
        <f>F611-J611</f>
        <v>0</v>
      </c>
      <c r="L611" s="1504"/>
      <c r="M611" s="386"/>
      <c r="N611" s="386"/>
      <c r="O611" s="386"/>
      <c r="P611" s="386"/>
      <c r="Q611" s="386"/>
    </row>
    <row r="612" spans="1:17" ht="30" customHeight="1" x14ac:dyDescent="0.2">
      <c r="A612" s="4614"/>
      <c r="B612" s="4615" t="s">
        <v>1953</v>
      </c>
      <c r="C612" s="4620" t="s">
        <v>3302</v>
      </c>
      <c r="D612" s="4322">
        <v>150000000</v>
      </c>
      <c r="E612" s="4608">
        <v>0.05</v>
      </c>
      <c r="F612" s="4322">
        <f t="shared" si="57"/>
        <v>7500000</v>
      </c>
      <c r="G612" s="4865" t="s">
        <v>3300</v>
      </c>
      <c r="H612" s="4866"/>
      <c r="I612" s="4866"/>
      <c r="J612" s="4867"/>
      <c r="K612" s="4603"/>
      <c r="L612" s="385" t="s">
        <v>3210</v>
      </c>
      <c r="M612" s="386"/>
      <c r="N612" s="386"/>
      <c r="O612" s="386"/>
      <c r="P612" s="386"/>
      <c r="Q612" s="386"/>
    </row>
    <row r="613" spans="1:17" ht="30" customHeight="1" x14ac:dyDescent="0.2">
      <c r="A613" s="4614"/>
      <c r="B613" s="4615"/>
      <c r="C613" s="4620"/>
      <c r="D613" s="4322"/>
      <c r="E613" s="4608"/>
      <c r="F613" s="4322"/>
      <c r="G613" s="4868"/>
      <c r="H613" s="4869"/>
      <c r="I613" s="4869"/>
      <c r="J613" s="4870"/>
      <c r="K613" s="4604"/>
      <c r="L613" s="385" t="s">
        <v>3301</v>
      </c>
      <c r="M613" s="386"/>
      <c r="N613" s="386"/>
      <c r="O613" s="386"/>
      <c r="P613" s="386"/>
      <c r="Q613" s="386"/>
    </row>
    <row r="614" spans="1:17" ht="30" customHeight="1" x14ac:dyDescent="0.2">
      <c r="A614" s="1464">
        <v>390</v>
      </c>
      <c r="B614" s="1461" t="s">
        <v>1996</v>
      </c>
      <c r="C614" s="1488" t="s">
        <v>889</v>
      </c>
      <c r="D614" s="1469">
        <v>5000000</v>
      </c>
      <c r="E614" s="1466">
        <v>0.05</v>
      </c>
      <c r="F614" s="1469">
        <f>D614*E614</f>
        <v>250000</v>
      </c>
      <c r="G614" s="1469">
        <v>250000</v>
      </c>
      <c r="H614" s="1469" t="s">
        <v>3362</v>
      </c>
      <c r="I614" s="473" t="s">
        <v>2533</v>
      </c>
      <c r="J614" s="1469">
        <f>G614</f>
        <v>250000</v>
      </c>
      <c r="K614" s="1505">
        <f>F614-J614</f>
        <v>0</v>
      </c>
      <c r="L614" s="385"/>
      <c r="M614" s="386"/>
      <c r="N614" s="386"/>
      <c r="O614" s="386"/>
      <c r="P614" s="386"/>
      <c r="Q614" s="386"/>
    </row>
    <row r="615" spans="1:17" ht="30" customHeight="1" x14ac:dyDescent="0.2">
      <c r="A615" s="4614">
        <v>391</v>
      </c>
      <c r="B615" s="4615" t="s">
        <v>2003</v>
      </c>
      <c r="C615" s="4620" t="s">
        <v>3390</v>
      </c>
      <c r="D615" s="4322">
        <v>1000000000</v>
      </c>
      <c r="E615" s="4608">
        <v>0.05</v>
      </c>
      <c r="F615" s="4322">
        <f>D615*E615</f>
        <v>50000000</v>
      </c>
      <c r="G615" s="4413">
        <v>50000000</v>
      </c>
      <c r="H615" s="4413" t="s">
        <v>3692</v>
      </c>
      <c r="I615" s="4413" t="s">
        <v>3200</v>
      </c>
      <c r="J615" s="4413">
        <f>G615</f>
        <v>50000000</v>
      </c>
      <c r="K615" s="4413">
        <f>F615-J615</f>
        <v>0</v>
      </c>
      <c r="L615" s="4675" t="s">
        <v>3202</v>
      </c>
      <c r="M615" s="386"/>
      <c r="N615" s="386"/>
      <c r="O615" s="386"/>
      <c r="P615" s="386"/>
      <c r="Q615" s="386"/>
    </row>
    <row r="616" spans="1:17" ht="30" customHeight="1" x14ac:dyDescent="0.2">
      <c r="A616" s="4614"/>
      <c r="B616" s="4615"/>
      <c r="C616" s="4620"/>
      <c r="D616" s="4322"/>
      <c r="E616" s="4608"/>
      <c r="F616" s="4322"/>
      <c r="G616" s="4415"/>
      <c r="H616" s="4415"/>
      <c r="I616" s="4415"/>
      <c r="J616" s="4415"/>
      <c r="K616" s="4415"/>
      <c r="L616" s="4676"/>
      <c r="M616" s="386"/>
      <c r="N616" s="386"/>
      <c r="O616" s="386"/>
      <c r="P616" s="386"/>
      <c r="Q616" s="386"/>
    </row>
    <row r="617" spans="1:17" ht="30" customHeight="1" x14ac:dyDescent="0.2">
      <c r="A617" s="1464">
        <v>392</v>
      </c>
      <c r="B617" s="1461" t="s">
        <v>2048</v>
      </c>
      <c r="C617" s="1488" t="s">
        <v>1294</v>
      </c>
      <c r="D617" s="1469">
        <v>50000000</v>
      </c>
      <c r="E617" s="1516">
        <v>0.05</v>
      </c>
      <c r="F617" s="1469">
        <f>D617*E617</f>
        <v>2500000</v>
      </c>
      <c r="G617" s="1469">
        <v>2500000</v>
      </c>
      <c r="H617" s="1469" t="s">
        <v>2472</v>
      </c>
      <c r="I617" s="473" t="s">
        <v>3047</v>
      </c>
      <c r="J617" s="1469">
        <f>G617</f>
        <v>2500000</v>
      </c>
      <c r="K617" s="1505">
        <f>F617-J617</f>
        <v>0</v>
      </c>
      <c r="L617" s="385" t="s">
        <v>2036</v>
      </c>
      <c r="M617" s="386"/>
      <c r="N617" s="386"/>
      <c r="O617" s="386"/>
      <c r="P617" s="386"/>
      <c r="Q617" s="386"/>
    </row>
    <row r="618" spans="1:17" ht="30" customHeight="1" x14ac:dyDescent="0.2">
      <c r="A618" s="4459">
        <v>393</v>
      </c>
      <c r="B618" s="4457" t="s">
        <v>2040</v>
      </c>
      <c r="C618" s="1488"/>
      <c r="D618" s="1665">
        <v>30000000</v>
      </c>
      <c r="E618" s="1670">
        <f>F618/D618</f>
        <v>0.05</v>
      </c>
      <c r="F618" s="1665">
        <v>1500000</v>
      </c>
      <c r="G618" s="1665">
        <v>1500000</v>
      </c>
      <c r="H618" s="1665" t="s">
        <v>3692</v>
      </c>
      <c r="I618" s="473" t="s">
        <v>3701</v>
      </c>
      <c r="J618" s="1665">
        <f>G618</f>
        <v>1500000</v>
      </c>
      <c r="K618" s="1669">
        <f>F618-J618</f>
        <v>0</v>
      </c>
      <c r="L618" s="385"/>
      <c r="M618" s="386"/>
      <c r="N618" s="386"/>
      <c r="O618" s="386"/>
      <c r="P618" s="386"/>
      <c r="Q618" s="386"/>
    </row>
    <row r="619" spans="1:17" ht="30" customHeight="1" x14ac:dyDescent="0.2">
      <c r="A619" s="4464"/>
      <c r="B619" s="4488"/>
      <c r="C619" s="4537"/>
      <c r="D619" s="4325"/>
      <c r="E619" s="4326"/>
      <c r="F619" s="4563"/>
      <c r="G619" s="4469" t="s">
        <v>3585</v>
      </c>
      <c r="H619" s="4470"/>
      <c r="I619" s="4470"/>
      <c r="J619" s="4471"/>
      <c r="K619" s="4603"/>
      <c r="L619" s="385"/>
      <c r="M619" s="386"/>
      <c r="N619" s="386"/>
      <c r="O619" s="386"/>
      <c r="P619" s="386"/>
      <c r="Q619" s="386"/>
    </row>
    <row r="620" spans="1:17" ht="30" customHeight="1" x14ac:dyDescent="0.2">
      <c r="A620" s="4464"/>
      <c r="B620" s="4488"/>
      <c r="C620" s="4540"/>
      <c r="D620" s="4612"/>
      <c r="E620" s="4359"/>
      <c r="F620" s="4613"/>
      <c r="G620" s="4469" t="s">
        <v>3586</v>
      </c>
      <c r="H620" s="4470"/>
      <c r="I620" s="4470"/>
      <c r="J620" s="4471"/>
      <c r="K620" s="4609"/>
      <c r="L620" s="385"/>
      <c r="M620" s="386"/>
      <c r="N620" s="386"/>
      <c r="O620" s="386"/>
      <c r="P620" s="386"/>
      <c r="Q620" s="386"/>
    </row>
    <row r="621" spans="1:17" ht="30" customHeight="1" x14ac:dyDescent="0.2">
      <c r="A621" s="4464"/>
      <c r="B621" s="4488"/>
      <c r="C621" s="4540"/>
      <c r="D621" s="4612"/>
      <c r="E621" s="4359"/>
      <c r="F621" s="4613"/>
      <c r="G621" s="4469" t="s">
        <v>3587</v>
      </c>
      <c r="H621" s="4470"/>
      <c r="I621" s="4470"/>
      <c r="J621" s="4471"/>
      <c r="K621" s="4609"/>
      <c r="L621" s="385"/>
      <c r="M621" s="386"/>
      <c r="N621" s="386"/>
      <c r="O621" s="386"/>
      <c r="P621" s="386"/>
      <c r="Q621" s="386"/>
    </row>
    <row r="622" spans="1:17" ht="30" customHeight="1" x14ac:dyDescent="0.2">
      <c r="A622" s="4464"/>
      <c r="B622" s="4488"/>
      <c r="C622" s="4540"/>
      <c r="D622" s="4564"/>
      <c r="E622" s="4596"/>
      <c r="F622" s="4565"/>
      <c r="G622" s="4469" t="s">
        <v>3588</v>
      </c>
      <c r="H622" s="4470"/>
      <c r="I622" s="4470"/>
      <c r="J622" s="4471"/>
      <c r="K622" s="4604"/>
      <c r="L622" s="385"/>
      <c r="M622" s="386"/>
      <c r="N622" s="386"/>
      <c r="O622" s="386"/>
      <c r="P622" s="386"/>
      <c r="Q622" s="386"/>
    </row>
    <row r="623" spans="1:17" ht="30" customHeight="1" x14ac:dyDescent="0.2">
      <c r="A623" s="4460"/>
      <c r="B623" s="4458"/>
      <c r="C623" s="4538"/>
      <c r="D623" s="1665">
        <v>70000000</v>
      </c>
      <c r="E623" s="1670"/>
      <c r="F623" s="1665"/>
      <c r="G623" s="1666"/>
      <c r="H623" s="1668"/>
      <c r="I623" s="1668"/>
      <c r="J623" s="1667"/>
      <c r="K623" s="1669"/>
      <c r="L623" s="385"/>
      <c r="M623" s="386"/>
      <c r="N623" s="386"/>
      <c r="O623" s="386"/>
      <c r="P623" s="386"/>
      <c r="Q623" s="386"/>
    </row>
    <row r="624" spans="1:17" ht="30" customHeight="1" x14ac:dyDescent="0.2">
      <c r="A624" s="4459"/>
      <c r="B624" s="677" t="s">
        <v>2052</v>
      </c>
      <c r="C624" s="4858" t="s">
        <v>1306</v>
      </c>
      <c r="D624" s="679">
        <v>600000000</v>
      </c>
      <c r="E624" s="680">
        <v>0.06</v>
      </c>
      <c r="F624" s="679">
        <f>D624*E624</f>
        <v>36000000</v>
      </c>
      <c r="G624" s="4413"/>
      <c r="H624" s="4413"/>
      <c r="I624" s="4789"/>
      <c r="J624" s="4413"/>
      <c r="K624" s="1505"/>
      <c r="L624" s="385" t="s">
        <v>2036</v>
      </c>
      <c r="M624" s="386"/>
      <c r="N624" s="386"/>
      <c r="O624" s="386"/>
      <c r="P624" s="386"/>
      <c r="Q624" s="386"/>
    </row>
    <row r="625" spans="1:17" ht="30" customHeight="1" x14ac:dyDescent="0.2">
      <c r="A625" s="4464"/>
      <c r="B625" s="677" t="s">
        <v>2049</v>
      </c>
      <c r="C625" s="4859"/>
      <c r="D625" s="679">
        <v>310000000</v>
      </c>
      <c r="E625" s="680">
        <v>0.06</v>
      </c>
      <c r="F625" s="679">
        <f t="shared" ref="F625:F628" si="58">D625*E625</f>
        <v>18600000</v>
      </c>
      <c r="G625" s="4414"/>
      <c r="H625" s="4414"/>
      <c r="I625" s="4871"/>
      <c r="J625" s="4414"/>
      <c r="K625" s="1505"/>
      <c r="L625" s="385" t="s">
        <v>2036</v>
      </c>
      <c r="M625" s="386"/>
      <c r="N625" s="386"/>
      <c r="O625" s="386"/>
      <c r="P625" s="386"/>
      <c r="Q625" s="386"/>
    </row>
    <row r="626" spans="1:17" ht="30" customHeight="1" x14ac:dyDescent="0.2">
      <c r="A626" s="4464"/>
      <c r="B626" s="677" t="s">
        <v>2053</v>
      </c>
      <c r="C626" s="4859"/>
      <c r="D626" s="679">
        <v>50000000</v>
      </c>
      <c r="E626" s="680">
        <v>0.06</v>
      </c>
      <c r="F626" s="679">
        <f t="shared" si="58"/>
        <v>3000000</v>
      </c>
      <c r="G626" s="4414"/>
      <c r="H626" s="4414"/>
      <c r="I626" s="4871"/>
      <c r="J626" s="4414"/>
      <c r="K626" s="1505"/>
      <c r="L626" s="385" t="s">
        <v>2036</v>
      </c>
      <c r="M626" s="386"/>
      <c r="N626" s="386"/>
      <c r="O626" s="386"/>
      <c r="P626" s="386"/>
      <c r="Q626" s="386"/>
    </row>
    <row r="627" spans="1:17" ht="30" customHeight="1" x14ac:dyDescent="0.2">
      <c r="A627" s="4464"/>
      <c r="B627" s="677" t="s">
        <v>2050</v>
      </c>
      <c r="C627" s="4859"/>
      <c r="D627" s="679">
        <v>110000000</v>
      </c>
      <c r="E627" s="680">
        <v>0.06</v>
      </c>
      <c r="F627" s="679">
        <f t="shared" si="58"/>
        <v>6600000</v>
      </c>
      <c r="G627" s="4414"/>
      <c r="H627" s="4414"/>
      <c r="I627" s="4871"/>
      <c r="J627" s="4414"/>
      <c r="K627" s="1505"/>
      <c r="L627" s="385" t="s">
        <v>2036</v>
      </c>
      <c r="M627" s="386"/>
      <c r="N627" s="386"/>
      <c r="O627" s="386"/>
      <c r="P627" s="386"/>
      <c r="Q627" s="386"/>
    </row>
    <row r="628" spans="1:17" ht="30" customHeight="1" x14ac:dyDescent="0.2">
      <c r="A628" s="4464"/>
      <c r="B628" s="677" t="s">
        <v>2051</v>
      </c>
      <c r="C628" s="4860"/>
      <c r="D628" s="679">
        <v>100000000</v>
      </c>
      <c r="E628" s="680">
        <v>0.06</v>
      </c>
      <c r="F628" s="679">
        <f t="shared" si="58"/>
        <v>6000000</v>
      </c>
      <c r="G628" s="4415"/>
      <c r="H628" s="4415"/>
      <c r="I628" s="4790"/>
      <c r="J628" s="4415"/>
      <c r="K628" s="1505"/>
      <c r="L628" s="385" t="s">
        <v>2036</v>
      </c>
      <c r="M628" s="386"/>
      <c r="N628" s="386"/>
      <c r="O628" s="386"/>
      <c r="P628" s="386"/>
      <c r="Q628" s="386"/>
    </row>
    <row r="629" spans="1:17" ht="30" customHeight="1" x14ac:dyDescent="0.2">
      <c r="A629" s="4464"/>
      <c r="B629" s="4813" t="s">
        <v>3423</v>
      </c>
      <c r="C629" s="4858" t="s">
        <v>1306</v>
      </c>
      <c r="D629" s="4861">
        <f>SUM(D624:D628)</f>
        <v>1170000000</v>
      </c>
      <c r="E629" s="4802"/>
      <c r="F629" s="4861">
        <f>SUM(F624:F628)</f>
        <v>70200000</v>
      </c>
      <c r="G629" s="1469">
        <v>20000000</v>
      </c>
      <c r="H629" s="1469" t="s">
        <v>3421</v>
      </c>
      <c r="I629" s="473" t="s">
        <v>3422</v>
      </c>
      <c r="J629" s="4413">
        <f>G629+G630</f>
        <v>60200000</v>
      </c>
      <c r="K629" s="4603">
        <f>F629-J629</f>
        <v>10000000</v>
      </c>
      <c r="L629" s="4603"/>
      <c r="M629" s="386"/>
      <c r="N629" s="386"/>
      <c r="O629" s="386"/>
      <c r="P629" s="386"/>
      <c r="Q629" s="386"/>
    </row>
    <row r="630" spans="1:17" ht="30" customHeight="1" x14ac:dyDescent="0.2">
      <c r="A630" s="4460"/>
      <c r="B630" s="4814"/>
      <c r="C630" s="4860"/>
      <c r="D630" s="4863"/>
      <c r="E630" s="4803"/>
      <c r="F630" s="4863"/>
      <c r="G630" s="1558">
        <v>40200000</v>
      </c>
      <c r="H630" s="1558" t="s">
        <v>3440</v>
      </c>
      <c r="I630" s="473">
        <v>8792421809</v>
      </c>
      <c r="J630" s="4415"/>
      <c r="K630" s="4604"/>
      <c r="L630" s="4604"/>
      <c r="M630" s="386"/>
      <c r="N630" s="386"/>
      <c r="O630" s="386"/>
      <c r="P630" s="386"/>
      <c r="Q630" s="386"/>
    </row>
    <row r="631" spans="1:17" ht="30" customHeight="1" x14ac:dyDescent="0.2">
      <c r="A631" s="1519"/>
      <c r="B631" s="1517" t="s">
        <v>2069</v>
      </c>
      <c r="C631" s="1518"/>
      <c r="D631" s="1489">
        <v>200000000</v>
      </c>
      <c r="E631" s="1516">
        <v>7.0000000000000007E-2</v>
      </c>
      <c r="F631" s="1489">
        <f t="shared" ref="F631:F635" si="59">D631*E631</f>
        <v>14000000.000000002</v>
      </c>
      <c r="G631" s="1469">
        <v>14000000</v>
      </c>
      <c r="H631" s="1469" t="s">
        <v>3886</v>
      </c>
      <c r="I631" s="473" t="s">
        <v>1076</v>
      </c>
      <c r="J631" s="1489">
        <f>G631</f>
        <v>14000000</v>
      </c>
      <c r="K631" s="1457">
        <f>F631-J631</f>
        <v>0</v>
      </c>
      <c r="L631" s="1504"/>
      <c r="M631" s="386"/>
      <c r="N631" s="386"/>
      <c r="O631" s="386"/>
      <c r="P631" s="386"/>
      <c r="Q631" s="386"/>
    </row>
    <row r="632" spans="1:17" ht="30" customHeight="1" x14ac:dyDescent="0.2">
      <c r="A632" s="1464"/>
      <c r="B632" s="1461" t="s">
        <v>2089</v>
      </c>
      <c r="C632" s="1488"/>
      <c r="D632" s="1469">
        <v>13000000</v>
      </c>
      <c r="E632" s="1516">
        <v>0.05</v>
      </c>
      <c r="F632" s="1469">
        <f t="shared" si="59"/>
        <v>650000</v>
      </c>
      <c r="G632" s="1469">
        <v>650000</v>
      </c>
      <c r="H632" s="1469" t="s">
        <v>3676</v>
      </c>
      <c r="I632" s="473" t="s">
        <v>2984</v>
      </c>
      <c r="J632" s="1469">
        <f>G632</f>
        <v>650000</v>
      </c>
      <c r="K632" s="1505">
        <f>F632-J632</f>
        <v>0</v>
      </c>
      <c r="L632" s="385"/>
      <c r="M632" s="386"/>
      <c r="N632" s="386"/>
      <c r="O632" s="386"/>
      <c r="P632" s="386"/>
      <c r="Q632" s="386"/>
    </row>
    <row r="633" spans="1:17" ht="30" customHeight="1" x14ac:dyDescent="0.2">
      <c r="A633" s="1464"/>
      <c r="B633" s="1461" t="s">
        <v>2128</v>
      </c>
      <c r="C633" s="1488" t="s">
        <v>1287</v>
      </c>
      <c r="D633" s="1469">
        <v>50000000</v>
      </c>
      <c r="E633" s="1516">
        <v>0.04</v>
      </c>
      <c r="F633" s="1469">
        <f t="shared" si="59"/>
        <v>2000000</v>
      </c>
      <c r="G633" s="1469">
        <v>2000000</v>
      </c>
      <c r="H633" s="1469" t="s">
        <v>3943</v>
      </c>
      <c r="I633" s="473" t="s">
        <v>2169</v>
      </c>
      <c r="J633" s="1469">
        <f>G633</f>
        <v>2000000</v>
      </c>
      <c r="K633" s="1505">
        <f>F633-G633</f>
        <v>0</v>
      </c>
      <c r="L633" s="385"/>
      <c r="M633" s="386"/>
      <c r="N633" s="386"/>
      <c r="O633" s="386"/>
      <c r="P633" s="386"/>
      <c r="Q633" s="386"/>
    </row>
    <row r="634" spans="1:17" ht="30" customHeight="1" x14ac:dyDescent="0.2">
      <c r="A634" s="1637"/>
      <c r="B634" s="1653" t="s">
        <v>2129</v>
      </c>
      <c r="C634" s="345"/>
      <c r="D634" s="1640">
        <v>100000000</v>
      </c>
      <c r="E634" s="1638">
        <v>0.05</v>
      </c>
      <c r="F634" s="1640">
        <f t="shared" si="59"/>
        <v>5000000</v>
      </c>
      <c r="G634" s="1641">
        <v>5000000</v>
      </c>
      <c r="H634" s="1641" t="s">
        <v>3558</v>
      </c>
      <c r="I634" s="1664" t="s">
        <v>3581</v>
      </c>
      <c r="J634" s="1640">
        <f>G634</f>
        <v>5000000</v>
      </c>
      <c r="K634" s="1650">
        <f>F634-J634</f>
        <v>0</v>
      </c>
      <c r="L634" s="1650"/>
      <c r="M634" s="386"/>
      <c r="N634" s="386"/>
      <c r="O634" s="386"/>
      <c r="P634" s="386"/>
      <c r="Q634" s="386"/>
    </row>
    <row r="635" spans="1:17" s="1540" customFormat="1" ht="30" customHeight="1" x14ac:dyDescent="0.2">
      <c r="A635" s="1657"/>
      <c r="B635" s="1656" t="s">
        <v>2208</v>
      </c>
      <c r="C635" s="1655" t="s">
        <v>1306</v>
      </c>
      <c r="D635" s="1648">
        <v>30000000</v>
      </c>
      <c r="E635" s="1654">
        <v>0.05</v>
      </c>
      <c r="F635" s="1648">
        <f t="shared" si="59"/>
        <v>1500000</v>
      </c>
      <c r="G635" s="1648">
        <v>1500000</v>
      </c>
      <c r="H635" s="1648" t="s">
        <v>2599</v>
      </c>
      <c r="I635" s="1648" t="s">
        <v>3204</v>
      </c>
      <c r="J635" s="1648">
        <f>G635</f>
        <v>1500000</v>
      </c>
      <c r="K635" s="1648">
        <f>F635-J635</f>
        <v>0</v>
      </c>
      <c r="L635" s="385"/>
      <c r="M635" s="387"/>
      <c r="N635" s="387"/>
      <c r="O635" s="387"/>
      <c r="P635" s="387"/>
      <c r="Q635" s="387"/>
    </row>
    <row r="636" spans="1:17" ht="30" customHeight="1" x14ac:dyDescent="0.2">
      <c r="A636" s="1464"/>
      <c r="B636" s="1461" t="s">
        <v>2292</v>
      </c>
      <c r="C636" s="1488"/>
      <c r="D636" s="1478"/>
      <c r="E636" s="40"/>
      <c r="F636" s="1478"/>
      <c r="G636" s="1469"/>
      <c r="H636" s="1469"/>
      <c r="I636" s="473"/>
      <c r="J636" s="1469">
        <f t="shared" ref="J636:J644" si="60">G636</f>
        <v>0</v>
      </c>
      <c r="K636" s="1510"/>
      <c r="L636" s="385" t="s">
        <v>2079</v>
      </c>
      <c r="M636" s="386"/>
      <c r="N636" s="386"/>
      <c r="O636" s="386"/>
      <c r="P636" s="386"/>
      <c r="Q636" s="386"/>
    </row>
    <row r="637" spans="1:17" ht="30" customHeight="1" x14ac:dyDescent="0.2">
      <c r="A637" s="1464"/>
      <c r="B637" s="2573" t="s">
        <v>2303</v>
      </c>
      <c r="C637" s="2574"/>
      <c r="D637" s="2571">
        <v>100000000</v>
      </c>
      <c r="E637" s="2576">
        <v>4.4999999999999998E-2</v>
      </c>
      <c r="F637" s="2571">
        <f>D637*E637</f>
        <v>4500000</v>
      </c>
      <c r="G637" s="2571">
        <v>9000000</v>
      </c>
      <c r="H637" s="2571" t="s">
        <v>1189</v>
      </c>
      <c r="I637" s="473" t="s">
        <v>2304</v>
      </c>
      <c r="J637" s="2571">
        <f t="shared" si="60"/>
        <v>9000000</v>
      </c>
      <c r="K637" s="2575">
        <f>F637-J637</f>
        <v>-4500000</v>
      </c>
      <c r="L637" s="385" t="s">
        <v>3755</v>
      </c>
      <c r="M637" s="386"/>
      <c r="N637" s="386"/>
      <c r="O637" s="386"/>
      <c r="P637" s="386"/>
      <c r="Q637" s="386"/>
    </row>
    <row r="638" spans="1:17" ht="30" customHeight="1" x14ac:dyDescent="0.2">
      <c r="A638" s="1464"/>
      <c r="B638" s="1461" t="s">
        <v>2344</v>
      </c>
      <c r="C638" s="1488" t="s">
        <v>1306</v>
      </c>
      <c r="D638" s="1469">
        <v>25000000</v>
      </c>
      <c r="E638" s="1516">
        <v>0.04</v>
      </c>
      <c r="F638" s="1469">
        <f>D638*E638</f>
        <v>1000000</v>
      </c>
      <c r="G638" s="1469"/>
      <c r="H638" s="1469"/>
      <c r="I638" s="473"/>
      <c r="J638" s="1469">
        <f t="shared" si="60"/>
        <v>0</v>
      </c>
      <c r="K638" s="1505">
        <f>F638-J638</f>
        <v>1000000</v>
      </c>
      <c r="L638" s="385"/>
      <c r="M638" s="386"/>
      <c r="N638" s="386"/>
      <c r="O638" s="386"/>
      <c r="P638" s="386"/>
      <c r="Q638" s="386"/>
    </row>
    <row r="639" spans="1:17" ht="30" customHeight="1" x14ac:dyDescent="0.2">
      <c r="A639" s="1464"/>
      <c r="B639" s="1461" t="s">
        <v>2385</v>
      </c>
      <c r="C639" s="1488"/>
      <c r="D639" s="1478"/>
      <c r="E639" s="40"/>
      <c r="F639" s="1478"/>
      <c r="G639" s="1469"/>
      <c r="H639" s="1469"/>
      <c r="I639" s="473"/>
      <c r="J639" s="1469">
        <f t="shared" si="60"/>
        <v>0</v>
      </c>
      <c r="K639" s="1510">
        <f>F639-J639</f>
        <v>0</v>
      </c>
      <c r="L639" s="385"/>
      <c r="M639" s="386"/>
      <c r="N639" s="386"/>
      <c r="O639" s="386"/>
      <c r="P639" s="386"/>
      <c r="Q639" s="386"/>
    </row>
    <row r="640" spans="1:17" ht="30" customHeight="1" x14ac:dyDescent="0.2">
      <c r="A640" s="4459"/>
      <c r="B640" s="4599" t="s">
        <v>2388</v>
      </c>
      <c r="C640" s="4537" t="s">
        <v>4748</v>
      </c>
      <c r="D640" s="4325" t="s">
        <v>4746</v>
      </c>
      <c r="E640" s="4326"/>
      <c r="F640" s="4563"/>
      <c r="G640" s="1469">
        <v>20000000</v>
      </c>
      <c r="H640" s="1469" t="s">
        <v>3607</v>
      </c>
      <c r="I640" s="473" t="s">
        <v>3619</v>
      </c>
      <c r="J640" s="4413">
        <f>G640+G641+G642</f>
        <v>60000000</v>
      </c>
      <c r="K640" s="4603"/>
      <c r="L640" s="4603"/>
      <c r="M640" s="386"/>
      <c r="N640" s="386"/>
      <c r="O640" s="386"/>
      <c r="P640" s="386"/>
      <c r="Q640" s="386"/>
    </row>
    <row r="641" spans="1:17" ht="30" customHeight="1" x14ac:dyDescent="0.2">
      <c r="A641" s="4464"/>
      <c r="B641" s="4600"/>
      <c r="C641" s="4540"/>
      <c r="D641" s="4612"/>
      <c r="E641" s="4359"/>
      <c r="F641" s="4613"/>
      <c r="G641" s="1689">
        <v>20000000</v>
      </c>
      <c r="H641" s="1689" t="s">
        <v>3660</v>
      </c>
      <c r="I641" s="473" t="s">
        <v>3619</v>
      </c>
      <c r="J641" s="4414"/>
      <c r="K641" s="4609"/>
      <c r="L641" s="4609"/>
      <c r="M641" s="386"/>
      <c r="N641" s="386"/>
      <c r="O641" s="386"/>
      <c r="P641" s="386"/>
      <c r="Q641" s="386"/>
    </row>
    <row r="642" spans="1:17" ht="30" customHeight="1" x14ac:dyDescent="0.2">
      <c r="A642" s="4464"/>
      <c r="B642" s="4600"/>
      <c r="C642" s="4540"/>
      <c r="D642" s="4564"/>
      <c r="E642" s="4596"/>
      <c r="F642" s="4565"/>
      <c r="G642" s="2733">
        <v>20000000</v>
      </c>
      <c r="H642" s="2733" t="s">
        <v>3676</v>
      </c>
      <c r="I642" s="473" t="s">
        <v>3619</v>
      </c>
      <c r="J642" s="4415"/>
      <c r="K642" s="4604"/>
      <c r="L642" s="2741"/>
      <c r="M642" s="386"/>
      <c r="N642" s="386"/>
      <c r="O642" s="386"/>
      <c r="P642" s="386"/>
      <c r="Q642" s="386"/>
    </row>
    <row r="643" spans="1:17" ht="30" customHeight="1" x14ac:dyDescent="0.2">
      <c r="A643" s="4460"/>
      <c r="B643" s="4607"/>
      <c r="C643" s="4538"/>
      <c r="D643" s="2731">
        <v>25000000</v>
      </c>
      <c r="E643" s="2742">
        <v>0.05</v>
      </c>
      <c r="F643" s="2731">
        <f t="shared" ref="F643:F648" si="61">D643*E643</f>
        <v>1250000</v>
      </c>
      <c r="G643" s="4469" t="s">
        <v>4747</v>
      </c>
      <c r="H643" s="4470"/>
      <c r="I643" s="4470"/>
      <c r="J643" s="4471"/>
      <c r="K643" s="2741"/>
      <c r="L643" s="2741"/>
      <c r="M643" s="386"/>
      <c r="N643" s="386"/>
      <c r="O643" s="386"/>
      <c r="P643" s="386"/>
      <c r="Q643" s="386"/>
    </row>
    <row r="644" spans="1:17" ht="30" customHeight="1" x14ac:dyDescent="0.2">
      <c r="A644" s="4459"/>
      <c r="B644" s="4457" t="s">
        <v>2647</v>
      </c>
      <c r="C644" s="4620" t="s">
        <v>1652</v>
      </c>
      <c r="D644" s="1469">
        <v>100000000</v>
      </c>
      <c r="E644" s="1516">
        <v>0.05</v>
      </c>
      <c r="F644" s="1469">
        <f t="shared" si="61"/>
        <v>5000000</v>
      </c>
      <c r="G644" s="1489">
        <v>5000000</v>
      </c>
      <c r="H644" s="1489" t="s">
        <v>3440</v>
      </c>
      <c r="I644" s="1489" t="s">
        <v>2648</v>
      </c>
      <c r="J644" s="1489">
        <f t="shared" si="60"/>
        <v>5000000</v>
      </c>
      <c r="K644" s="1505">
        <f>F644-J644</f>
        <v>0</v>
      </c>
      <c r="L644" s="385" t="s">
        <v>3213</v>
      </c>
      <c r="M644" s="386"/>
      <c r="N644" s="386"/>
      <c r="O644" s="386"/>
      <c r="P644" s="386"/>
      <c r="Q644" s="386"/>
    </row>
    <row r="645" spans="1:17" ht="30" customHeight="1" x14ac:dyDescent="0.2">
      <c r="A645" s="4464"/>
      <c r="B645" s="4488"/>
      <c r="C645" s="4620"/>
      <c r="D645" s="1469">
        <v>220000000</v>
      </c>
      <c r="E645" s="1516">
        <v>0.05</v>
      </c>
      <c r="F645" s="1469">
        <f t="shared" si="61"/>
        <v>11000000</v>
      </c>
      <c r="G645" s="4469" t="s">
        <v>3212</v>
      </c>
      <c r="H645" s="4470"/>
      <c r="I645" s="4470"/>
      <c r="J645" s="4471"/>
      <c r="K645" s="1505"/>
      <c r="L645" s="385" t="s">
        <v>3391</v>
      </c>
      <c r="M645" s="386"/>
      <c r="N645" s="386"/>
      <c r="O645" s="386"/>
      <c r="P645" s="386"/>
      <c r="Q645" s="386"/>
    </row>
    <row r="646" spans="1:17" ht="30" customHeight="1" x14ac:dyDescent="0.2">
      <c r="A646" s="4460"/>
      <c r="B646" s="4458"/>
      <c r="C646" s="1722" t="s">
        <v>3390</v>
      </c>
      <c r="D646" s="1718">
        <v>1000000000</v>
      </c>
      <c r="E646" s="1727">
        <v>6.5000000000000002E-2</v>
      </c>
      <c r="F646" s="1718">
        <f t="shared" si="61"/>
        <v>65000000</v>
      </c>
      <c r="G646" s="4469" t="s">
        <v>3690</v>
      </c>
      <c r="H646" s="4470"/>
      <c r="I646" s="4470"/>
      <c r="J646" s="4471"/>
      <c r="K646" s="1726"/>
      <c r="L646" s="385"/>
      <c r="M646" s="386"/>
      <c r="N646" s="386"/>
      <c r="O646" s="386"/>
      <c r="P646" s="386"/>
      <c r="Q646" s="386"/>
    </row>
    <row r="647" spans="1:17" ht="30" customHeight="1" x14ac:dyDescent="0.2">
      <c r="A647" s="1464"/>
      <c r="B647" s="1461" t="s">
        <v>2407</v>
      </c>
      <c r="C647" s="1488"/>
      <c r="D647" s="1469">
        <v>20000000</v>
      </c>
      <c r="E647" s="1516">
        <v>0.05</v>
      </c>
      <c r="F647" s="1469">
        <f t="shared" si="61"/>
        <v>1000000</v>
      </c>
      <c r="G647" s="1469">
        <v>1000000</v>
      </c>
      <c r="H647" s="1469" t="s">
        <v>3692</v>
      </c>
      <c r="I647" s="473" t="s">
        <v>2994</v>
      </c>
      <c r="J647" s="1469">
        <f>G647</f>
        <v>1000000</v>
      </c>
      <c r="K647" s="1505">
        <f>F647-J647</f>
        <v>0</v>
      </c>
      <c r="L647" s="385"/>
      <c r="M647" s="386"/>
      <c r="N647" s="386"/>
      <c r="O647" s="386"/>
      <c r="P647" s="386"/>
      <c r="Q647" s="386"/>
    </row>
    <row r="648" spans="1:17" ht="30" customHeight="1" x14ac:dyDescent="0.2">
      <c r="A648" s="4459"/>
      <c r="B648" s="4457" t="s">
        <v>2471</v>
      </c>
      <c r="C648" s="4537" t="s">
        <v>889</v>
      </c>
      <c r="D648" s="1469">
        <v>51000000</v>
      </c>
      <c r="E648" s="1516">
        <v>0.06</v>
      </c>
      <c r="F648" s="1469">
        <f t="shared" si="61"/>
        <v>3060000</v>
      </c>
      <c r="G648" s="4303" t="s">
        <v>3511</v>
      </c>
      <c r="H648" s="4324"/>
      <c r="I648" s="4324"/>
      <c r="J648" s="4324"/>
      <c r="K648" s="1605"/>
      <c r="L648" s="385"/>
      <c r="M648" s="386"/>
      <c r="N648" s="386"/>
      <c r="O648" s="386"/>
      <c r="P648" s="386"/>
      <c r="Q648" s="386"/>
    </row>
    <row r="649" spans="1:17" ht="30" customHeight="1" x14ac:dyDescent="0.2">
      <c r="A649" s="4464"/>
      <c r="B649" s="4488"/>
      <c r="C649" s="4540"/>
      <c r="D649" s="1469">
        <f>D648+F648+F648</f>
        <v>57120000</v>
      </c>
      <c r="E649" s="1516">
        <v>0.06</v>
      </c>
      <c r="F649" s="1469">
        <v>3425000</v>
      </c>
      <c r="G649" s="4303" t="s">
        <v>3512</v>
      </c>
      <c r="H649" s="4324"/>
      <c r="I649" s="4324"/>
      <c r="J649" s="4355"/>
      <c r="K649" s="1483"/>
      <c r="L649" s="385"/>
      <c r="M649" s="386"/>
      <c r="N649" s="386"/>
      <c r="O649" s="386"/>
      <c r="P649" s="386"/>
      <c r="Q649" s="386"/>
    </row>
    <row r="650" spans="1:17" ht="30" customHeight="1" x14ac:dyDescent="0.2">
      <c r="A650" s="4460"/>
      <c r="B650" s="4458"/>
      <c r="C650" s="4538"/>
      <c r="D650" s="1469"/>
      <c r="E650" s="1516"/>
      <c r="F650" s="1469"/>
      <c r="G650" s="1632">
        <v>3427000</v>
      </c>
      <c r="H650" s="1632" t="s">
        <v>3485</v>
      </c>
      <c r="I650" s="1632" t="s">
        <v>3510</v>
      </c>
      <c r="J650" s="1632">
        <f>G650</f>
        <v>3427000</v>
      </c>
      <c r="K650" s="1483"/>
      <c r="L650" s="385" t="s">
        <v>3373</v>
      </c>
      <c r="M650" s="386"/>
      <c r="N650" s="386"/>
      <c r="O650" s="386"/>
      <c r="P650" s="386"/>
      <c r="Q650" s="386"/>
    </row>
    <row r="651" spans="1:17" ht="30" customHeight="1" x14ac:dyDescent="0.2">
      <c r="A651" s="4459"/>
      <c r="B651" s="4457" t="s">
        <v>2517</v>
      </c>
      <c r="C651" s="4537" t="s">
        <v>1080</v>
      </c>
      <c r="D651" s="1469">
        <v>80000000</v>
      </c>
      <c r="E651" s="1516">
        <v>0.05</v>
      </c>
      <c r="F651" s="1558">
        <f>D651*E651</f>
        <v>4000000</v>
      </c>
      <c r="G651" s="1563">
        <v>4000000</v>
      </c>
      <c r="H651" s="1563" t="s">
        <v>3362</v>
      </c>
      <c r="I651" s="1563" t="s">
        <v>3402</v>
      </c>
      <c r="J651" s="1563">
        <f>G651</f>
        <v>4000000</v>
      </c>
      <c r="K651" s="1563">
        <f>F651-J651</f>
        <v>0</v>
      </c>
      <c r="L651" s="385" t="s">
        <v>2991</v>
      </c>
      <c r="M651" s="386"/>
      <c r="N651" s="386"/>
      <c r="O651" s="386"/>
      <c r="P651" s="386"/>
      <c r="Q651" s="386"/>
    </row>
    <row r="652" spans="1:17" ht="30" customHeight="1" x14ac:dyDescent="0.2">
      <c r="A652" s="4464"/>
      <c r="B652" s="4488"/>
      <c r="C652" s="4540"/>
      <c r="D652" s="2731">
        <v>80000000</v>
      </c>
      <c r="E652" s="2742">
        <v>0.05</v>
      </c>
      <c r="F652" s="2731">
        <f>D652*E652</f>
        <v>4000000</v>
      </c>
      <c r="G652" s="4469" t="s">
        <v>4735</v>
      </c>
      <c r="H652" s="4470"/>
      <c r="I652" s="4470"/>
      <c r="J652" s="4471"/>
      <c r="K652" s="2732"/>
      <c r="L652" s="2743"/>
      <c r="M652" s="386"/>
      <c r="N652" s="386"/>
      <c r="O652" s="386"/>
      <c r="P652" s="386"/>
      <c r="Q652" s="386"/>
    </row>
    <row r="653" spans="1:17" ht="30" customHeight="1" x14ac:dyDescent="0.2">
      <c r="A653" s="4460"/>
      <c r="B653" s="4458"/>
      <c r="C653" s="4540"/>
      <c r="D653" s="2736">
        <v>30000000</v>
      </c>
      <c r="E653" s="2735">
        <v>0.05</v>
      </c>
      <c r="F653" s="2736">
        <f>D653*E653</f>
        <v>1500000</v>
      </c>
      <c r="G653" s="4793" t="s">
        <v>4734</v>
      </c>
      <c r="H653" s="4794"/>
      <c r="I653" s="4794"/>
      <c r="J653" s="4795"/>
      <c r="K653" s="2732"/>
      <c r="L653" s="2743"/>
      <c r="M653" s="386"/>
      <c r="N653" s="386"/>
      <c r="O653" s="386"/>
      <c r="P653" s="386"/>
      <c r="Q653" s="386"/>
    </row>
    <row r="654" spans="1:17" ht="30" customHeight="1" x14ac:dyDescent="0.2">
      <c r="A654" s="4459"/>
      <c r="B654" s="4457" t="s">
        <v>2551</v>
      </c>
      <c r="C654" s="4620"/>
      <c r="D654" s="3297">
        <v>10000000</v>
      </c>
      <c r="E654" s="3303"/>
      <c r="F654" s="3297"/>
      <c r="G654" s="3297"/>
      <c r="H654" s="3297"/>
      <c r="I654" s="2696"/>
      <c r="J654" s="3297"/>
      <c r="K654" s="3286"/>
      <c r="L654" s="385" t="s">
        <v>2552</v>
      </c>
      <c r="M654" s="386"/>
      <c r="N654" s="386"/>
      <c r="O654" s="386"/>
      <c r="P654" s="386"/>
      <c r="Q654" s="386"/>
    </row>
    <row r="655" spans="1:17" ht="30" customHeight="1" x14ac:dyDescent="0.2">
      <c r="A655" s="4460"/>
      <c r="B655" s="4458"/>
      <c r="C655" s="4620"/>
      <c r="D655" s="3297">
        <v>5000000</v>
      </c>
      <c r="E655" s="3303"/>
      <c r="F655" s="3297"/>
      <c r="G655" s="3297"/>
      <c r="H655" s="3297"/>
      <c r="I655" s="2696"/>
      <c r="J655" s="3297"/>
      <c r="K655" s="3286"/>
      <c r="L655" s="1880" t="s">
        <v>4204</v>
      </c>
      <c r="M655" s="386"/>
      <c r="N655" s="386"/>
      <c r="O655" s="386"/>
      <c r="P655" s="386"/>
      <c r="Q655" s="386"/>
    </row>
    <row r="656" spans="1:17" ht="30" customHeight="1" x14ac:dyDescent="0.2">
      <c r="A656" s="1629"/>
      <c r="B656" s="1635" t="s">
        <v>2714</v>
      </c>
      <c r="C656" s="1634" t="s">
        <v>262</v>
      </c>
      <c r="D656" s="1632">
        <v>186000000</v>
      </c>
      <c r="E656" s="1633">
        <v>5.5E-2</v>
      </c>
      <c r="F656" s="1632">
        <f>D656*E656</f>
        <v>10230000</v>
      </c>
      <c r="G656" s="1632">
        <v>9000000</v>
      </c>
      <c r="H656" s="1632" t="s">
        <v>3485</v>
      </c>
      <c r="I656" s="1030" t="s">
        <v>3103</v>
      </c>
      <c r="J656" s="1632">
        <f>G656</f>
        <v>9000000</v>
      </c>
      <c r="K656" s="1627">
        <f>F656-J656</f>
        <v>1230000</v>
      </c>
      <c r="L656" s="1636" t="s">
        <v>3523</v>
      </c>
      <c r="M656" s="386"/>
      <c r="N656" s="386"/>
      <c r="O656" s="386"/>
      <c r="P656" s="386"/>
      <c r="Q656" s="386"/>
    </row>
    <row r="657" spans="1:17" ht="30" customHeight="1" x14ac:dyDescent="0.2">
      <c r="A657" s="1519"/>
      <c r="B657" s="1628" t="s">
        <v>2573</v>
      </c>
      <c r="C657" s="1631"/>
      <c r="D657" s="1469">
        <v>60000000</v>
      </c>
      <c r="E657" s="1630">
        <v>5.5E-2</v>
      </c>
      <c r="F657" s="1469">
        <f>D657*E657</f>
        <v>3300000</v>
      </c>
      <c r="G657" s="1469">
        <v>3300000</v>
      </c>
      <c r="H657" s="1469" t="s">
        <v>3485</v>
      </c>
      <c r="I657" s="473" t="s">
        <v>3103</v>
      </c>
      <c r="J657" s="1469">
        <f>G657</f>
        <v>3300000</v>
      </c>
      <c r="K657" s="1505">
        <f>F657-J657</f>
        <v>0</v>
      </c>
      <c r="L657" s="385" t="s">
        <v>3522</v>
      </c>
      <c r="M657" s="386"/>
      <c r="N657" s="386"/>
      <c r="O657" s="386"/>
      <c r="P657" s="386"/>
      <c r="Q657" s="386"/>
    </row>
    <row r="658" spans="1:17" ht="30" customHeight="1" x14ac:dyDescent="0.2">
      <c r="A658" s="1464"/>
      <c r="B658" s="1461" t="s">
        <v>2609</v>
      </c>
      <c r="C658" s="1488"/>
      <c r="D658" s="1478"/>
      <c r="E658" s="40"/>
      <c r="F658" s="1478"/>
      <c r="G658" s="1469"/>
      <c r="H658" s="1469"/>
      <c r="I658" s="473"/>
      <c r="J658" s="1469">
        <f>G658</f>
        <v>0</v>
      </c>
      <c r="K658" s="1510">
        <f>F658-J658</f>
        <v>0</v>
      </c>
      <c r="L658" s="385"/>
      <c r="M658" s="386"/>
      <c r="N658" s="386"/>
      <c r="O658" s="386"/>
      <c r="P658" s="386"/>
      <c r="Q658" s="386"/>
    </row>
    <row r="659" spans="1:17" ht="30" customHeight="1" x14ac:dyDescent="0.2">
      <c r="A659" s="4459"/>
      <c r="B659" s="4457" t="s">
        <v>2611</v>
      </c>
      <c r="C659" s="4537"/>
      <c r="D659" s="1830">
        <v>4215000000</v>
      </c>
      <c r="E659" s="1831">
        <v>0.05</v>
      </c>
      <c r="F659" s="1830">
        <f>D659*E659</f>
        <v>210750000</v>
      </c>
      <c r="G659" s="1469">
        <v>100000000</v>
      </c>
      <c r="H659" s="1469" t="s">
        <v>3893</v>
      </c>
      <c r="I659" s="473" t="s">
        <v>3894</v>
      </c>
      <c r="J659" s="4413">
        <f>G659+G660</f>
        <v>121050000</v>
      </c>
      <c r="K659" s="4603">
        <f>F663-J659</f>
        <v>690000000</v>
      </c>
      <c r="L659" s="4603"/>
      <c r="M659" s="386"/>
      <c r="N659" s="386"/>
      <c r="O659" s="386"/>
      <c r="P659" s="386"/>
      <c r="Q659" s="386"/>
    </row>
    <row r="660" spans="1:17" ht="30" customHeight="1" x14ac:dyDescent="0.2">
      <c r="A660" s="4464"/>
      <c r="B660" s="4488"/>
      <c r="C660" s="4540"/>
      <c r="D660" s="1830">
        <v>2000000000</v>
      </c>
      <c r="E660" s="1831">
        <v>7.0000000000000007E-2</v>
      </c>
      <c r="F660" s="1830">
        <f t="shared" ref="F660:F662" si="62">D660*E660</f>
        <v>140000000</v>
      </c>
      <c r="G660" s="1469">
        <v>21050000</v>
      </c>
      <c r="H660" s="1469" t="s">
        <v>3943</v>
      </c>
      <c r="I660" s="473" t="s">
        <v>2686</v>
      </c>
      <c r="J660" s="4415"/>
      <c r="K660" s="4604"/>
      <c r="L660" s="4604"/>
      <c r="M660" s="386"/>
      <c r="N660" s="386"/>
      <c r="O660" s="386"/>
      <c r="P660" s="386"/>
      <c r="Q660" s="386"/>
    </row>
    <row r="661" spans="1:17" ht="30" customHeight="1" x14ac:dyDescent="0.2">
      <c r="A661" s="4464"/>
      <c r="B661" s="4488"/>
      <c r="C661" s="4540"/>
      <c r="D661" s="1830">
        <v>3785000000</v>
      </c>
      <c r="E661" s="1831">
        <v>0.06</v>
      </c>
      <c r="F661" s="1830">
        <f t="shared" si="62"/>
        <v>227100000</v>
      </c>
      <c r="G661" s="4793" t="s">
        <v>4257</v>
      </c>
      <c r="H661" s="4794"/>
      <c r="I661" s="4794"/>
      <c r="J661" s="4795"/>
      <c r="K661" s="1943"/>
      <c r="L661" s="1502"/>
      <c r="M661" s="386"/>
      <c r="N661" s="386"/>
      <c r="O661" s="386"/>
      <c r="P661" s="386"/>
      <c r="Q661" s="386"/>
    </row>
    <row r="662" spans="1:17" ht="30" customHeight="1" x14ac:dyDescent="0.2">
      <c r="A662" s="4464"/>
      <c r="B662" s="4488"/>
      <c r="C662" s="4540"/>
      <c r="D662" s="1830">
        <v>2915000000</v>
      </c>
      <c r="E662" s="1831">
        <v>0.08</v>
      </c>
      <c r="F662" s="1830">
        <f t="shared" si="62"/>
        <v>233200000</v>
      </c>
      <c r="G662" s="4796"/>
      <c r="H662" s="4797"/>
      <c r="I662" s="4797"/>
      <c r="J662" s="4798"/>
      <c r="K662" s="1943"/>
      <c r="L662" s="1502"/>
      <c r="M662" s="386"/>
      <c r="N662" s="386"/>
      <c r="O662" s="386"/>
      <c r="P662" s="386"/>
      <c r="Q662" s="386"/>
    </row>
    <row r="663" spans="1:17" ht="30" customHeight="1" x14ac:dyDescent="0.2">
      <c r="A663" s="4460"/>
      <c r="B663" s="4488"/>
      <c r="C663" s="4540"/>
      <c r="D663" s="1856">
        <f>SUM(D659:D662)</f>
        <v>12915000000</v>
      </c>
      <c r="E663" s="1869"/>
      <c r="F663" s="1856">
        <f>SUM(F659:F662)</f>
        <v>811050000</v>
      </c>
      <c r="G663" s="4799"/>
      <c r="H663" s="4800"/>
      <c r="I663" s="4800"/>
      <c r="J663" s="4801"/>
      <c r="K663" s="1943"/>
      <c r="L663" s="1505"/>
      <c r="M663" s="386"/>
      <c r="N663" s="386"/>
      <c r="O663" s="386"/>
      <c r="P663" s="386"/>
      <c r="Q663" s="386"/>
    </row>
    <row r="664" spans="1:17" ht="30" customHeight="1" x14ac:dyDescent="0.2">
      <c r="A664" s="2037"/>
      <c r="B664" s="4458"/>
      <c r="C664" s="4538"/>
      <c r="D664" s="896">
        <v>690000000</v>
      </c>
      <c r="E664" s="1869"/>
      <c r="F664" s="896"/>
      <c r="G664" s="4469" t="s">
        <v>4256</v>
      </c>
      <c r="H664" s="4470"/>
      <c r="I664" s="4470"/>
      <c r="J664" s="4471"/>
      <c r="K664" s="2040"/>
      <c r="L664" s="2040"/>
      <c r="M664" s="386"/>
      <c r="N664" s="386"/>
      <c r="O664" s="386"/>
      <c r="P664" s="386"/>
      <c r="Q664" s="386"/>
    </row>
    <row r="665" spans="1:17" ht="30" customHeight="1" x14ac:dyDescent="0.2">
      <c r="A665" s="1519"/>
      <c r="B665" s="1091" t="s">
        <v>2622</v>
      </c>
      <c r="C665" s="1488"/>
      <c r="D665" s="2003">
        <v>100000000</v>
      </c>
      <c r="E665" s="2010">
        <v>4.4999999999999998E-2</v>
      </c>
      <c r="F665" s="2003">
        <f>D665*E665</f>
        <v>4500000</v>
      </c>
      <c r="G665" s="1469">
        <v>4500000</v>
      </c>
      <c r="H665" s="1469" t="s">
        <v>3463</v>
      </c>
      <c r="I665" s="473" t="s">
        <v>1728</v>
      </c>
      <c r="J665" s="1469">
        <f t="shared" ref="J665:J673" si="63">G665</f>
        <v>4500000</v>
      </c>
      <c r="K665" s="2009">
        <f t="shared" ref="K665:K674" si="64">F665-J665</f>
        <v>0</v>
      </c>
      <c r="L665" s="385"/>
      <c r="M665" s="386"/>
      <c r="N665" s="386"/>
      <c r="O665" s="386"/>
      <c r="P665" s="386"/>
      <c r="Q665" s="386"/>
    </row>
    <row r="666" spans="1:17" ht="30" customHeight="1" x14ac:dyDescent="0.2">
      <c r="A666" s="1519"/>
      <c r="B666" s="1517" t="s">
        <v>2639</v>
      </c>
      <c r="C666" s="1488"/>
      <c r="D666" s="1969">
        <v>70000000</v>
      </c>
      <c r="E666" s="1971">
        <v>0.04</v>
      </c>
      <c r="F666" s="1969">
        <f>D666*E666</f>
        <v>2800000</v>
      </c>
      <c r="G666" s="1969">
        <v>2800000</v>
      </c>
      <c r="H666" s="1969" t="s">
        <v>3434</v>
      </c>
      <c r="I666" s="473" t="s">
        <v>2640</v>
      </c>
      <c r="J666" s="1969">
        <f t="shared" si="63"/>
        <v>2800000</v>
      </c>
      <c r="K666" s="1970">
        <f t="shared" si="64"/>
        <v>0</v>
      </c>
      <c r="L666" s="385" t="s">
        <v>3688</v>
      </c>
      <c r="M666" s="386"/>
      <c r="N666" s="386"/>
      <c r="O666" s="386"/>
      <c r="P666" s="386"/>
      <c r="Q666" s="386"/>
    </row>
    <row r="667" spans="1:17" ht="30" customHeight="1" x14ac:dyDescent="0.2">
      <c r="A667" s="1519"/>
      <c r="B667" s="1517" t="s">
        <v>2650</v>
      </c>
      <c r="C667" s="1518"/>
      <c r="D667" s="1481"/>
      <c r="E667" s="40"/>
      <c r="F667" s="1481"/>
      <c r="G667" s="1489"/>
      <c r="H667" s="1489"/>
      <c r="I667" s="1030"/>
      <c r="J667" s="1489">
        <f t="shared" si="63"/>
        <v>0</v>
      </c>
      <c r="K667" s="1031">
        <f t="shared" si="64"/>
        <v>0</v>
      </c>
      <c r="L667" s="385"/>
      <c r="M667" s="386"/>
      <c r="N667" s="386"/>
      <c r="O667" s="386"/>
      <c r="P667" s="386"/>
      <c r="Q667" s="386"/>
    </row>
    <row r="668" spans="1:17" ht="30" customHeight="1" x14ac:dyDescent="0.2">
      <c r="A668" s="146"/>
      <c r="B668" s="3" t="s">
        <v>2692</v>
      </c>
      <c r="C668" s="1517"/>
      <c r="D668" s="1478"/>
      <c r="E668" s="40"/>
      <c r="F668" s="1478"/>
      <c r="G668" s="1469">
        <v>14000000</v>
      </c>
      <c r="H668" s="1469" t="s">
        <v>3547</v>
      </c>
      <c r="I668" s="473" t="s">
        <v>2693</v>
      </c>
      <c r="J668" s="1469">
        <f t="shared" si="63"/>
        <v>14000000</v>
      </c>
      <c r="K668" s="1510">
        <f t="shared" si="64"/>
        <v>-14000000</v>
      </c>
      <c r="L668" s="385"/>
      <c r="M668" s="386"/>
      <c r="N668" s="386"/>
      <c r="O668" s="386"/>
      <c r="P668" s="386"/>
      <c r="Q668" s="386"/>
    </row>
    <row r="669" spans="1:17" ht="30" customHeight="1" x14ac:dyDescent="0.2">
      <c r="A669" s="1519"/>
      <c r="B669" s="1517" t="s">
        <v>2702</v>
      </c>
      <c r="C669" s="1461"/>
      <c r="D669" s="1469">
        <v>30000000</v>
      </c>
      <c r="E669" s="1516">
        <v>0.05</v>
      </c>
      <c r="F669" s="1469">
        <f t="shared" ref="F669:F674" si="65">D669*E669</f>
        <v>1500000</v>
      </c>
      <c r="G669" s="1648">
        <v>1500000</v>
      </c>
      <c r="H669" s="1648" t="s">
        <v>3531</v>
      </c>
      <c r="I669" s="1648" t="s">
        <v>3536</v>
      </c>
      <c r="J669" s="1648">
        <f t="shared" si="63"/>
        <v>1500000</v>
      </c>
      <c r="K669" s="1505">
        <f t="shared" si="64"/>
        <v>0</v>
      </c>
      <c r="L669" s="385" t="s">
        <v>2701</v>
      </c>
      <c r="M669" s="386"/>
      <c r="N669" s="386"/>
      <c r="O669" s="386"/>
      <c r="P669" s="386"/>
      <c r="Q669" s="386"/>
    </row>
    <row r="670" spans="1:17" ht="30" customHeight="1" x14ac:dyDescent="0.2">
      <c r="A670" s="1519"/>
      <c r="B670" s="1517" t="s">
        <v>2727</v>
      </c>
      <c r="C670" s="1488" t="s">
        <v>392</v>
      </c>
      <c r="D670" s="1469">
        <v>140000000</v>
      </c>
      <c r="E670" s="1516">
        <v>7.0000000000000007E-2</v>
      </c>
      <c r="F670" s="1469">
        <f t="shared" si="65"/>
        <v>9800000.0000000019</v>
      </c>
      <c r="G670" s="1648">
        <v>9800000</v>
      </c>
      <c r="H670" s="1648" t="s">
        <v>3421</v>
      </c>
      <c r="I670" s="1648" t="s">
        <v>3526</v>
      </c>
      <c r="J670" s="1648">
        <f t="shared" si="63"/>
        <v>9800000</v>
      </c>
      <c r="K670" s="1651">
        <f t="shared" si="64"/>
        <v>0</v>
      </c>
      <c r="L670" s="385" t="s">
        <v>3392</v>
      </c>
      <c r="M670" s="386"/>
      <c r="N670" s="386"/>
      <c r="O670" s="386"/>
      <c r="P670" s="386"/>
      <c r="Q670" s="386"/>
    </row>
    <row r="671" spans="1:17" ht="30" customHeight="1" x14ac:dyDescent="0.2">
      <c r="A671" s="1519"/>
      <c r="B671" s="1517" t="s">
        <v>2735</v>
      </c>
      <c r="C671" s="1488"/>
      <c r="D671" s="1469">
        <v>85000000</v>
      </c>
      <c r="E671" s="1516">
        <v>0.05</v>
      </c>
      <c r="F671" s="1469">
        <f t="shared" si="65"/>
        <v>4250000</v>
      </c>
      <c r="G671" s="1489">
        <v>4250000</v>
      </c>
      <c r="H671" s="1489" t="s">
        <v>3485</v>
      </c>
      <c r="I671" s="1030" t="s">
        <v>3529</v>
      </c>
      <c r="J671" s="1489">
        <f t="shared" si="63"/>
        <v>4250000</v>
      </c>
      <c r="K671" s="1505">
        <f t="shared" si="64"/>
        <v>0</v>
      </c>
      <c r="L671" s="385"/>
      <c r="M671" s="386"/>
      <c r="N671" s="386"/>
      <c r="O671" s="386"/>
      <c r="P671" s="386"/>
      <c r="Q671" s="386"/>
    </row>
    <row r="672" spans="1:17" ht="30" customHeight="1" x14ac:dyDescent="0.2">
      <c r="A672" s="1519"/>
      <c r="B672" s="1517" t="s">
        <v>3534</v>
      </c>
      <c r="C672" s="1488" t="s">
        <v>372</v>
      </c>
      <c r="D672" s="1469">
        <v>50000000</v>
      </c>
      <c r="E672" s="1516">
        <v>0.05</v>
      </c>
      <c r="F672" s="1469">
        <f t="shared" si="65"/>
        <v>2500000</v>
      </c>
      <c r="G672" s="1489">
        <v>2500000</v>
      </c>
      <c r="H672" s="1489" t="s">
        <v>3531</v>
      </c>
      <c r="I672" s="1489" t="s">
        <v>3535</v>
      </c>
      <c r="J672" s="1489">
        <f t="shared" si="63"/>
        <v>2500000</v>
      </c>
      <c r="K672" s="1505">
        <f t="shared" si="64"/>
        <v>0</v>
      </c>
      <c r="L672" s="385" t="s">
        <v>2737</v>
      </c>
      <c r="M672" s="386"/>
      <c r="N672" s="386"/>
      <c r="O672" s="386"/>
      <c r="P672" s="386"/>
      <c r="Q672" s="386"/>
    </row>
    <row r="673" spans="1:17" ht="30" customHeight="1" x14ac:dyDescent="0.2">
      <c r="A673" s="1519"/>
      <c r="B673" s="1517" t="s">
        <v>2738</v>
      </c>
      <c r="C673" s="1488" t="s">
        <v>372</v>
      </c>
      <c r="D673" s="1469">
        <v>25000000</v>
      </c>
      <c r="E673" s="1516">
        <v>0.05</v>
      </c>
      <c r="F673" s="1469">
        <f t="shared" si="65"/>
        <v>1250000</v>
      </c>
      <c r="G673" s="1489">
        <v>1250000</v>
      </c>
      <c r="H673" s="1489" t="s">
        <v>3485</v>
      </c>
      <c r="I673" s="1489" t="s">
        <v>3527</v>
      </c>
      <c r="J673" s="1489">
        <f t="shared" si="63"/>
        <v>1250000</v>
      </c>
      <c r="K673" s="1505">
        <f t="shared" si="64"/>
        <v>0</v>
      </c>
      <c r="L673" s="385" t="s">
        <v>2737</v>
      </c>
      <c r="M673" s="386"/>
      <c r="N673" s="386"/>
      <c r="O673" s="386"/>
      <c r="P673" s="386"/>
      <c r="Q673" s="386"/>
    </row>
    <row r="674" spans="1:17" ht="30" customHeight="1" x14ac:dyDescent="0.2">
      <c r="A674" s="4459"/>
      <c r="B674" s="4457" t="s">
        <v>2767</v>
      </c>
      <c r="C674" s="4537"/>
      <c r="D674" s="4413">
        <v>300000000</v>
      </c>
      <c r="E674" s="4476">
        <v>5.5E-2</v>
      </c>
      <c r="F674" s="4413">
        <f t="shared" si="65"/>
        <v>16500000</v>
      </c>
      <c r="G674" s="1489">
        <v>16000000</v>
      </c>
      <c r="H674" s="1489" t="s">
        <v>3463</v>
      </c>
      <c r="I674" s="1489" t="s">
        <v>3477</v>
      </c>
      <c r="J674" s="4413">
        <f>G674+G675</f>
        <v>16500000</v>
      </c>
      <c r="K674" s="4603">
        <f t="shared" si="64"/>
        <v>0</v>
      </c>
      <c r="L674" s="4675" t="s">
        <v>2768</v>
      </c>
      <c r="M674" s="386"/>
      <c r="N674" s="386"/>
      <c r="O674" s="386"/>
      <c r="P674" s="386"/>
      <c r="Q674" s="386"/>
    </row>
    <row r="675" spans="1:17" ht="30" customHeight="1" x14ac:dyDescent="0.2">
      <c r="A675" s="4460"/>
      <c r="B675" s="4458"/>
      <c r="C675" s="4538"/>
      <c r="D675" s="4415"/>
      <c r="E675" s="4477"/>
      <c r="F675" s="4415"/>
      <c r="G675" s="1590">
        <v>500000</v>
      </c>
      <c r="H675" s="1590" t="s">
        <v>3485</v>
      </c>
      <c r="I675" s="1590" t="s">
        <v>3487</v>
      </c>
      <c r="J675" s="4415"/>
      <c r="K675" s="4604"/>
      <c r="L675" s="4676"/>
      <c r="M675" s="386"/>
      <c r="N675" s="386"/>
      <c r="O675" s="386"/>
      <c r="P675" s="386"/>
      <c r="Q675" s="386"/>
    </row>
    <row r="676" spans="1:17" ht="30" customHeight="1" x14ac:dyDescent="0.2">
      <c r="A676" s="1519"/>
      <c r="B676" s="1517" t="s">
        <v>2799</v>
      </c>
      <c r="C676" s="1488"/>
      <c r="D676" s="1469">
        <v>85000000</v>
      </c>
      <c r="E676" s="1516"/>
      <c r="F676" s="1469"/>
      <c r="G676" s="1489"/>
      <c r="H676" s="1489"/>
      <c r="I676" s="1489"/>
      <c r="J676" s="1489"/>
      <c r="K676" s="1505"/>
      <c r="L676" s="385" t="s">
        <v>2800</v>
      </c>
      <c r="M676" s="386"/>
      <c r="N676" s="386"/>
      <c r="O676" s="386"/>
      <c r="P676" s="386"/>
      <c r="Q676" s="386"/>
    </row>
    <row r="677" spans="1:17" ht="30" customHeight="1" x14ac:dyDescent="0.2">
      <c r="A677" s="1519"/>
      <c r="B677" s="1517" t="s">
        <v>2802</v>
      </c>
      <c r="C677" s="1488" t="s">
        <v>359</v>
      </c>
      <c r="D677" s="1469">
        <v>20000000</v>
      </c>
      <c r="E677" s="1516">
        <v>0.05</v>
      </c>
      <c r="F677" s="1469">
        <f>D677*E677</f>
        <v>1000000</v>
      </c>
      <c r="G677" s="1489">
        <v>1000000</v>
      </c>
      <c r="H677" s="1489" t="s">
        <v>3547</v>
      </c>
      <c r="I677" s="1489" t="s">
        <v>3556</v>
      </c>
      <c r="J677" s="1489">
        <f>G677</f>
        <v>1000000</v>
      </c>
      <c r="K677" s="1505">
        <f>F677-J677</f>
        <v>0</v>
      </c>
      <c r="L677" s="385" t="s">
        <v>2801</v>
      </c>
      <c r="M677" s="386"/>
      <c r="N677" s="386"/>
      <c r="O677" s="386"/>
      <c r="P677" s="386"/>
      <c r="Q677" s="386"/>
    </row>
    <row r="678" spans="1:17" ht="30" customHeight="1" x14ac:dyDescent="0.2">
      <c r="A678" s="1462"/>
      <c r="B678" s="1514" t="s">
        <v>2904</v>
      </c>
      <c r="C678" s="1518" t="s">
        <v>1081</v>
      </c>
      <c r="D678" s="1489">
        <v>40000000</v>
      </c>
      <c r="E678" s="1516">
        <v>0.04</v>
      </c>
      <c r="F678" s="1489">
        <f>D678*E678</f>
        <v>1600000</v>
      </c>
      <c r="G678" s="1489">
        <v>1600000</v>
      </c>
      <c r="H678" s="1489" t="s">
        <v>3893</v>
      </c>
      <c r="I678" s="1489" t="s">
        <v>3340</v>
      </c>
      <c r="J678" s="1489">
        <f>G678</f>
        <v>1600000</v>
      </c>
      <c r="K678" s="1505">
        <f>F678-J678</f>
        <v>0</v>
      </c>
      <c r="L678" s="385" t="s">
        <v>2824</v>
      </c>
      <c r="M678" s="386"/>
      <c r="N678" s="386"/>
      <c r="O678" s="386"/>
      <c r="P678" s="386"/>
      <c r="Q678" s="386"/>
    </row>
    <row r="679" spans="1:17" ht="30" customHeight="1" x14ac:dyDescent="0.2">
      <c r="A679" s="1519"/>
      <c r="B679" s="1517" t="s">
        <v>2834</v>
      </c>
      <c r="C679" s="1488"/>
      <c r="D679" s="1469">
        <v>20000000</v>
      </c>
      <c r="E679" s="1466">
        <v>0.05</v>
      </c>
      <c r="F679" s="1469">
        <f>D679*E679</f>
        <v>1000000</v>
      </c>
      <c r="G679" s="1489">
        <v>1000000</v>
      </c>
      <c r="H679" s="1489" t="s">
        <v>3676</v>
      </c>
      <c r="I679" s="1489" t="s">
        <v>3681</v>
      </c>
      <c r="J679" s="1489">
        <f>G679</f>
        <v>1000000</v>
      </c>
      <c r="K679" s="1505">
        <f>G679-J679</f>
        <v>0</v>
      </c>
      <c r="L679" s="385" t="s">
        <v>2835</v>
      </c>
      <c r="M679" s="386"/>
      <c r="N679" s="386"/>
      <c r="O679" s="386"/>
      <c r="P679" s="386"/>
      <c r="Q679" s="386"/>
    </row>
    <row r="680" spans="1:17" ht="30" customHeight="1" x14ac:dyDescent="0.2">
      <c r="A680" s="4459"/>
      <c r="B680" s="1548" t="s">
        <v>2867</v>
      </c>
      <c r="C680" s="4695" t="s">
        <v>2898</v>
      </c>
      <c r="D680" s="4885">
        <v>70000000</v>
      </c>
      <c r="E680" s="4878">
        <v>0.05</v>
      </c>
      <c r="F680" s="4881">
        <f>D680*E680</f>
        <v>3500000</v>
      </c>
      <c r="G680" s="4413">
        <v>19300000</v>
      </c>
      <c r="H680" s="4413" t="s">
        <v>3583</v>
      </c>
      <c r="I680" s="4413" t="s">
        <v>2868</v>
      </c>
      <c r="J680" s="4413">
        <f>G680</f>
        <v>19300000</v>
      </c>
      <c r="K680" s="4603">
        <f>(F680+F683+F684+1800000)-J680</f>
        <v>0</v>
      </c>
      <c r="L680" s="1501"/>
      <c r="M680" s="386"/>
      <c r="N680" s="386"/>
      <c r="O680" s="386"/>
      <c r="P680" s="386"/>
      <c r="Q680" s="386"/>
    </row>
    <row r="681" spans="1:17" ht="30" customHeight="1" x14ac:dyDescent="0.2">
      <c r="A681" s="4464"/>
      <c r="B681" s="1549"/>
      <c r="C681" s="4698"/>
      <c r="D681" s="4886"/>
      <c r="E681" s="4879"/>
      <c r="F681" s="4881"/>
      <c r="G681" s="4414"/>
      <c r="H681" s="4414"/>
      <c r="I681" s="4414"/>
      <c r="J681" s="4414"/>
      <c r="K681" s="4609"/>
      <c r="L681" s="1521" t="s">
        <v>2901</v>
      </c>
      <c r="M681" s="386"/>
      <c r="N681" s="386"/>
      <c r="O681" s="386"/>
      <c r="P681" s="386"/>
      <c r="Q681" s="386"/>
    </row>
    <row r="682" spans="1:17" ht="30" customHeight="1" x14ac:dyDescent="0.2">
      <c r="A682" s="4460"/>
      <c r="B682" s="1550"/>
      <c r="C682" s="4696"/>
      <c r="D682" s="4887"/>
      <c r="E682" s="4880"/>
      <c r="F682" s="4881"/>
      <c r="G682" s="4414"/>
      <c r="H682" s="4414"/>
      <c r="I682" s="4414"/>
      <c r="J682" s="4414"/>
      <c r="K682" s="4609"/>
      <c r="L682" s="1521" t="s">
        <v>2900</v>
      </c>
      <c r="M682" s="386"/>
      <c r="N682" s="386"/>
      <c r="O682" s="386"/>
      <c r="P682" s="386"/>
      <c r="Q682" s="386"/>
    </row>
    <row r="683" spans="1:17" ht="30" customHeight="1" x14ac:dyDescent="0.2">
      <c r="A683" s="4459"/>
      <c r="B683" s="4693" t="s">
        <v>2899</v>
      </c>
      <c r="C683" s="4695" t="s">
        <v>402</v>
      </c>
      <c r="D683" s="1216">
        <v>190000000</v>
      </c>
      <c r="E683" s="1217">
        <v>4.4999999999999998E-2</v>
      </c>
      <c r="F683" s="1216">
        <v>8600000</v>
      </c>
      <c r="G683" s="4414"/>
      <c r="H683" s="4414"/>
      <c r="I683" s="4414"/>
      <c r="J683" s="4414"/>
      <c r="K683" s="4609"/>
      <c r="L683" s="1521"/>
      <c r="M683" s="386"/>
      <c r="N683" s="386"/>
      <c r="O683" s="386"/>
      <c r="P683" s="386"/>
      <c r="Q683" s="386"/>
    </row>
    <row r="684" spans="1:17" ht="30" customHeight="1" x14ac:dyDescent="0.2">
      <c r="A684" s="4460"/>
      <c r="B684" s="4694"/>
      <c r="C684" s="4696"/>
      <c r="D684" s="1216">
        <v>90000000</v>
      </c>
      <c r="E684" s="1217">
        <v>0.06</v>
      </c>
      <c r="F684" s="1216">
        <f>D684*E684</f>
        <v>5400000</v>
      </c>
      <c r="G684" s="4415"/>
      <c r="H684" s="4415"/>
      <c r="I684" s="4415"/>
      <c r="J684" s="4415"/>
      <c r="K684" s="4604"/>
      <c r="L684" s="1521"/>
      <c r="M684" s="386"/>
      <c r="N684" s="386"/>
      <c r="O684" s="386"/>
      <c r="P684" s="386"/>
      <c r="Q684" s="386"/>
    </row>
    <row r="685" spans="1:17" ht="30" customHeight="1" x14ac:dyDescent="0.2">
      <c r="A685" s="1519"/>
      <c r="B685" s="1523" t="s">
        <v>2206</v>
      </c>
      <c r="C685" s="1524" t="s">
        <v>1306</v>
      </c>
      <c r="D685" s="1216">
        <v>150000000</v>
      </c>
      <c r="E685" s="1217">
        <v>0.05</v>
      </c>
      <c r="F685" s="1216">
        <f>D685*E685</f>
        <v>7500000</v>
      </c>
      <c r="G685" s="1469">
        <v>7500000</v>
      </c>
      <c r="H685" s="1469" t="s">
        <v>2599</v>
      </c>
      <c r="I685" s="1482" t="s">
        <v>3717</v>
      </c>
      <c r="J685" s="1469">
        <f>G685</f>
        <v>7500000</v>
      </c>
      <c r="K685" s="1505">
        <f>F685-J685</f>
        <v>0</v>
      </c>
      <c r="L685" s="1502"/>
      <c r="M685" s="386"/>
      <c r="N685" s="386"/>
      <c r="O685" s="386"/>
      <c r="P685" s="386"/>
      <c r="Q685" s="386"/>
    </row>
    <row r="686" spans="1:17" ht="30" customHeight="1" x14ac:dyDescent="0.2">
      <c r="A686" s="1810"/>
      <c r="B686" s="1797" t="s">
        <v>2867</v>
      </c>
      <c r="C686" s="1801"/>
      <c r="D686" s="4386" t="s">
        <v>3737</v>
      </c>
      <c r="E686" s="4654"/>
      <c r="F686" s="4655"/>
      <c r="G686" s="1799">
        <v>14500000</v>
      </c>
      <c r="H686" s="1799" t="s">
        <v>3731</v>
      </c>
      <c r="I686" s="1804" t="s">
        <v>2868</v>
      </c>
      <c r="J686" s="1799">
        <f>G686</f>
        <v>14500000</v>
      </c>
      <c r="K686" s="1807"/>
      <c r="L686" s="1814"/>
      <c r="M686" s="386"/>
      <c r="N686" s="386"/>
      <c r="O686" s="386"/>
      <c r="P686" s="386"/>
      <c r="Q686" s="386"/>
    </row>
    <row r="687" spans="1:17" ht="30" customHeight="1" x14ac:dyDescent="0.2">
      <c r="A687" s="1519"/>
      <c r="B687" s="1517"/>
      <c r="C687" s="1488"/>
      <c r="D687" s="1469"/>
      <c r="E687" s="1516"/>
      <c r="F687" s="1469"/>
      <c r="G687" s="1469"/>
      <c r="H687" s="1469"/>
      <c r="I687" s="1482"/>
      <c r="J687" s="1469"/>
      <c r="K687" s="1505"/>
      <c r="L687" s="385"/>
      <c r="M687" s="386"/>
      <c r="N687" s="386"/>
      <c r="O687" s="386"/>
      <c r="P687" s="386"/>
      <c r="Q687" s="386"/>
    </row>
    <row r="688" spans="1:17" ht="30" customHeight="1" x14ac:dyDescent="0.2">
      <c r="A688" s="1519"/>
      <c r="B688" s="19" t="s">
        <v>180</v>
      </c>
      <c r="C688" s="1488" t="s">
        <v>2849</v>
      </c>
      <c r="D688" s="1469">
        <v>100000000</v>
      </c>
      <c r="E688" s="1516"/>
      <c r="F688" s="1469"/>
      <c r="G688" s="1563">
        <v>6000000</v>
      </c>
      <c r="H688" s="1563" t="s">
        <v>3417</v>
      </c>
      <c r="I688" s="1563" t="s">
        <v>2870</v>
      </c>
      <c r="J688" s="1563">
        <f>G688</f>
        <v>6000000</v>
      </c>
      <c r="K688" s="1566">
        <f>F688-J688</f>
        <v>-6000000</v>
      </c>
      <c r="L688" s="385"/>
      <c r="M688" s="386"/>
      <c r="N688" s="386"/>
      <c r="O688" s="386"/>
      <c r="P688" s="386"/>
      <c r="Q688" s="386"/>
    </row>
    <row r="689" spans="1:17" ht="30" customHeight="1" x14ac:dyDescent="0.2">
      <c r="A689" s="1519"/>
      <c r="B689" s="1517" t="s">
        <v>2873</v>
      </c>
      <c r="C689" s="1488" t="s">
        <v>1172</v>
      </c>
      <c r="D689" s="1469">
        <v>40000000</v>
      </c>
      <c r="E689" s="1516">
        <v>0.05</v>
      </c>
      <c r="F689" s="1469">
        <f>D689*E689</f>
        <v>2000000</v>
      </c>
      <c r="G689" s="1469">
        <v>2000000</v>
      </c>
      <c r="H689" s="1469" t="s">
        <v>3485</v>
      </c>
      <c r="I689" s="1482" t="s">
        <v>3520</v>
      </c>
      <c r="J689" s="1469">
        <f>G689</f>
        <v>2000000</v>
      </c>
      <c r="K689" s="1505">
        <f>F689-J689</f>
        <v>0</v>
      </c>
      <c r="L689" s="385" t="s">
        <v>3521</v>
      </c>
      <c r="M689" s="386"/>
      <c r="N689" s="386"/>
      <c r="O689" s="386"/>
      <c r="P689" s="386"/>
      <c r="Q689" s="386"/>
    </row>
    <row r="690" spans="1:17" ht="30" customHeight="1" x14ac:dyDescent="0.2">
      <c r="A690" s="1519"/>
      <c r="B690" s="1517" t="s">
        <v>2878</v>
      </c>
      <c r="C690" s="1488" t="s">
        <v>1718</v>
      </c>
      <c r="D690" s="1469">
        <v>25000000</v>
      </c>
      <c r="E690" s="1516">
        <v>0.04</v>
      </c>
      <c r="F690" s="1469">
        <f>D690*E690</f>
        <v>1000000</v>
      </c>
      <c r="G690" s="1469"/>
      <c r="H690" s="1469"/>
      <c r="I690" s="1482"/>
      <c r="J690" s="1469"/>
      <c r="K690" s="1505"/>
      <c r="L690" s="385" t="s">
        <v>4030</v>
      </c>
      <c r="M690" s="386"/>
      <c r="N690" s="386"/>
      <c r="O690" s="386"/>
      <c r="P690" s="386"/>
      <c r="Q690" s="386"/>
    </row>
    <row r="691" spans="1:17" ht="30" customHeight="1" x14ac:dyDescent="0.2">
      <c r="A691" s="1519"/>
      <c r="B691" s="1517" t="s">
        <v>2903</v>
      </c>
      <c r="C691" s="1488"/>
      <c r="D691" s="1469">
        <v>10000000</v>
      </c>
      <c r="E691" s="1516"/>
      <c r="F691" s="1469"/>
      <c r="G691" s="1469"/>
      <c r="H691" s="1469"/>
      <c r="I691" s="1482"/>
      <c r="J691" s="1469"/>
      <c r="K691" s="1505"/>
      <c r="L691" s="385"/>
      <c r="M691" s="386"/>
      <c r="N691" s="386"/>
      <c r="O691" s="386"/>
      <c r="P691" s="386"/>
      <c r="Q691" s="386"/>
    </row>
    <row r="692" spans="1:17" ht="30" customHeight="1" x14ac:dyDescent="0.2">
      <c r="A692" s="1519"/>
      <c r="B692" s="1517" t="s">
        <v>2932</v>
      </c>
      <c r="C692" s="1488"/>
      <c r="D692" s="1478"/>
      <c r="E692" s="40"/>
      <c r="F692" s="1478"/>
      <c r="G692" s="1469">
        <v>2500000</v>
      </c>
      <c r="H692" s="1469" t="s">
        <v>3547</v>
      </c>
      <c r="I692" s="1482" t="s">
        <v>2933</v>
      </c>
      <c r="J692" s="1469">
        <f t="shared" ref="J692:J697" si="66">G692</f>
        <v>2500000</v>
      </c>
      <c r="K692" s="1510">
        <f>F692-J692</f>
        <v>-2500000</v>
      </c>
      <c r="L692" s="385"/>
      <c r="M692" s="386"/>
      <c r="N692" s="386"/>
      <c r="O692" s="386"/>
      <c r="P692" s="386"/>
      <c r="Q692" s="386"/>
    </row>
    <row r="693" spans="1:17" ht="30" customHeight="1" x14ac:dyDescent="0.2">
      <c r="A693" s="4459"/>
      <c r="B693" s="4457" t="s">
        <v>2938</v>
      </c>
      <c r="C693" s="4537"/>
      <c r="D693" s="4506"/>
      <c r="E693" s="4512"/>
      <c r="F693" s="4506"/>
      <c r="G693" s="1469">
        <v>500000</v>
      </c>
      <c r="H693" s="1469" t="s">
        <v>3427</v>
      </c>
      <c r="I693" s="1482" t="s">
        <v>3430</v>
      </c>
      <c r="J693" s="1469">
        <f t="shared" si="66"/>
        <v>500000</v>
      </c>
      <c r="K693" s="1510">
        <f>F693-J693</f>
        <v>-500000</v>
      </c>
      <c r="L693" s="385"/>
      <c r="M693" s="386"/>
      <c r="N693" s="386"/>
      <c r="O693" s="386"/>
      <c r="P693" s="386"/>
      <c r="Q693" s="386"/>
    </row>
    <row r="694" spans="1:17" ht="30" customHeight="1" x14ac:dyDescent="0.2">
      <c r="A694" s="4460"/>
      <c r="B694" s="4458"/>
      <c r="C694" s="4538"/>
      <c r="D694" s="4508"/>
      <c r="E694" s="4514"/>
      <c r="F694" s="4508"/>
      <c r="G694" s="1900">
        <v>500000</v>
      </c>
      <c r="H694" s="1900" t="s">
        <v>3507</v>
      </c>
      <c r="I694" s="1905" t="s">
        <v>3430</v>
      </c>
      <c r="J694" s="1900">
        <f t="shared" si="66"/>
        <v>500000</v>
      </c>
      <c r="K694" s="1916">
        <f>F693-J694</f>
        <v>-500000</v>
      </c>
      <c r="L694" s="1918"/>
      <c r="M694" s="386"/>
      <c r="N694" s="386"/>
      <c r="O694" s="386"/>
      <c r="P694" s="386"/>
      <c r="Q694" s="386"/>
    </row>
    <row r="695" spans="1:17" ht="30" customHeight="1" x14ac:dyDescent="0.2">
      <c r="A695" s="1519"/>
      <c r="B695" s="1517" t="s">
        <v>2943</v>
      </c>
      <c r="C695" s="1488"/>
      <c r="D695" s="1478"/>
      <c r="E695" s="40"/>
      <c r="F695" s="1478"/>
      <c r="G695" s="1469"/>
      <c r="H695" s="1469"/>
      <c r="I695" s="1482"/>
      <c r="J695" s="1469">
        <f t="shared" si="66"/>
        <v>0</v>
      </c>
      <c r="K695" s="1510">
        <f>F695-J695</f>
        <v>0</v>
      </c>
      <c r="L695" s="385"/>
      <c r="M695" s="386"/>
      <c r="N695" s="386"/>
      <c r="O695" s="386"/>
      <c r="P695" s="386"/>
      <c r="Q695" s="386"/>
    </row>
    <row r="696" spans="1:17" ht="30" customHeight="1" x14ac:dyDescent="0.2">
      <c r="A696" s="1519"/>
      <c r="B696" s="1517" t="s">
        <v>3446</v>
      </c>
      <c r="C696" s="1488"/>
      <c r="D696" s="1469">
        <v>180000000</v>
      </c>
      <c r="E696" s="1516">
        <v>5.5E-2</v>
      </c>
      <c r="F696" s="1469">
        <v>10000000</v>
      </c>
      <c r="G696" s="1469">
        <v>5994000</v>
      </c>
      <c r="H696" s="1469" t="s">
        <v>3440</v>
      </c>
      <c r="I696" s="1482" t="s">
        <v>3447</v>
      </c>
      <c r="J696" s="1469">
        <f t="shared" si="66"/>
        <v>5994000</v>
      </c>
      <c r="K696" s="1505">
        <f>F696-J696</f>
        <v>4006000</v>
      </c>
      <c r="L696" s="385" t="s">
        <v>3448</v>
      </c>
      <c r="M696" s="386"/>
      <c r="N696" s="386"/>
      <c r="O696" s="386"/>
      <c r="P696" s="386"/>
      <c r="Q696" s="386"/>
    </row>
    <row r="697" spans="1:17" ht="30" customHeight="1" x14ac:dyDescent="0.2">
      <c r="A697" s="1519"/>
      <c r="B697" s="1517" t="s">
        <v>3037</v>
      </c>
      <c r="C697" s="1488"/>
      <c r="D697" s="1469">
        <v>30000000</v>
      </c>
      <c r="E697" s="1516">
        <v>0.05</v>
      </c>
      <c r="F697" s="1469">
        <f>D697*E697</f>
        <v>1500000</v>
      </c>
      <c r="G697" s="1489">
        <v>1500000</v>
      </c>
      <c r="H697" s="1489" t="s">
        <v>2599</v>
      </c>
      <c r="I697" s="1489" t="s">
        <v>3719</v>
      </c>
      <c r="J697" s="1489">
        <f t="shared" si="66"/>
        <v>1500000</v>
      </c>
      <c r="K697" s="1505">
        <f>F697-J697</f>
        <v>0</v>
      </c>
      <c r="L697" s="385" t="s">
        <v>3393</v>
      </c>
      <c r="M697" s="386"/>
      <c r="N697" s="386"/>
      <c r="O697" s="386"/>
      <c r="P697" s="386"/>
      <c r="Q697" s="386"/>
    </row>
    <row r="698" spans="1:17" ht="30" customHeight="1" x14ac:dyDescent="0.2">
      <c r="A698" s="1519"/>
      <c r="B698" s="1517" t="s">
        <v>3040</v>
      </c>
      <c r="C698" s="1488" t="s">
        <v>1172</v>
      </c>
      <c r="D698" s="1469">
        <f>1000000000+19000000</f>
        <v>1019000000</v>
      </c>
      <c r="E698" s="1516">
        <v>7.0000000000000007E-2</v>
      </c>
      <c r="F698" s="1469">
        <f>D698*E698</f>
        <v>71330000</v>
      </c>
      <c r="G698" s="1469"/>
      <c r="H698" s="1469"/>
      <c r="I698" s="1482"/>
      <c r="J698" s="1469"/>
      <c r="K698" s="1505"/>
      <c r="L698" s="385" t="s">
        <v>3041</v>
      </c>
      <c r="M698" s="386"/>
      <c r="N698" s="386"/>
      <c r="O698" s="386"/>
      <c r="P698" s="386"/>
      <c r="Q698" s="386"/>
    </row>
    <row r="699" spans="1:17" ht="30" customHeight="1" x14ac:dyDescent="0.2">
      <c r="A699" s="1519"/>
      <c r="B699" s="1517" t="s">
        <v>3071</v>
      </c>
      <c r="C699" s="1488" t="s">
        <v>889</v>
      </c>
      <c r="D699" s="1469">
        <v>100000000</v>
      </c>
      <c r="E699" s="1516">
        <v>0.05</v>
      </c>
      <c r="F699" s="1469">
        <f>D699*E699</f>
        <v>5000000</v>
      </c>
      <c r="G699" s="1469"/>
      <c r="H699" s="1469"/>
      <c r="I699" s="1482"/>
      <c r="J699" s="1469">
        <f>G699</f>
        <v>0</v>
      </c>
      <c r="K699" s="1505"/>
      <c r="L699" s="4623" t="s">
        <v>3072</v>
      </c>
      <c r="M699" s="4624"/>
      <c r="N699" s="4624"/>
      <c r="O699" s="4624"/>
      <c r="P699" s="4625"/>
      <c r="Q699" s="386"/>
    </row>
    <row r="700" spans="1:17" ht="30" customHeight="1" x14ac:dyDescent="0.2">
      <c r="A700" s="4459"/>
      <c r="B700" s="4457" t="s">
        <v>3764</v>
      </c>
      <c r="C700" s="4537"/>
      <c r="D700" s="4413">
        <v>30000000</v>
      </c>
      <c r="E700" s="4476">
        <v>7.0000000000000007E-2</v>
      </c>
      <c r="F700" s="4413">
        <f>D700*E700</f>
        <v>2100000</v>
      </c>
      <c r="G700" s="4413">
        <v>2100000</v>
      </c>
      <c r="H700" s="4413" t="s">
        <v>1189</v>
      </c>
      <c r="I700" s="4413" t="s">
        <v>3765</v>
      </c>
      <c r="J700" s="4413">
        <f>G700</f>
        <v>2100000</v>
      </c>
      <c r="K700" s="4603">
        <f>F700-J700</f>
        <v>0</v>
      </c>
      <c r="L700" s="4675" t="s">
        <v>3121</v>
      </c>
      <c r="M700" s="386"/>
      <c r="N700" s="386"/>
      <c r="O700" s="386"/>
      <c r="P700" s="386"/>
      <c r="Q700" s="386"/>
    </row>
    <row r="701" spans="1:17" ht="30" customHeight="1" x14ac:dyDescent="0.2">
      <c r="A701" s="4460"/>
      <c r="B701" s="4458"/>
      <c r="C701" s="4538"/>
      <c r="D701" s="4415"/>
      <c r="E701" s="4477"/>
      <c r="F701" s="4415"/>
      <c r="G701" s="4415"/>
      <c r="H701" s="4415"/>
      <c r="I701" s="4415"/>
      <c r="J701" s="4415"/>
      <c r="K701" s="4604"/>
      <c r="L701" s="4676"/>
      <c r="M701" s="386"/>
      <c r="N701" s="386"/>
      <c r="O701" s="386"/>
      <c r="P701" s="386"/>
      <c r="Q701" s="386"/>
    </row>
    <row r="702" spans="1:17" ht="30" customHeight="1" x14ac:dyDescent="0.2">
      <c r="A702" s="1464"/>
      <c r="B702" s="1340" t="s">
        <v>3955</v>
      </c>
      <c r="C702" s="1488"/>
      <c r="D702" s="1469">
        <v>200000000</v>
      </c>
      <c r="E702" s="1466">
        <v>0.05</v>
      </c>
      <c r="F702" s="1469">
        <f>D702*E702</f>
        <v>10000000</v>
      </c>
      <c r="G702" s="1489">
        <v>10000000</v>
      </c>
      <c r="H702" s="1489" t="s">
        <v>3943</v>
      </c>
      <c r="I702" s="1489" t="s">
        <v>3956</v>
      </c>
      <c r="J702" s="1489">
        <f>G702</f>
        <v>10000000</v>
      </c>
      <c r="K702" s="1505">
        <f>F702-J702</f>
        <v>0</v>
      </c>
      <c r="L702" s="1502" t="s">
        <v>3160</v>
      </c>
      <c r="M702" s="386"/>
      <c r="N702" s="386"/>
      <c r="O702" s="386"/>
      <c r="P702" s="386"/>
      <c r="Q702" s="386"/>
    </row>
    <row r="703" spans="1:17" ht="30" customHeight="1" x14ac:dyDescent="0.2">
      <c r="A703" s="1464"/>
      <c r="B703" s="1340" t="s">
        <v>3159</v>
      </c>
      <c r="C703" s="1488"/>
      <c r="D703" s="1469">
        <v>50000000</v>
      </c>
      <c r="E703" s="1466">
        <v>0.05</v>
      </c>
      <c r="F703" s="1469">
        <f>D703*E703</f>
        <v>2500000</v>
      </c>
      <c r="G703" s="1489">
        <v>2500000</v>
      </c>
      <c r="H703" s="1489" t="s">
        <v>3943</v>
      </c>
      <c r="I703" s="1489" t="s">
        <v>3951</v>
      </c>
      <c r="J703" s="1489">
        <f>G703</f>
        <v>2500000</v>
      </c>
      <c r="K703" s="1505">
        <f>F703-J703</f>
        <v>0</v>
      </c>
      <c r="L703" s="1502" t="s">
        <v>3161</v>
      </c>
      <c r="M703" s="386"/>
      <c r="N703" s="386"/>
      <c r="O703" s="386"/>
      <c r="P703" s="386"/>
      <c r="Q703" s="386"/>
    </row>
    <row r="704" spans="1:17" ht="30" customHeight="1" x14ac:dyDescent="0.2">
      <c r="A704" s="4459"/>
      <c r="B704" s="4474" t="s">
        <v>825</v>
      </c>
      <c r="C704" s="1340"/>
      <c r="D704" s="1488"/>
      <c r="E704" s="1469"/>
      <c r="F704" s="1466"/>
      <c r="G704" s="1489">
        <v>11000000</v>
      </c>
      <c r="H704" s="4413" t="s">
        <v>3427</v>
      </c>
      <c r="I704" s="4413" t="s">
        <v>855</v>
      </c>
      <c r="J704" s="4413">
        <f>G704+G705</f>
        <v>35000000</v>
      </c>
      <c r="K704" s="4603"/>
      <c r="L704" s="385" t="s">
        <v>3867</v>
      </c>
      <c r="M704" s="386"/>
      <c r="N704" s="386"/>
      <c r="O704" s="386"/>
      <c r="P704" s="386"/>
      <c r="Q704" s="386"/>
    </row>
    <row r="705" spans="1:17" ht="30" customHeight="1" x14ac:dyDescent="0.2">
      <c r="A705" s="4460"/>
      <c r="B705" s="4475"/>
      <c r="C705" s="1340"/>
      <c r="D705" s="1488"/>
      <c r="E705" s="1469"/>
      <c r="F705" s="1466"/>
      <c r="G705" s="1489">
        <v>24000000</v>
      </c>
      <c r="H705" s="4415"/>
      <c r="I705" s="4415"/>
      <c r="J705" s="4415"/>
      <c r="K705" s="4604"/>
      <c r="L705" s="385" t="s">
        <v>3502</v>
      </c>
      <c r="M705" s="386"/>
      <c r="N705" s="386"/>
      <c r="O705" s="386"/>
      <c r="P705" s="386"/>
      <c r="Q705" s="386"/>
    </row>
    <row r="706" spans="1:17" ht="30" customHeight="1" x14ac:dyDescent="0.2">
      <c r="A706" s="146"/>
      <c r="B706" s="1476" t="s">
        <v>3215</v>
      </c>
      <c r="C706" s="1488" t="s">
        <v>3216</v>
      </c>
      <c r="D706" s="1469">
        <v>120000000</v>
      </c>
      <c r="E706" s="1516">
        <v>0.04</v>
      </c>
      <c r="F706" s="1469">
        <f>D706*E706</f>
        <v>4800000</v>
      </c>
      <c r="G706" s="1489">
        <v>4800000</v>
      </c>
      <c r="H706" s="1489" t="s">
        <v>2599</v>
      </c>
      <c r="I706" s="1489" t="s">
        <v>1946</v>
      </c>
      <c r="J706" s="1489">
        <f>G706</f>
        <v>4800000</v>
      </c>
      <c r="K706" s="1505">
        <f>F706-J706</f>
        <v>0</v>
      </c>
      <c r="L706" s="385" t="s">
        <v>3217</v>
      </c>
      <c r="M706" s="386"/>
      <c r="N706" s="386"/>
      <c r="O706" s="386"/>
      <c r="P706" s="386"/>
      <c r="Q706" s="386"/>
    </row>
    <row r="707" spans="1:17" ht="30" customHeight="1" x14ac:dyDescent="0.2">
      <c r="A707" s="146"/>
      <c r="B707" s="1476" t="s">
        <v>3218</v>
      </c>
      <c r="C707" s="1488" t="s">
        <v>3219</v>
      </c>
      <c r="D707" s="1469">
        <v>100000000</v>
      </c>
      <c r="E707" s="1516">
        <v>0.05</v>
      </c>
      <c r="F707" s="1469">
        <f>D707*E707</f>
        <v>5000000</v>
      </c>
      <c r="G707" s="1489">
        <v>5000000</v>
      </c>
      <c r="H707" s="1489" t="s">
        <v>3943</v>
      </c>
      <c r="I707" s="1489" t="s">
        <v>3945</v>
      </c>
      <c r="J707" s="1489">
        <f>G707</f>
        <v>5000000</v>
      </c>
      <c r="K707" s="1505">
        <f>F707-J707</f>
        <v>0</v>
      </c>
      <c r="L707" s="385" t="s">
        <v>3217</v>
      </c>
      <c r="M707" s="386"/>
      <c r="N707" s="386"/>
      <c r="O707" s="386"/>
      <c r="P707" s="386"/>
      <c r="Q707" s="386"/>
    </row>
    <row r="708" spans="1:17" ht="30" customHeight="1" x14ac:dyDescent="0.2">
      <c r="A708" s="146"/>
      <c r="B708" s="1476" t="s">
        <v>3221</v>
      </c>
      <c r="C708" s="1488" t="s">
        <v>1796</v>
      </c>
      <c r="D708" s="1469">
        <v>50000000</v>
      </c>
      <c r="E708" s="1516">
        <v>0.05</v>
      </c>
      <c r="F708" s="1469">
        <f>D708*E708</f>
        <v>2500000</v>
      </c>
      <c r="G708" s="1489">
        <v>2500000</v>
      </c>
      <c r="H708" s="1489" t="s">
        <v>3893</v>
      </c>
      <c r="I708" s="1489" t="s">
        <v>3907</v>
      </c>
      <c r="J708" s="1489">
        <f>G708</f>
        <v>2500000</v>
      </c>
      <c r="K708" s="1505">
        <f>F708-J708</f>
        <v>0</v>
      </c>
      <c r="L708" s="385" t="s">
        <v>3217</v>
      </c>
      <c r="M708" s="386"/>
      <c r="N708" s="386"/>
      <c r="O708" s="386"/>
      <c r="P708" s="386"/>
      <c r="Q708" s="386"/>
    </row>
    <row r="709" spans="1:17" ht="30" customHeight="1" x14ac:dyDescent="0.2">
      <c r="A709" s="146"/>
      <c r="B709" s="1476" t="s">
        <v>3224</v>
      </c>
      <c r="C709" s="1488"/>
      <c r="D709" s="1503"/>
      <c r="E709" s="40"/>
      <c r="F709" s="1478"/>
      <c r="G709" s="1489"/>
      <c r="H709" s="1489"/>
      <c r="I709" s="1489"/>
      <c r="J709" s="1489">
        <f>G709</f>
        <v>0</v>
      </c>
      <c r="K709" s="1510">
        <f>F709-J709</f>
        <v>0</v>
      </c>
      <c r="L709" s="385" t="s">
        <v>3230</v>
      </c>
      <c r="M709" s="386"/>
      <c r="N709" s="386"/>
      <c r="O709" s="386"/>
      <c r="P709" s="386"/>
      <c r="Q709" s="386"/>
    </row>
    <row r="710" spans="1:17" ht="30" customHeight="1" x14ac:dyDescent="0.2">
      <c r="A710" s="146"/>
      <c r="B710" s="1476" t="s">
        <v>3257</v>
      </c>
      <c r="C710" s="1488" t="s">
        <v>402</v>
      </c>
      <c r="D710" s="1469">
        <v>40000000</v>
      </c>
      <c r="E710" s="1516">
        <v>0.05</v>
      </c>
      <c r="F710" s="1469">
        <f>D710*E710</f>
        <v>2000000</v>
      </c>
      <c r="G710" s="1489">
        <v>2000000</v>
      </c>
      <c r="H710" s="1489" t="s">
        <v>3434</v>
      </c>
      <c r="I710" s="4882" t="s">
        <v>3495</v>
      </c>
      <c r="J710" s="4883"/>
      <c r="K710" s="4884"/>
      <c r="L710" s="385" t="s">
        <v>4650</v>
      </c>
      <c r="M710" s="386"/>
      <c r="N710" s="386"/>
      <c r="O710" s="386"/>
      <c r="P710" s="386"/>
      <c r="Q710" s="386"/>
    </row>
    <row r="711" spans="1:17" ht="30" customHeight="1" x14ac:dyDescent="0.2">
      <c r="A711" s="146"/>
      <c r="B711" s="1476" t="s">
        <v>3293</v>
      </c>
      <c r="C711" s="1476"/>
      <c r="D711" s="1469">
        <v>15000000</v>
      </c>
      <c r="E711" s="1516">
        <v>0.05</v>
      </c>
      <c r="F711" s="1469">
        <f>D711*E711</f>
        <v>750000</v>
      </c>
      <c r="G711" s="1933">
        <v>750000</v>
      </c>
      <c r="H711" s="1933" t="s">
        <v>3943</v>
      </c>
      <c r="I711" s="1933" t="s">
        <v>3950</v>
      </c>
      <c r="J711" s="1933">
        <f>G711</f>
        <v>750000</v>
      </c>
      <c r="K711" s="1943">
        <f>F711-J711</f>
        <v>0</v>
      </c>
      <c r="L711" s="385" t="s">
        <v>3868</v>
      </c>
      <c r="M711" s="386"/>
      <c r="N711" s="386"/>
      <c r="O711" s="386"/>
      <c r="P711" s="386"/>
      <c r="Q711" s="386"/>
    </row>
    <row r="712" spans="1:17" ht="30" customHeight="1" x14ac:dyDescent="0.2">
      <c r="A712" s="1519"/>
      <c r="B712" s="3" t="s">
        <v>3296</v>
      </c>
      <c r="C712" s="1476"/>
      <c r="D712" s="2039">
        <v>150000000</v>
      </c>
      <c r="E712" s="2041">
        <v>0.05</v>
      </c>
      <c r="F712" s="2038">
        <f>D712*E712</f>
        <v>7500000</v>
      </c>
      <c r="G712" s="2036">
        <v>7500000</v>
      </c>
      <c r="H712" s="2036" t="s">
        <v>3886</v>
      </c>
      <c r="I712" s="2036" t="s">
        <v>3887</v>
      </c>
      <c r="J712" s="2036">
        <f>G712</f>
        <v>7500000</v>
      </c>
      <c r="K712" s="2040">
        <f>F712-J712</f>
        <v>0</v>
      </c>
      <c r="L712" s="385"/>
      <c r="M712" s="386"/>
      <c r="N712" s="386"/>
      <c r="O712" s="386"/>
      <c r="P712" s="386"/>
      <c r="Q712" s="386"/>
    </row>
    <row r="713" spans="1:17" ht="30" customHeight="1" x14ac:dyDescent="0.2">
      <c r="A713" s="1519"/>
      <c r="B713" s="3" t="s">
        <v>3308</v>
      </c>
      <c r="C713" s="1488" t="s">
        <v>3323</v>
      </c>
      <c r="D713" s="1469">
        <v>20000000</v>
      </c>
      <c r="E713" s="1516">
        <v>0.05</v>
      </c>
      <c r="F713" s="1469">
        <f>D713*E713</f>
        <v>1000000</v>
      </c>
      <c r="G713" s="1489">
        <v>1000000</v>
      </c>
      <c r="H713" s="1489" t="s">
        <v>3893</v>
      </c>
      <c r="I713" s="1489" t="s">
        <v>3901</v>
      </c>
      <c r="J713" s="1489">
        <f>G713</f>
        <v>1000000</v>
      </c>
      <c r="K713" s="1914">
        <f>F713-J713</f>
        <v>0</v>
      </c>
      <c r="L713" s="385" t="s">
        <v>3309</v>
      </c>
      <c r="M713" s="386"/>
      <c r="N713" s="386"/>
      <c r="O713" s="386"/>
      <c r="P713" s="386"/>
      <c r="Q713" s="386"/>
    </row>
    <row r="714" spans="1:17" ht="30" customHeight="1" x14ac:dyDescent="0.2">
      <c r="A714" s="1519"/>
      <c r="B714" s="3" t="s">
        <v>3324</v>
      </c>
      <c r="C714" s="1488" t="s">
        <v>889</v>
      </c>
      <c r="D714" s="1469">
        <v>200000000</v>
      </c>
      <c r="E714" s="1516">
        <v>0.05</v>
      </c>
      <c r="F714" s="1469">
        <f>D714*E714</f>
        <v>10000000</v>
      </c>
      <c r="G714" s="1489">
        <v>10000000</v>
      </c>
      <c r="H714" s="1489" t="s">
        <v>3943</v>
      </c>
      <c r="I714" s="1489" t="s">
        <v>3944</v>
      </c>
      <c r="J714" s="1489">
        <f>G714</f>
        <v>10000000</v>
      </c>
      <c r="K714" s="1943">
        <f>F714-J714</f>
        <v>0</v>
      </c>
      <c r="L714" s="385" t="s">
        <v>3325</v>
      </c>
      <c r="M714" s="386"/>
      <c r="N714" s="386"/>
      <c r="O714" s="386"/>
      <c r="P714" s="386"/>
      <c r="Q714" s="386"/>
    </row>
    <row r="715" spans="1:17" ht="30" customHeight="1" x14ac:dyDescent="0.2">
      <c r="A715" s="1519"/>
      <c r="B715" s="3" t="s">
        <v>3332</v>
      </c>
      <c r="C715" s="1476"/>
      <c r="D715" s="1503"/>
      <c r="E715" s="40"/>
      <c r="F715" s="1478"/>
      <c r="G715" s="1489"/>
      <c r="H715" s="1489"/>
      <c r="I715" s="1489"/>
      <c r="J715" s="1489">
        <f>G715</f>
        <v>0</v>
      </c>
      <c r="K715" s="1510"/>
      <c r="L715" s="385"/>
      <c r="M715" s="386"/>
      <c r="N715" s="386"/>
      <c r="O715" s="386"/>
      <c r="P715" s="386"/>
      <c r="Q715" s="386"/>
    </row>
    <row r="716" spans="1:17" ht="30" customHeight="1" x14ac:dyDescent="0.2">
      <c r="A716" s="4459"/>
      <c r="B716" s="4474" t="s">
        <v>3395</v>
      </c>
      <c r="C716" s="1534" t="s">
        <v>889</v>
      </c>
      <c r="D716" s="1533">
        <v>1000000000</v>
      </c>
      <c r="E716" s="1535">
        <v>6.5000000000000002E-2</v>
      </c>
      <c r="F716" s="1533">
        <f>D716*E716</f>
        <v>65000000</v>
      </c>
      <c r="G716" s="1469"/>
      <c r="H716" s="1469"/>
      <c r="I716" s="1482"/>
      <c r="J716" s="1469"/>
      <c r="K716" s="1510"/>
      <c r="L716" s="385" t="s">
        <v>3722</v>
      </c>
      <c r="M716" s="386"/>
      <c r="N716" s="386"/>
      <c r="O716" s="386"/>
      <c r="P716" s="386"/>
      <c r="Q716" s="386"/>
    </row>
    <row r="717" spans="1:17" ht="30" customHeight="1" x14ac:dyDescent="0.2">
      <c r="A717" s="4460"/>
      <c r="B717" s="4475"/>
      <c r="C717" s="1766" t="s">
        <v>1298</v>
      </c>
      <c r="D717" s="1764">
        <v>500000000</v>
      </c>
      <c r="E717" s="1768">
        <v>6.5000000000000002E-2</v>
      </c>
      <c r="F717" s="1764">
        <f>D717*E717</f>
        <v>32500000</v>
      </c>
      <c r="G717" s="1764"/>
      <c r="H717" s="1764"/>
      <c r="I717" s="1765"/>
      <c r="J717" s="1764"/>
      <c r="K717" s="1767"/>
      <c r="L717" s="385"/>
      <c r="M717" s="386"/>
      <c r="N717" s="386"/>
      <c r="O717" s="386"/>
      <c r="P717" s="386"/>
      <c r="Q717" s="386"/>
    </row>
    <row r="718" spans="1:17" ht="30" customHeight="1" x14ac:dyDescent="0.2">
      <c r="A718" s="1569"/>
      <c r="B718" s="3" t="s">
        <v>3514</v>
      </c>
      <c r="C718" s="1561"/>
      <c r="D718" s="1560"/>
      <c r="E718" s="40"/>
      <c r="F718" s="1560"/>
      <c r="G718" s="1558">
        <v>6000000</v>
      </c>
      <c r="H718" s="1558" t="s">
        <v>3417</v>
      </c>
      <c r="I718" s="1562" t="s">
        <v>3418</v>
      </c>
      <c r="J718" s="1558">
        <f>G718</f>
        <v>6000000</v>
      </c>
      <c r="K718" s="1567">
        <f>F718-J718</f>
        <v>-6000000</v>
      </c>
      <c r="L718" s="385"/>
      <c r="M718" s="386"/>
      <c r="N718" s="386"/>
      <c r="O718" s="386"/>
      <c r="P718" s="386"/>
      <c r="Q718" s="386"/>
    </row>
    <row r="719" spans="1:17" ht="30" customHeight="1" x14ac:dyDescent="0.2">
      <c r="A719" s="1575"/>
      <c r="B719" s="1583" t="s">
        <v>3424</v>
      </c>
      <c r="C719" s="1591"/>
      <c r="D719" s="1587"/>
      <c r="E719" s="1584"/>
      <c r="F719" s="1587"/>
      <c r="G719" s="1579">
        <v>10000000</v>
      </c>
      <c r="H719" s="1579" t="s">
        <v>3421</v>
      </c>
      <c r="I719" s="1603" t="s">
        <v>3425</v>
      </c>
      <c r="J719" s="1579">
        <f>G719</f>
        <v>10000000</v>
      </c>
      <c r="K719" s="1114"/>
      <c r="L719" s="1594"/>
      <c r="M719" s="386"/>
      <c r="N719" s="386"/>
      <c r="O719" s="386"/>
      <c r="P719" s="386"/>
      <c r="Q719" s="386"/>
    </row>
    <row r="720" spans="1:17" s="1540" customFormat="1" ht="30" customHeight="1" x14ac:dyDescent="0.2">
      <c r="A720" s="1602"/>
      <c r="B720" s="3" t="s">
        <v>3455</v>
      </c>
      <c r="C720" s="1601"/>
      <c r="D720" s="1590">
        <v>25000000</v>
      </c>
      <c r="E720" s="1599">
        <v>0.05</v>
      </c>
      <c r="F720" s="1590">
        <f t="shared" ref="F720:F725" si="67">D720*E720</f>
        <v>1250000</v>
      </c>
      <c r="G720" s="4469" t="s">
        <v>3456</v>
      </c>
      <c r="H720" s="4470"/>
      <c r="I720" s="4470"/>
      <c r="J720" s="4471"/>
      <c r="K720" s="1573"/>
      <c r="L720" s="385"/>
      <c r="M720" s="387"/>
      <c r="N720" s="387"/>
      <c r="O720" s="387"/>
      <c r="P720" s="387"/>
      <c r="Q720" s="387"/>
    </row>
    <row r="721" spans="1:17" s="184" customFormat="1" ht="30" customHeight="1" x14ac:dyDescent="0.2">
      <c r="A721" s="1602"/>
      <c r="B721" s="3" t="s">
        <v>3459</v>
      </c>
      <c r="C721" s="1601"/>
      <c r="D721" s="1590">
        <v>600000000</v>
      </c>
      <c r="E721" s="1599">
        <v>0.06</v>
      </c>
      <c r="F721" s="1590">
        <f t="shared" si="67"/>
        <v>36000000</v>
      </c>
      <c r="G721" s="1604"/>
      <c r="H721" s="1604"/>
      <c r="I721" s="1604"/>
      <c r="J721" s="1604"/>
      <c r="K721" s="1573"/>
      <c r="L721" s="385"/>
      <c r="M721" s="386"/>
      <c r="N721" s="386"/>
      <c r="O721" s="386"/>
      <c r="P721" s="386"/>
      <c r="Q721" s="386"/>
    </row>
    <row r="722" spans="1:17" s="184" customFormat="1" ht="30" customHeight="1" x14ac:dyDescent="0.2">
      <c r="A722" s="4459"/>
      <c r="B722" s="4474" t="s">
        <v>3460</v>
      </c>
      <c r="C722" s="4537" t="s">
        <v>3483</v>
      </c>
      <c r="D722" s="1973">
        <v>140000000</v>
      </c>
      <c r="E722" s="1977">
        <v>0.04</v>
      </c>
      <c r="F722" s="1973">
        <f t="shared" si="67"/>
        <v>5600000</v>
      </c>
      <c r="G722" s="4469" t="s">
        <v>4028</v>
      </c>
      <c r="H722" s="4470"/>
      <c r="I722" s="4470"/>
      <c r="J722" s="4471"/>
      <c r="K722" s="1976"/>
      <c r="L722" s="1975" t="s">
        <v>4029</v>
      </c>
      <c r="M722" s="386"/>
      <c r="N722" s="386"/>
      <c r="O722" s="386"/>
      <c r="P722" s="386"/>
      <c r="Q722" s="386"/>
    </row>
    <row r="723" spans="1:17" s="184" customFormat="1" ht="30" customHeight="1" x14ac:dyDescent="0.2">
      <c r="A723" s="4460"/>
      <c r="B723" s="4475"/>
      <c r="C723" s="4538"/>
      <c r="D723" s="1590">
        <v>80000000</v>
      </c>
      <c r="E723" s="1599">
        <v>0.04</v>
      </c>
      <c r="F723" s="1590">
        <f t="shared" si="67"/>
        <v>3200000</v>
      </c>
      <c r="G723" s="4469" t="s">
        <v>3484</v>
      </c>
      <c r="H723" s="4470"/>
      <c r="I723" s="4470"/>
      <c r="J723" s="4471"/>
      <c r="K723" s="1596"/>
      <c r="L723" s="1595"/>
      <c r="M723" s="386"/>
      <c r="N723" s="386"/>
      <c r="O723" s="386"/>
      <c r="P723" s="386"/>
      <c r="Q723" s="386"/>
    </row>
    <row r="724" spans="1:17" s="184" customFormat="1" ht="30" customHeight="1" x14ac:dyDescent="0.2">
      <c r="A724" s="1602"/>
      <c r="B724" s="3" t="s">
        <v>3480</v>
      </c>
      <c r="C724" s="1601"/>
      <c r="D724" s="1590">
        <v>85000000</v>
      </c>
      <c r="E724" s="1599">
        <v>7.0000000000000007E-2</v>
      </c>
      <c r="F724" s="1590">
        <f t="shared" si="67"/>
        <v>5950000.0000000009</v>
      </c>
      <c r="G724" s="1590">
        <v>5950000</v>
      </c>
      <c r="H724" s="1590" t="s">
        <v>3463</v>
      </c>
      <c r="I724" s="1590" t="s">
        <v>3481</v>
      </c>
      <c r="J724" s="1590">
        <f>G724</f>
        <v>5950000</v>
      </c>
      <c r="K724" s="1573">
        <f>F724-J724</f>
        <v>0</v>
      </c>
      <c r="L724" s="385"/>
      <c r="M724" s="386"/>
      <c r="N724" s="386"/>
      <c r="O724" s="386"/>
      <c r="P724" s="386"/>
      <c r="Q724" s="386"/>
    </row>
    <row r="725" spans="1:17" s="184" customFormat="1" ht="30" customHeight="1" x14ac:dyDescent="0.2">
      <c r="A725" s="1602"/>
      <c r="B725" s="3" t="s">
        <v>3482</v>
      </c>
      <c r="C725" s="1601" t="s">
        <v>3483</v>
      </c>
      <c r="D725" s="1590">
        <v>70000000</v>
      </c>
      <c r="E725" s="1599">
        <v>0.05</v>
      </c>
      <c r="F725" s="1590">
        <f t="shared" si="67"/>
        <v>3500000</v>
      </c>
      <c r="G725" s="4469" t="s">
        <v>3484</v>
      </c>
      <c r="H725" s="4470"/>
      <c r="I725" s="4470"/>
      <c r="J725" s="4471"/>
      <c r="K725" s="1573"/>
      <c r="L725" s="385"/>
      <c r="M725" s="386"/>
      <c r="N725" s="386"/>
      <c r="O725" s="386"/>
      <c r="P725" s="386"/>
      <c r="Q725" s="386"/>
    </row>
    <row r="726" spans="1:17" s="184" customFormat="1" ht="30" customHeight="1" x14ac:dyDescent="0.2">
      <c r="A726" s="1602"/>
      <c r="B726" s="3" t="s">
        <v>3489</v>
      </c>
      <c r="C726" s="1601"/>
      <c r="D726" s="1585"/>
      <c r="E726" s="40"/>
      <c r="F726" s="1585"/>
      <c r="G726" s="1590">
        <v>1000000</v>
      </c>
      <c r="H726" s="1590" t="s">
        <v>3485</v>
      </c>
      <c r="I726" s="1590" t="s">
        <v>3490</v>
      </c>
      <c r="J726" s="1590">
        <f>G726</f>
        <v>1000000</v>
      </c>
      <c r="K726" s="1031"/>
      <c r="L726" s="385"/>
      <c r="M726" s="386"/>
      <c r="N726" s="386"/>
      <c r="O726" s="386"/>
      <c r="P726" s="386"/>
      <c r="Q726" s="386"/>
    </row>
    <row r="727" spans="1:17" s="184" customFormat="1" ht="30" customHeight="1" x14ac:dyDescent="0.2">
      <c r="A727" s="1602"/>
      <c r="B727" s="3" t="s">
        <v>2952</v>
      </c>
      <c r="C727" s="1601" t="s">
        <v>402</v>
      </c>
      <c r="D727" s="1590">
        <v>150000000</v>
      </c>
      <c r="E727" s="1599">
        <v>0.06</v>
      </c>
      <c r="F727" s="1590">
        <f>D727*E727</f>
        <v>9000000</v>
      </c>
      <c r="G727" s="1590">
        <v>9000000</v>
      </c>
      <c r="H727" s="1590" t="s">
        <v>3421</v>
      </c>
      <c r="I727" s="4469" t="s">
        <v>3495</v>
      </c>
      <c r="J727" s="4470"/>
      <c r="K727" s="4471"/>
      <c r="L727" s="385"/>
      <c r="M727" s="386"/>
      <c r="N727" s="386"/>
      <c r="O727" s="386"/>
      <c r="P727" s="386"/>
      <c r="Q727" s="386"/>
    </row>
    <row r="728" spans="1:17" s="9" customFormat="1" ht="30" customHeight="1" x14ac:dyDescent="0.2">
      <c r="A728" s="1658"/>
      <c r="B728" s="1656" t="s">
        <v>153</v>
      </c>
      <c r="C728" s="1655"/>
      <c r="D728" s="1648">
        <v>10000000</v>
      </c>
      <c r="E728" s="1654">
        <v>0.05</v>
      </c>
      <c r="F728" s="1648">
        <f>D728*E728</f>
        <v>500000</v>
      </c>
      <c r="G728" s="1648"/>
      <c r="H728" s="1648"/>
      <c r="I728" s="1648"/>
      <c r="J728" s="1648"/>
      <c r="K728" s="1648"/>
      <c r="L728" s="385" t="s">
        <v>3545</v>
      </c>
      <c r="M728" s="387"/>
      <c r="N728" s="387"/>
      <c r="O728" s="387"/>
      <c r="P728" s="387"/>
      <c r="Q728" s="387"/>
    </row>
    <row r="729" spans="1:17" s="1660" customFormat="1" ht="30" customHeight="1" x14ac:dyDescent="0.2">
      <c r="A729" s="1658"/>
      <c r="B729" s="1656" t="s">
        <v>3079</v>
      </c>
      <c r="C729" s="1655"/>
      <c r="D729" s="4303" t="s">
        <v>3552</v>
      </c>
      <c r="E729" s="4324"/>
      <c r="F729" s="4355"/>
      <c r="G729" s="1648">
        <v>40000000</v>
      </c>
      <c r="H729" s="1648" t="s">
        <v>3547</v>
      </c>
      <c r="I729" s="1648" t="s">
        <v>3553</v>
      </c>
      <c r="J729" s="1648">
        <f>G729</f>
        <v>40000000</v>
      </c>
      <c r="K729" s="1648">
        <f>40000000-J729</f>
        <v>0</v>
      </c>
      <c r="L729" s="1649"/>
      <c r="M729" s="386"/>
      <c r="N729" s="386"/>
      <c r="O729" s="386"/>
      <c r="P729" s="386"/>
      <c r="Q729" s="386"/>
    </row>
    <row r="730" spans="1:17" s="1660" customFormat="1" ht="30" customHeight="1" x14ac:dyDescent="0.2">
      <c r="A730" s="1658"/>
      <c r="B730" s="2368" t="s">
        <v>3554</v>
      </c>
      <c r="C730" s="2363"/>
      <c r="D730" s="2357">
        <v>10000000</v>
      </c>
      <c r="E730" s="2366">
        <v>0.05</v>
      </c>
      <c r="F730" s="2357">
        <f>D730*E730</f>
        <v>500000</v>
      </c>
      <c r="G730" s="2360">
        <v>500000</v>
      </c>
      <c r="H730" s="2360" t="s">
        <v>3547</v>
      </c>
      <c r="I730" s="2365" t="s">
        <v>3555</v>
      </c>
      <c r="J730" s="2360">
        <f>G730</f>
        <v>500000</v>
      </c>
      <c r="K730" s="2360">
        <f>F730-J730</f>
        <v>0</v>
      </c>
      <c r="L730" s="1649"/>
      <c r="M730" s="386"/>
      <c r="N730" s="386"/>
      <c r="O730" s="386"/>
      <c r="P730" s="386"/>
      <c r="Q730" s="386"/>
    </row>
    <row r="731" spans="1:17" s="1660" customFormat="1" ht="30" customHeight="1" x14ac:dyDescent="0.2">
      <c r="A731" s="4599"/>
      <c r="B731" s="4457" t="s">
        <v>4446</v>
      </c>
      <c r="C731" s="4537" t="s">
        <v>4225</v>
      </c>
      <c r="D731" s="4322">
        <v>100000000</v>
      </c>
      <c r="E731" s="4476">
        <v>0.05</v>
      </c>
      <c r="F731" s="4322">
        <f>D731*E731</f>
        <v>5000000</v>
      </c>
      <c r="G731" s="2357">
        <v>5000000</v>
      </c>
      <c r="H731" s="2357" t="s">
        <v>3547</v>
      </c>
      <c r="I731" s="2357" t="s">
        <v>2788</v>
      </c>
      <c r="J731" s="4413">
        <f>G731+G732</f>
        <v>10000000</v>
      </c>
      <c r="K731" s="4413">
        <f>F731-J731</f>
        <v>-5000000</v>
      </c>
      <c r="L731" s="2371" t="s">
        <v>4448</v>
      </c>
      <c r="M731" s="386"/>
      <c r="N731" s="386"/>
      <c r="O731" s="386"/>
      <c r="P731" s="386"/>
      <c r="Q731" s="386"/>
    </row>
    <row r="732" spans="1:17" s="1660" customFormat="1" ht="30" customHeight="1" x14ac:dyDescent="0.2">
      <c r="A732" s="4607"/>
      <c r="B732" s="4458"/>
      <c r="C732" s="4538"/>
      <c r="D732" s="4322"/>
      <c r="E732" s="4477"/>
      <c r="F732" s="4322"/>
      <c r="G732" s="2357">
        <v>5000000</v>
      </c>
      <c r="H732" s="2357" t="s">
        <v>3558</v>
      </c>
      <c r="I732" s="2357" t="s">
        <v>2788</v>
      </c>
      <c r="J732" s="4415"/>
      <c r="K732" s="4415"/>
      <c r="L732" s="2372" t="s">
        <v>4447</v>
      </c>
      <c r="M732" s="386"/>
      <c r="N732" s="386"/>
      <c r="O732" s="386"/>
      <c r="P732" s="386"/>
      <c r="Q732" s="386"/>
    </row>
    <row r="733" spans="1:17" s="1660" customFormat="1" ht="30" customHeight="1" x14ac:dyDescent="0.2">
      <c r="A733" s="1658"/>
      <c r="B733" s="4599" t="s">
        <v>3557</v>
      </c>
      <c r="C733" s="4537"/>
      <c r="D733" s="4303" t="s">
        <v>3552</v>
      </c>
      <c r="E733" s="4324"/>
      <c r="F733" s="4355"/>
      <c r="G733" s="1648">
        <v>30000000</v>
      </c>
      <c r="H733" s="1648" t="s">
        <v>3558</v>
      </c>
      <c r="I733" s="1648" t="s">
        <v>3559</v>
      </c>
      <c r="J733" s="1648">
        <f>G733</f>
        <v>30000000</v>
      </c>
      <c r="K733" s="1648">
        <f>30000000-G733</f>
        <v>0</v>
      </c>
      <c r="L733" s="1649"/>
      <c r="M733" s="386"/>
      <c r="N733" s="386"/>
      <c r="O733" s="386"/>
      <c r="P733" s="386"/>
      <c r="Q733" s="386"/>
    </row>
    <row r="734" spans="1:17" s="1660" customFormat="1" ht="30" customHeight="1" x14ac:dyDescent="0.2">
      <c r="A734" s="1702"/>
      <c r="B734" s="4607"/>
      <c r="C734" s="4538"/>
      <c r="D734" s="4303" t="s">
        <v>3661</v>
      </c>
      <c r="E734" s="4324"/>
      <c r="F734" s="4355"/>
      <c r="G734" s="1697">
        <v>450000</v>
      </c>
      <c r="H734" s="1697" t="s">
        <v>3660</v>
      </c>
      <c r="I734" s="1697" t="s">
        <v>2447</v>
      </c>
      <c r="J734" s="1697">
        <f>G734</f>
        <v>450000</v>
      </c>
      <c r="K734" s="1697">
        <f>450000-J734</f>
        <v>0</v>
      </c>
      <c r="L734" s="1698"/>
      <c r="M734" s="386"/>
      <c r="N734" s="386"/>
      <c r="O734" s="386"/>
      <c r="P734" s="386"/>
      <c r="Q734" s="386"/>
    </row>
    <row r="735" spans="1:17" s="1660" customFormat="1" ht="30" customHeight="1" x14ac:dyDescent="0.2">
      <c r="A735" s="1658"/>
      <c r="B735" s="1656" t="s">
        <v>3566</v>
      </c>
      <c r="C735" s="1655"/>
      <c r="D735" s="1648">
        <v>6000000</v>
      </c>
      <c r="E735" s="1654">
        <f>F735/D735</f>
        <v>0.05</v>
      </c>
      <c r="F735" s="1648">
        <v>300000</v>
      </c>
      <c r="G735" s="1648">
        <v>2000000</v>
      </c>
      <c r="H735" s="1648" t="s">
        <v>3558</v>
      </c>
      <c r="I735" s="1648" t="s">
        <v>3567</v>
      </c>
      <c r="J735" s="1648">
        <f>G735</f>
        <v>2000000</v>
      </c>
      <c r="K735" s="1648">
        <f>F735-J735</f>
        <v>-1700000</v>
      </c>
      <c r="L735" s="1661" t="s">
        <v>3568</v>
      </c>
      <c r="M735" s="386"/>
      <c r="N735" s="386"/>
      <c r="O735" s="386"/>
      <c r="P735" s="386"/>
      <c r="Q735" s="386"/>
    </row>
    <row r="736" spans="1:17" s="1660" customFormat="1" ht="30" customHeight="1" x14ac:dyDescent="0.2">
      <c r="A736" s="1658"/>
      <c r="B736" s="1656" t="s">
        <v>3590</v>
      </c>
      <c r="C736" s="1655"/>
      <c r="D736" s="1648">
        <v>870000000</v>
      </c>
      <c r="E736" s="1654">
        <v>7.0999999999999994E-2</v>
      </c>
      <c r="F736" s="1648">
        <v>62000000</v>
      </c>
      <c r="G736" s="1648">
        <v>62000000</v>
      </c>
      <c r="H736" s="1648" t="s">
        <v>3660</v>
      </c>
      <c r="I736" s="1648" t="s">
        <v>3441</v>
      </c>
      <c r="J736" s="1648">
        <f>G736</f>
        <v>62000000</v>
      </c>
      <c r="K736" s="1648">
        <f>F736-J736</f>
        <v>0</v>
      </c>
      <c r="L736" s="1649" t="s">
        <v>3591</v>
      </c>
      <c r="M736" s="386"/>
      <c r="N736" s="386"/>
      <c r="O736" s="386"/>
      <c r="P736" s="386"/>
      <c r="Q736" s="386"/>
    </row>
    <row r="737" spans="1:17" s="1660" customFormat="1" ht="30" customHeight="1" x14ac:dyDescent="0.2">
      <c r="A737" s="4599"/>
      <c r="B737" s="4457" t="s">
        <v>3597</v>
      </c>
      <c r="C737" s="4537" t="s">
        <v>889</v>
      </c>
      <c r="D737" s="4303" t="s">
        <v>3552</v>
      </c>
      <c r="E737" s="4324"/>
      <c r="F737" s="4355"/>
      <c r="G737" s="1648">
        <v>30000000</v>
      </c>
      <c r="H737" s="1648" t="s">
        <v>3595</v>
      </c>
      <c r="I737" s="1648" t="s">
        <v>3598</v>
      </c>
      <c r="J737" s="1648">
        <f>G737</f>
        <v>30000000</v>
      </c>
      <c r="K737" s="1648"/>
      <c r="L737" s="1649" t="s">
        <v>3847</v>
      </c>
      <c r="M737" s="386"/>
      <c r="N737" s="386"/>
      <c r="O737" s="386"/>
      <c r="P737" s="386"/>
      <c r="Q737" s="386"/>
    </row>
    <row r="738" spans="1:17" s="1660" customFormat="1" ht="30" customHeight="1" x14ac:dyDescent="0.2">
      <c r="A738" s="4607"/>
      <c r="B738" s="4458"/>
      <c r="C738" s="4538"/>
      <c r="D738" s="1648">
        <v>200000000</v>
      </c>
      <c r="E738" s="1654">
        <v>0.05</v>
      </c>
      <c r="F738" s="1648">
        <f>D738*E738</f>
        <v>10000000</v>
      </c>
      <c r="G738" s="4469" t="s">
        <v>3599</v>
      </c>
      <c r="H738" s="4470"/>
      <c r="I738" s="4470"/>
      <c r="J738" s="4470"/>
      <c r="K738" s="4471"/>
      <c r="L738" s="1649"/>
      <c r="M738" s="386"/>
      <c r="N738" s="386"/>
      <c r="O738" s="386"/>
      <c r="P738" s="386"/>
      <c r="Q738" s="386"/>
    </row>
    <row r="739" spans="1:17" s="1660" customFormat="1" ht="30" customHeight="1" x14ac:dyDescent="0.2">
      <c r="A739" s="1658"/>
      <c r="B739" s="1656" t="s">
        <v>2305</v>
      </c>
      <c r="C739" s="1655"/>
      <c r="D739" s="4303" t="s">
        <v>3552</v>
      </c>
      <c r="E739" s="4324"/>
      <c r="F739" s="4355"/>
      <c r="G739" s="1682">
        <v>10000000</v>
      </c>
      <c r="H739" s="1682" t="s">
        <v>3607</v>
      </c>
      <c r="I739" s="1682" t="s">
        <v>3609</v>
      </c>
      <c r="J739" s="1682">
        <f>G739</f>
        <v>10000000</v>
      </c>
      <c r="K739" s="1682"/>
      <c r="L739" s="1649"/>
      <c r="M739" s="386"/>
      <c r="N739" s="386"/>
      <c r="O739" s="386"/>
      <c r="P739" s="386"/>
      <c r="Q739" s="386"/>
    </row>
    <row r="740" spans="1:17" s="1660" customFormat="1" ht="30" customHeight="1" x14ac:dyDescent="0.2">
      <c r="A740" s="1658"/>
      <c r="B740" s="1656" t="s">
        <v>3612</v>
      </c>
      <c r="C740" s="1655" t="s">
        <v>2278</v>
      </c>
      <c r="D740" s="1648">
        <v>100000000</v>
      </c>
      <c r="E740" s="1654">
        <v>0.05</v>
      </c>
      <c r="F740" s="1648">
        <f>D740*E740</f>
        <v>5000000</v>
      </c>
      <c r="G740" s="4469" t="s">
        <v>3217</v>
      </c>
      <c r="H740" s="4470"/>
      <c r="I740" s="4470"/>
      <c r="J740" s="4470"/>
      <c r="K740" s="4471"/>
      <c r="L740" s="1649"/>
      <c r="M740" s="386"/>
      <c r="N740" s="386"/>
      <c r="O740" s="386"/>
      <c r="P740" s="386"/>
      <c r="Q740" s="386"/>
    </row>
    <row r="741" spans="1:17" s="1660" customFormat="1" ht="30" customHeight="1" x14ac:dyDescent="0.2">
      <c r="A741" s="1702"/>
      <c r="B741" s="1701" t="s">
        <v>4057</v>
      </c>
      <c r="C741" s="1700" t="s">
        <v>2278</v>
      </c>
      <c r="D741" s="1697">
        <v>130000000</v>
      </c>
      <c r="E741" s="1699"/>
      <c r="F741" s="1697"/>
      <c r="G741" s="4469" t="s">
        <v>3217</v>
      </c>
      <c r="H741" s="4470"/>
      <c r="I741" s="4470"/>
      <c r="J741" s="4470"/>
      <c r="K741" s="4471"/>
      <c r="L741" s="1698"/>
      <c r="M741" s="386"/>
      <c r="N741" s="386"/>
      <c r="O741" s="386"/>
      <c r="P741" s="386"/>
      <c r="Q741" s="386"/>
    </row>
    <row r="742" spans="1:17" s="1660" customFormat="1" ht="30" customHeight="1" x14ac:dyDescent="0.2">
      <c r="A742" s="4599"/>
      <c r="B742" s="4457" t="s">
        <v>3674</v>
      </c>
      <c r="C742" s="4537"/>
      <c r="D742" s="1743">
        <v>1140000000</v>
      </c>
      <c r="E742" s="1745">
        <v>7.0000000000000007E-2</v>
      </c>
      <c r="F742" s="1743">
        <f>D742*E742</f>
        <v>79800000.000000015</v>
      </c>
      <c r="G742" s="4469" t="s">
        <v>3675</v>
      </c>
      <c r="H742" s="4470"/>
      <c r="I742" s="4470"/>
      <c r="J742" s="4471"/>
      <c r="K742" s="1697"/>
      <c r="L742" s="1698" t="s">
        <v>3695</v>
      </c>
      <c r="M742" s="386"/>
      <c r="N742" s="386"/>
      <c r="O742" s="386"/>
      <c r="P742" s="386"/>
      <c r="Q742" s="386"/>
    </row>
    <row r="743" spans="1:17" s="1660" customFormat="1" ht="30" customHeight="1" x14ac:dyDescent="0.2">
      <c r="A743" s="4607"/>
      <c r="B743" s="4458"/>
      <c r="C743" s="4538"/>
      <c r="D743" s="1743">
        <v>1300000000</v>
      </c>
      <c r="E743" s="1745">
        <v>7.0000000000000007E-2</v>
      </c>
      <c r="F743" s="1743">
        <f>D743*E743</f>
        <v>91000000.000000015</v>
      </c>
      <c r="G743" s="1760"/>
      <c r="H743" s="1760"/>
      <c r="I743" s="1760"/>
      <c r="J743" s="1760"/>
      <c r="K743" s="1743"/>
      <c r="L743" s="1744" t="s">
        <v>3709</v>
      </c>
      <c r="M743" s="386"/>
      <c r="N743" s="386"/>
      <c r="O743" s="386"/>
      <c r="P743" s="386"/>
      <c r="Q743" s="386"/>
    </row>
    <row r="744" spans="1:17" s="1660" customFormat="1" ht="30" customHeight="1" x14ac:dyDescent="0.2">
      <c r="A744" s="1748"/>
      <c r="B744" s="1747" t="s">
        <v>3707</v>
      </c>
      <c r="C744" s="1746" t="s">
        <v>3390</v>
      </c>
      <c r="D744" s="1743">
        <v>10000000</v>
      </c>
      <c r="E744" s="40"/>
      <c r="F744" s="1755"/>
      <c r="G744" s="1760"/>
      <c r="H744" s="1760"/>
      <c r="I744" s="1760"/>
      <c r="J744" s="1760"/>
      <c r="K744" s="1743"/>
      <c r="L744" s="1744" t="s">
        <v>3708</v>
      </c>
      <c r="M744" s="386"/>
      <c r="N744" s="386"/>
      <c r="O744" s="386"/>
      <c r="P744" s="386"/>
      <c r="Q744" s="386"/>
    </row>
    <row r="745" spans="1:17" s="1660" customFormat="1" ht="30" customHeight="1" x14ac:dyDescent="0.2">
      <c r="A745" s="1702"/>
      <c r="B745" s="1701" t="s">
        <v>3710</v>
      </c>
      <c r="C745" s="1700" t="s">
        <v>1652</v>
      </c>
      <c r="D745" s="1697">
        <v>58000000</v>
      </c>
      <c r="E745" s="1699"/>
      <c r="F745" s="1697"/>
      <c r="G745" s="1697"/>
      <c r="H745" s="1697"/>
      <c r="I745" s="1697"/>
      <c r="J745" s="1697"/>
      <c r="K745" s="1697"/>
      <c r="L745" s="1759" t="s">
        <v>3711</v>
      </c>
      <c r="M745" s="386"/>
      <c r="N745" s="386"/>
      <c r="O745" s="386"/>
      <c r="P745" s="386"/>
      <c r="Q745" s="386"/>
    </row>
    <row r="746" spans="1:17" s="1660" customFormat="1" ht="30" customHeight="1" x14ac:dyDescent="0.2">
      <c r="A746" s="1784"/>
      <c r="B746" s="1779" t="s">
        <v>3742</v>
      </c>
      <c r="C746" s="1778" t="s">
        <v>1300</v>
      </c>
      <c r="D746" s="1775">
        <v>100000000</v>
      </c>
      <c r="E746" s="1776">
        <v>0.05</v>
      </c>
      <c r="F746" s="1775">
        <f>D746*E746</f>
        <v>5000000</v>
      </c>
      <c r="G746" s="4469" t="s">
        <v>3217</v>
      </c>
      <c r="H746" s="4470"/>
      <c r="I746" s="4470"/>
      <c r="J746" s="4471"/>
      <c r="K746" s="1775"/>
      <c r="L746" s="1782"/>
      <c r="M746" s="386"/>
      <c r="N746" s="386"/>
      <c r="O746" s="386"/>
      <c r="P746" s="386"/>
      <c r="Q746" s="386"/>
    </row>
    <row r="747" spans="1:17" s="1660" customFormat="1" ht="30" customHeight="1" x14ac:dyDescent="0.2">
      <c r="A747" s="1815"/>
      <c r="B747" s="1811" t="s">
        <v>3743</v>
      </c>
      <c r="C747" s="1801"/>
      <c r="D747" s="1799">
        <v>96000000</v>
      </c>
      <c r="E747" s="1798">
        <v>0.05</v>
      </c>
      <c r="F747" s="1799">
        <v>5000000</v>
      </c>
      <c r="G747" s="4469" t="s">
        <v>3217</v>
      </c>
      <c r="H747" s="4470"/>
      <c r="I747" s="4470"/>
      <c r="J747" s="4471"/>
      <c r="K747" s="1799"/>
      <c r="L747" s="1814"/>
      <c r="M747" s="386"/>
      <c r="N747" s="386"/>
      <c r="O747" s="386"/>
      <c r="P747" s="386"/>
      <c r="Q747" s="386"/>
    </row>
    <row r="748" spans="1:17" s="1660" customFormat="1" ht="30" customHeight="1" x14ac:dyDescent="0.2">
      <c r="A748" s="1815"/>
      <c r="B748" s="1340" t="s">
        <v>3766</v>
      </c>
      <c r="C748" s="1801"/>
      <c r="D748" s="4303" t="s">
        <v>1326</v>
      </c>
      <c r="E748" s="4324"/>
      <c r="F748" s="4355"/>
      <c r="G748" s="1806">
        <v>2040000</v>
      </c>
      <c r="H748" s="1806" t="s">
        <v>3767</v>
      </c>
      <c r="I748" s="1806" t="s">
        <v>3768</v>
      </c>
      <c r="J748" s="1806">
        <f>G748</f>
        <v>2040000</v>
      </c>
      <c r="K748" s="1799">
        <v>0</v>
      </c>
      <c r="L748" s="1814" t="s">
        <v>3769</v>
      </c>
      <c r="M748" s="386"/>
      <c r="N748" s="386"/>
      <c r="O748" s="386"/>
      <c r="P748" s="386"/>
      <c r="Q748" s="386"/>
    </row>
    <row r="749" spans="1:17" s="1660" customFormat="1" ht="30" customHeight="1" x14ac:dyDescent="0.2">
      <c r="A749" s="1882"/>
      <c r="B749" s="1879" t="s">
        <v>3869</v>
      </c>
      <c r="C749" s="1878" t="s">
        <v>3219</v>
      </c>
      <c r="D749" s="1873">
        <v>100000000</v>
      </c>
      <c r="E749" s="1872">
        <v>0.06</v>
      </c>
      <c r="F749" s="1873">
        <f>D749*E749</f>
        <v>6000000</v>
      </c>
      <c r="G749" s="1873"/>
      <c r="H749" s="1873"/>
      <c r="I749" s="1875"/>
      <c r="J749" s="1873"/>
      <c r="K749" s="1873"/>
      <c r="L749" s="1881" t="s">
        <v>3872</v>
      </c>
      <c r="M749" s="386"/>
      <c r="N749" s="386"/>
      <c r="O749" s="386"/>
      <c r="P749" s="386"/>
      <c r="Q749" s="386"/>
    </row>
    <row r="750" spans="1:17" s="1660" customFormat="1" ht="30" customHeight="1" x14ac:dyDescent="0.2">
      <c r="A750" s="1882"/>
      <c r="B750" s="1879" t="s">
        <v>3871</v>
      </c>
      <c r="C750" s="1878" t="s">
        <v>3390</v>
      </c>
      <c r="D750" s="1876">
        <v>50000000</v>
      </c>
      <c r="E750" s="1872">
        <v>0.05</v>
      </c>
      <c r="F750" s="1873">
        <f>D750*E750</f>
        <v>2500000</v>
      </c>
      <c r="G750" s="1873"/>
      <c r="H750" s="1873"/>
      <c r="I750" s="1875"/>
      <c r="J750" s="1873"/>
      <c r="K750" s="1873"/>
      <c r="L750" s="1881"/>
      <c r="M750" s="386"/>
      <c r="N750" s="386"/>
      <c r="O750" s="386"/>
      <c r="P750" s="386"/>
      <c r="Q750" s="386"/>
    </row>
    <row r="751" spans="1:17" s="1660" customFormat="1" ht="30" customHeight="1" x14ac:dyDescent="0.2">
      <c r="A751" s="1882"/>
      <c r="B751" s="1879" t="s">
        <v>3890</v>
      </c>
      <c r="C751" s="1878"/>
      <c r="D751" s="1904"/>
      <c r="E751" s="1904"/>
      <c r="F751" s="1904"/>
      <c r="G751" s="1873">
        <v>800000</v>
      </c>
      <c r="H751" s="1873" t="s">
        <v>3886</v>
      </c>
      <c r="I751" s="1875" t="s">
        <v>3891</v>
      </c>
      <c r="J751" s="1873">
        <f>G751</f>
        <v>800000</v>
      </c>
      <c r="K751" s="1873">
        <f>F751-J751</f>
        <v>-800000</v>
      </c>
      <c r="L751" s="1881"/>
      <c r="M751" s="386"/>
      <c r="N751" s="386"/>
      <c r="O751" s="386"/>
      <c r="P751" s="386"/>
      <c r="Q751" s="386"/>
    </row>
    <row r="752" spans="1:17" s="1660" customFormat="1" ht="30" customHeight="1" x14ac:dyDescent="0.2">
      <c r="A752" s="1882"/>
      <c r="B752" s="1879" t="s">
        <v>3895</v>
      </c>
      <c r="C752" s="1878"/>
      <c r="D752" s="1876">
        <v>120000000</v>
      </c>
      <c r="E752" s="1898">
        <v>0.05</v>
      </c>
      <c r="F752" s="1900">
        <f>D752*E752</f>
        <v>6000000</v>
      </c>
      <c r="G752" s="4469" t="s">
        <v>3896</v>
      </c>
      <c r="H752" s="4470"/>
      <c r="I752" s="4470"/>
      <c r="J752" s="4471"/>
      <c r="K752" s="1873"/>
      <c r="L752" s="1881" t="s">
        <v>3897</v>
      </c>
      <c r="M752" s="386"/>
      <c r="N752" s="386"/>
      <c r="O752" s="386"/>
      <c r="P752" s="386"/>
      <c r="Q752" s="386"/>
    </row>
    <row r="753" spans="1:17" s="1660" customFormat="1" ht="30" customHeight="1" x14ac:dyDescent="0.2">
      <c r="A753" s="4599"/>
      <c r="B753" s="4457" t="s">
        <v>3957</v>
      </c>
      <c r="C753" s="4537"/>
      <c r="D753" s="4413">
        <v>50000000</v>
      </c>
      <c r="E753" s="4476">
        <v>0.05</v>
      </c>
      <c r="F753" s="4413">
        <f>D753*E753</f>
        <v>2500000</v>
      </c>
      <c r="G753" s="1933">
        <v>500000</v>
      </c>
      <c r="H753" s="1933" t="s">
        <v>3958</v>
      </c>
      <c r="I753" s="1933" t="s">
        <v>3959</v>
      </c>
      <c r="J753" s="4413">
        <f>G753+G754</f>
        <v>2500000</v>
      </c>
      <c r="K753" s="4413"/>
      <c r="L753" s="4603"/>
      <c r="M753" s="386"/>
      <c r="N753" s="386"/>
      <c r="O753" s="386"/>
      <c r="P753" s="386"/>
      <c r="Q753" s="386"/>
    </row>
    <row r="754" spans="1:17" s="1660" customFormat="1" ht="30" customHeight="1" x14ac:dyDescent="0.2">
      <c r="A754" s="4607"/>
      <c r="B754" s="4458"/>
      <c r="C754" s="4538"/>
      <c r="D754" s="4415"/>
      <c r="E754" s="4477"/>
      <c r="F754" s="4415"/>
      <c r="G754" s="1933">
        <v>2000000</v>
      </c>
      <c r="H754" s="1933" t="s">
        <v>3943</v>
      </c>
      <c r="I754" s="1933" t="s">
        <v>3959</v>
      </c>
      <c r="J754" s="4415"/>
      <c r="K754" s="4415"/>
      <c r="L754" s="4604"/>
      <c r="M754" s="386"/>
      <c r="N754" s="386"/>
      <c r="O754" s="386"/>
      <c r="P754" s="386"/>
      <c r="Q754" s="386"/>
    </row>
    <row r="755" spans="1:17" s="1660" customFormat="1" ht="30" customHeight="1" x14ac:dyDescent="0.2">
      <c r="A755" s="1946"/>
      <c r="B755" s="1945"/>
      <c r="C755" s="1941"/>
      <c r="D755" s="1937"/>
      <c r="E755" s="1935"/>
      <c r="F755" s="1937"/>
      <c r="G755" s="1948"/>
      <c r="H755" s="1949"/>
      <c r="I755" s="1949"/>
      <c r="J755" s="1950"/>
      <c r="K755" s="1937"/>
      <c r="L755" s="1942"/>
      <c r="M755" s="386"/>
      <c r="N755" s="386"/>
      <c r="O755" s="386"/>
      <c r="P755" s="386"/>
      <c r="Q755" s="386"/>
    </row>
    <row r="756" spans="1:17" ht="30" customHeight="1" x14ac:dyDescent="0.2">
      <c r="A756" s="4876" t="s">
        <v>3394</v>
      </c>
      <c r="B756" s="4877"/>
      <c r="C756" s="1032"/>
      <c r="D756" s="294">
        <f>97120523000+1000000000</f>
        <v>98120523000</v>
      </c>
      <c r="E756" s="1577"/>
      <c r="F756" s="1469"/>
      <c r="G756" s="1469"/>
      <c r="H756" s="1469"/>
      <c r="I756" s="21"/>
      <c r="J756" s="1469"/>
      <c r="K756" s="1469"/>
      <c r="L756" s="1574"/>
    </row>
  </sheetData>
  <mergeCells count="1003">
    <mergeCell ref="B150:B153"/>
    <mergeCell ref="C150:C153"/>
    <mergeCell ref="G150:J150"/>
    <mergeCell ref="K435:K437"/>
    <mergeCell ref="B433:B434"/>
    <mergeCell ref="B117:B118"/>
    <mergeCell ref="C117:C118"/>
    <mergeCell ref="G542:I542"/>
    <mergeCell ref="A542:A543"/>
    <mergeCell ref="B542:B543"/>
    <mergeCell ref="C542:C543"/>
    <mergeCell ref="G543:J543"/>
    <mergeCell ref="B659:B664"/>
    <mergeCell ref="C659:C664"/>
    <mergeCell ref="G661:J663"/>
    <mergeCell ref="G664:J664"/>
    <mergeCell ref="J562:J563"/>
    <mergeCell ref="C612:C613"/>
    <mergeCell ref="C595:C596"/>
    <mergeCell ref="D619:F622"/>
    <mergeCell ref="B588:B590"/>
    <mergeCell ref="C619:C623"/>
    <mergeCell ref="B618:B623"/>
    <mergeCell ref="D615:D616"/>
    <mergeCell ref="E615:E616"/>
    <mergeCell ref="F615:F616"/>
    <mergeCell ref="D595:D596"/>
    <mergeCell ref="E595:E596"/>
    <mergeCell ref="G624:G628"/>
    <mergeCell ref="C444:C445"/>
    <mergeCell ref="C497:C498"/>
    <mergeCell ref="C490:C491"/>
    <mergeCell ref="C438:C441"/>
    <mergeCell ref="C493:C494"/>
    <mergeCell ref="A480:A481"/>
    <mergeCell ref="A490:A491"/>
    <mergeCell ref="A406:A415"/>
    <mergeCell ref="A422:A423"/>
    <mergeCell ref="A427:A428"/>
    <mergeCell ref="A435:A437"/>
    <mergeCell ref="B435:B437"/>
    <mergeCell ref="C435:C437"/>
    <mergeCell ref="B485:B487"/>
    <mergeCell ref="C477:C478"/>
    <mergeCell ref="A456:A457"/>
    <mergeCell ref="C456:C457"/>
    <mergeCell ref="A485:A487"/>
    <mergeCell ref="B444:B445"/>
    <mergeCell ref="A433:A434"/>
    <mergeCell ref="B427:B428"/>
    <mergeCell ref="C427:C428"/>
    <mergeCell ref="B406:B415"/>
    <mergeCell ref="A477:A478"/>
    <mergeCell ref="B477:B478"/>
    <mergeCell ref="B480:B481"/>
    <mergeCell ref="C480:C481"/>
    <mergeCell ref="A469:A472"/>
    <mergeCell ref="C469:C472"/>
    <mergeCell ref="A444:A445"/>
    <mergeCell ref="B438:B441"/>
    <mergeCell ref="B463:B468"/>
    <mergeCell ref="B490:B491"/>
    <mergeCell ref="C433:C434"/>
    <mergeCell ref="B493:B494"/>
    <mergeCell ref="G95:I95"/>
    <mergeCell ref="F323:F324"/>
    <mergeCell ref="A397:A398"/>
    <mergeCell ref="A124:A125"/>
    <mergeCell ref="H163:H165"/>
    <mergeCell ref="I163:I165"/>
    <mergeCell ref="J163:J165"/>
    <mergeCell ref="B124:B125"/>
    <mergeCell ref="D124:D125"/>
    <mergeCell ref="E124:E125"/>
    <mergeCell ref="F124:F125"/>
    <mergeCell ref="A383:A385"/>
    <mergeCell ref="G216:J216"/>
    <mergeCell ref="B308:B310"/>
    <mergeCell ref="E341:E343"/>
    <mergeCell ref="F341:F343"/>
    <mergeCell ref="F357:F358"/>
    <mergeCell ref="C377:C378"/>
    <mergeCell ref="F336:F337"/>
    <mergeCell ref="G260:K260"/>
    <mergeCell ref="A373:A374"/>
    <mergeCell ref="A391:A394"/>
    <mergeCell ref="B391:B394"/>
    <mergeCell ref="A357:A359"/>
    <mergeCell ref="A336:A337"/>
    <mergeCell ref="B336:B337"/>
    <mergeCell ref="E357:E358"/>
    <mergeCell ref="B341:B343"/>
    <mergeCell ref="B357:B359"/>
    <mergeCell ref="C351:C352"/>
    <mergeCell ref="C357:C359"/>
    <mergeCell ref="B377:B378"/>
    <mergeCell ref="L753:L754"/>
    <mergeCell ref="B753:B754"/>
    <mergeCell ref="A753:A754"/>
    <mergeCell ref="J753:J754"/>
    <mergeCell ref="K753:K754"/>
    <mergeCell ref="C753:C754"/>
    <mergeCell ref="D753:D754"/>
    <mergeCell ref="E753:E754"/>
    <mergeCell ref="F753:F754"/>
    <mergeCell ref="A493:A494"/>
    <mergeCell ref="A499:A500"/>
    <mergeCell ref="A526:A540"/>
    <mergeCell ref="L480:L481"/>
    <mergeCell ref="L511:L512"/>
    <mergeCell ref="L517:L525"/>
    <mergeCell ref="L474:L475"/>
    <mergeCell ref="A654:A655"/>
    <mergeCell ref="C654:C655"/>
    <mergeCell ref="D686:F686"/>
    <mergeCell ref="F693:F694"/>
    <mergeCell ref="E693:E694"/>
    <mergeCell ref="C644:C645"/>
    <mergeCell ref="D629:D630"/>
    <mergeCell ref="A659:A663"/>
    <mergeCell ref="G752:J752"/>
    <mergeCell ref="A592:A593"/>
    <mergeCell ref="B592:B593"/>
    <mergeCell ref="C592:C593"/>
    <mergeCell ref="D592:D593"/>
    <mergeCell ref="B742:B743"/>
    <mergeCell ref="C742:C743"/>
    <mergeCell ref="A742:A743"/>
    <mergeCell ref="J466:J468"/>
    <mergeCell ref="B469:B472"/>
    <mergeCell ref="A562:A563"/>
    <mergeCell ref="A568:A578"/>
    <mergeCell ref="C513:C514"/>
    <mergeCell ref="E449:F449"/>
    <mergeCell ref="B448:B453"/>
    <mergeCell ref="A448:A453"/>
    <mergeCell ref="B526:B540"/>
    <mergeCell ref="A559:A560"/>
    <mergeCell ref="B559:B560"/>
    <mergeCell ref="C559:C560"/>
    <mergeCell ref="J444:J445"/>
    <mergeCell ref="J486:J487"/>
    <mergeCell ref="G505:J505"/>
    <mergeCell ref="F499:F500"/>
    <mergeCell ref="D499:D500"/>
    <mergeCell ref="J503:J504"/>
    <mergeCell ref="D480:D481"/>
    <mergeCell ref="B499:B500"/>
    <mergeCell ref="E499:E500"/>
    <mergeCell ref="E480:E481"/>
    <mergeCell ref="G478:J478"/>
    <mergeCell ref="D469:D472"/>
    <mergeCell ref="E469:E472"/>
    <mergeCell ref="F469:F472"/>
    <mergeCell ref="D463:D464"/>
    <mergeCell ref="E463:E464"/>
    <mergeCell ref="F463:F464"/>
    <mergeCell ref="D539:E539"/>
    <mergeCell ref="A463:A468"/>
    <mergeCell ref="C463:C468"/>
    <mergeCell ref="I511:I512"/>
    <mergeCell ref="I602:I603"/>
    <mergeCell ref="H602:H603"/>
    <mergeCell ref="D734:F734"/>
    <mergeCell ref="D733:F733"/>
    <mergeCell ref="A693:A694"/>
    <mergeCell ref="B693:B694"/>
    <mergeCell ref="B654:B655"/>
    <mergeCell ref="B683:B684"/>
    <mergeCell ref="C683:C684"/>
    <mergeCell ref="A683:A684"/>
    <mergeCell ref="A674:A675"/>
    <mergeCell ref="A680:A682"/>
    <mergeCell ref="D693:D694"/>
    <mergeCell ref="E674:E675"/>
    <mergeCell ref="D680:D682"/>
    <mergeCell ref="A722:A723"/>
    <mergeCell ref="C722:C723"/>
    <mergeCell ref="A716:A717"/>
    <mergeCell ref="G536:K536"/>
    <mergeCell ref="G537:K537"/>
    <mergeCell ref="G514:J514"/>
    <mergeCell ref="K511:K512"/>
    <mergeCell ref="C517:C525"/>
    <mergeCell ref="A588:A590"/>
    <mergeCell ref="B595:B596"/>
    <mergeCell ref="C564:C565"/>
    <mergeCell ref="B562:B563"/>
    <mergeCell ref="C562:C563"/>
    <mergeCell ref="K559:K560"/>
    <mergeCell ref="J559:J560"/>
    <mergeCell ref="G559:G560"/>
    <mergeCell ref="G740:K740"/>
    <mergeCell ref="G741:K741"/>
    <mergeCell ref="B737:B738"/>
    <mergeCell ref="C737:C738"/>
    <mergeCell ref="D737:F737"/>
    <mergeCell ref="G738:K738"/>
    <mergeCell ref="C731:C732"/>
    <mergeCell ref="D731:D732"/>
    <mergeCell ref="E731:E732"/>
    <mergeCell ref="F731:F732"/>
    <mergeCell ref="K674:K675"/>
    <mergeCell ref="B674:B675"/>
    <mergeCell ref="K659:K660"/>
    <mergeCell ref="D729:F729"/>
    <mergeCell ref="B731:B732"/>
    <mergeCell ref="B716:B717"/>
    <mergeCell ref="C680:C682"/>
    <mergeCell ref="C693:C694"/>
    <mergeCell ref="F674:F675"/>
    <mergeCell ref="B722:B723"/>
    <mergeCell ref="B704:B705"/>
    <mergeCell ref="G722:J722"/>
    <mergeCell ref="G680:G684"/>
    <mergeCell ref="H680:H684"/>
    <mergeCell ref="I680:I684"/>
    <mergeCell ref="J680:J684"/>
    <mergeCell ref="K680:K684"/>
    <mergeCell ref="K700:K701"/>
    <mergeCell ref="B733:B734"/>
    <mergeCell ref="C733:C734"/>
    <mergeCell ref="L700:L701"/>
    <mergeCell ref="L699:P699"/>
    <mergeCell ref="I727:K727"/>
    <mergeCell ref="I710:K710"/>
    <mergeCell ref="G723:J723"/>
    <mergeCell ref="H704:H705"/>
    <mergeCell ref="I704:I705"/>
    <mergeCell ref="J704:J705"/>
    <mergeCell ref="K704:K705"/>
    <mergeCell ref="K731:K732"/>
    <mergeCell ref="G725:J725"/>
    <mergeCell ref="G720:J720"/>
    <mergeCell ref="J731:J732"/>
    <mergeCell ref="L217:L218"/>
    <mergeCell ref="K227:K236"/>
    <mergeCell ref="D323:D324"/>
    <mergeCell ref="L321:L322"/>
    <mergeCell ref="L277:L278"/>
    <mergeCell ref="G511:G512"/>
    <mergeCell ref="G517:G524"/>
    <mergeCell ref="F595:F596"/>
    <mergeCell ref="L564:L565"/>
    <mergeCell ref="L562:L563"/>
    <mergeCell ref="L566:L567"/>
    <mergeCell ref="L559:L560"/>
    <mergeCell ref="L640:L641"/>
    <mergeCell ref="L659:L660"/>
    <mergeCell ref="J674:J675"/>
    <mergeCell ref="L586:L587"/>
    <mergeCell ref="G621:J621"/>
    <mergeCell ref="G622:J622"/>
    <mergeCell ref="G648:J648"/>
    <mergeCell ref="C259:C260"/>
    <mergeCell ref="H308:H310"/>
    <mergeCell ref="H255:H256"/>
    <mergeCell ref="I255:I256"/>
    <mergeCell ref="K274:K278"/>
    <mergeCell ref="L227:L236"/>
    <mergeCell ref="G272:J272"/>
    <mergeCell ref="I217:I218"/>
    <mergeCell ref="J217:J218"/>
    <mergeCell ref="G255:G256"/>
    <mergeCell ref="F217:F222"/>
    <mergeCell ref="G286:G287"/>
    <mergeCell ref="C323:C324"/>
    <mergeCell ref="F286:F287"/>
    <mergeCell ref="K321:K322"/>
    <mergeCell ref="J299:J300"/>
    <mergeCell ref="L268:P268"/>
    <mergeCell ref="K295:K296"/>
    <mergeCell ref="L295:L296"/>
    <mergeCell ref="E323:E324"/>
    <mergeCell ref="H321:H322"/>
    <mergeCell ref="C227:C236"/>
    <mergeCell ref="D227:D236"/>
    <mergeCell ref="B400:B401"/>
    <mergeCell ref="C400:C401"/>
    <mergeCell ref="D384:F384"/>
    <mergeCell ref="B383:B385"/>
    <mergeCell ref="B351:B352"/>
    <mergeCell ref="D374:F374"/>
    <mergeCell ref="D357:D358"/>
    <mergeCell ref="A381:A382"/>
    <mergeCell ref="A375:A376"/>
    <mergeCell ref="B373:B374"/>
    <mergeCell ref="C341:C343"/>
    <mergeCell ref="D341:D343"/>
    <mergeCell ref="A400:A401"/>
    <mergeCell ref="A756:B756"/>
    <mergeCell ref="E553:F553"/>
    <mergeCell ref="D523:E523"/>
    <mergeCell ref="D525:E525"/>
    <mergeCell ref="A556:A557"/>
    <mergeCell ref="B556:B557"/>
    <mergeCell ref="E680:E682"/>
    <mergeCell ref="F680:F682"/>
    <mergeCell ref="A700:A701"/>
    <mergeCell ref="B700:B701"/>
    <mergeCell ref="C700:C701"/>
    <mergeCell ref="D700:D701"/>
    <mergeCell ref="E700:E701"/>
    <mergeCell ref="F700:F701"/>
    <mergeCell ref="A615:A616"/>
    <mergeCell ref="B612:B613"/>
    <mergeCell ref="A377:A378"/>
    <mergeCell ref="B644:B646"/>
    <mergeCell ref="A704:A705"/>
    <mergeCell ref="D503:F504"/>
    <mergeCell ref="C586:C587"/>
    <mergeCell ref="D586:D587"/>
    <mergeCell ref="D564:D565"/>
    <mergeCell ref="D568:D578"/>
    <mergeCell ref="C588:C590"/>
    <mergeCell ref="D674:D675"/>
    <mergeCell ref="C674:C675"/>
    <mergeCell ref="A644:A646"/>
    <mergeCell ref="B629:B630"/>
    <mergeCell ref="B602:B603"/>
    <mergeCell ref="B651:B653"/>
    <mergeCell ref="A651:A653"/>
    <mergeCell ref="C651:C653"/>
    <mergeCell ref="D640:F642"/>
    <mergeCell ref="F592:F593"/>
    <mergeCell ref="D612:D613"/>
    <mergeCell ref="E612:E613"/>
    <mergeCell ref="A595:A596"/>
    <mergeCell ref="E562:E563"/>
    <mergeCell ref="A648:A650"/>
    <mergeCell ref="C648:C650"/>
    <mergeCell ref="A618:A623"/>
    <mergeCell ref="A612:A613"/>
    <mergeCell ref="B615:B616"/>
    <mergeCell ref="A602:A603"/>
    <mergeCell ref="F629:F630"/>
    <mergeCell ref="A624:A630"/>
    <mergeCell ref="C624:C628"/>
    <mergeCell ref="F562:F563"/>
    <mergeCell ref="B568:B578"/>
    <mergeCell ref="A564:A565"/>
    <mergeCell ref="B497:B498"/>
    <mergeCell ref="A505:A506"/>
    <mergeCell ref="D505:D506"/>
    <mergeCell ref="E505:E506"/>
    <mergeCell ref="F505:F506"/>
    <mergeCell ref="C505:C506"/>
    <mergeCell ref="B505:B506"/>
    <mergeCell ref="B648:B650"/>
    <mergeCell ref="A511:A512"/>
    <mergeCell ref="B511:B512"/>
    <mergeCell ref="D562:D563"/>
    <mergeCell ref="C629:C630"/>
    <mergeCell ref="D602:D603"/>
    <mergeCell ref="E602:E603"/>
    <mergeCell ref="F602:F603"/>
    <mergeCell ref="G535:K535"/>
    <mergeCell ref="K517:K524"/>
    <mergeCell ref="J517:J524"/>
    <mergeCell ref="J511:J512"/>
    <mergeCell ref="I517:I524"/>
    <mergeCell ref="H511:H512"/>
    <mergeCell ref="H517:H524"/>
    <mergeCell ref="D537:E537"/>
    <mergeCell ref="C526:C540"/>
    <mergeCell ref="G525:K525"/>
    <mergeCell ref="J602:J603"/>
    <mergeCell ref="K612:K613"/>
    <mergeCell ref="G619:J619"/>
    <mergeCell ref="C615:C616"/>
    <mergeCell ref="C602:C603"/>
    <mergeCell ref="F612:F613"/>
    <mergeCell ref="H559:H560"/>
    <mergeCell ref="C568:C578"/>
    <mergeCell ref="F568:F578"/>
    <mergeCell ref="E568:E578"/>
    <mergeCell ref="C566:C567"/>
    <mergeCell ref="K562:K563"/>
    <mergeCell ref="J586:J587"/>
    <mergeCell ref="G589:J589"/>
    <mergeCell ref="G580:J580"/>
    <mergeCell ref="A579:A580"/>
    <mergeCell ref="E592:E593"/>
    <mergeCell ref="H624:H628"/>
    <mergeCell ref="K564:K565"/>
    <mergeCell ref="G566:G567"/>
    <mergeCell ref="I559:I560"/>
    <mergeCell ref="K569:K578"/>
    <mergeCell ref="I566:I567"/>
    <mergeCell ref="K566:K567"/>
    <mergeCell ref="J569:J578"/>
    <mergeCell ref="J564:J565"/>
    <mergeCell ref="K586:K587"/>
    <mergeCell ref="G646:J646"/>
    <mergeCell ref="L674:L675"/>
    <mergeCell ref="L602:L603"/>
    <mergeCell ref="L615:L616"/>
    <mergeCell ref="K602:K603"/>
    <mergeCell ref="G590:J590"/>
    <mergeCell ref="K595:K596"/>
    <mergeCell ref="K619:K622"/>
    <mergeCell ref="G620:J620"/>
    <mergeCell ref="G602:G603"/>
    <mergeCell ref="L629:L630"/>
    <mergeCell ref="J659:J660"/>
    <mergeCell ref="G645:J645"/>
    <mergeCell ref="I588:K588"/>
    <mergeCell ref="L595:L596"/>
    <mergeCell ref="G612:J613"/>
    <mergeCell ref="I624:I628"/>
    <mergeCell ref="J624:J628"/>
    <mergeCell ref="K629:K630"/>
    <mergeCell ref="G652:J652"/>
    <mergeCell ref="G653:J653"/>
    <mergeCell ref="J640:J642"/>
    <mergeCell ref="K640:K642"/>
    <mergeCell ref="K615:K616"/>
    <mergeCell ref="J595:J596"/>
    <mergeCell ref="L408:L409"/>
    <mergeCell ref="L389:L390"/>
    <mergeCell ref="L427:L428"/>
    <mergeCell ref="L503:L504"/>
    <mergeCell ref="L499:L500"/>
    <mergeCell ref="H444:H445"/>
    <mergeCell ref="I444:I445"/>
    <mergeCell ref="H497:H498"/>
    <mergeCell ref="I497:I498"/>
    <mergeCell ref="J470:J472"/>
    <mergeCell ref="G448:J449"/>
    <mergeCell ref="G450:J450"/>
    <mergeCell ref="G451:J451"/>
    <mergeCell ref="L435:L436"/>
    <mergeCell ref="H427:H428"/>
    <mergeCell ref="J427:J428"/>
    <mergeCell ref="H389:H390"/>
    <mergeCell ref="J389:J390"/>
    <mergeCell ref="K427:K428"/>
    <mergeCell ref="L444:L445"/>
    <mergeCell ref="I411:I412"/>
    <mergeCell ref="G416:J419"/>
    <mergeCell ref="H411:H412"/>
    <mergeCell ref="L412:L413"/>
    <mergeCell ref="I456:I457"/>
    <mergeCell ref="I389:I390"/>
    <mergeCell ref="K456:K457"/>
    <mergeCell ref="I474:I475"/>
    <mergeCell ref="G452:J452"/>
    <mergeCell ref="G453:J453"/>
    <mergeCell ref="J474:J475"/>
    <mergeCell ref="G465:J465"/>
    <mergeCell ref="L365:L366"/>
    <mergeCell ref="H365:H366"/>
    <mergeCell ref="G365:G366"/>
    <mergeCell ref="L375:L376"/>
    <mergeCell ref="K503:K504"/>
    <mergeCell ref="L456:L457"/>
    <mergeCell ref="G456:G457"/>
    <mergeCell ref="H456:H457"/>
    <mergeCell ref="L497:L498"/>
    <mergeCell ref="L416:L420"/>
    <mergeCell ref="K416:K420"/>
    <mergeCell ref="G474:G475"/>
    <mergeCell ref="H474:H475"/>
    <mergeCell ref="K490:K491"/>
    <mergeCell ref="K486:K487"/>
    <mergeCell ref="G444:G445"/>
    <mergeCell ref="K470:K472"/>
    <mergeCell ref="K412:K413"/>
    <mergeCell ref="K480:K481"/>
    <mergeCell ref="K474:K475"/>
    <mergeCell ref="J400:J401"/>
    <mergeCell ref="H400:H401"/>
    <mergeCell ref="I400:I401"/>
    <mergeCell ref="G427:G428"/>
    <mergeCell ref="K389:K390"/>
    <mergeCell ref="K400:K401"/>
    <mergeCell ref="K381:K382"/>
    <mergeCell ref="G389:G390"/>
    <mergeCell ref="J480:J481"/>
    <mergeCell ref="K497:K498"/>
    <mergeCell ref="K466:K468"/>
    <mergeCell ref="G414:J414"/>
    <mergeCell ref="L19:L20"/>
    <mergeCell ref="K26:K27"/>
    <mergeCell ref="C26:C27"/>
    <mergeCell ref="G26:G27"/>
    <mergeCell ref="H26:H27"/>
    <mergeCell ref="I26:I27"/>
    <mergeCell ref="J26:J27"/>
    <mergeCell ref="A17:A18"/>
    <mergeCell ref="B17:B18"/>
    <mergeCell ref="D18:F18"/>
    <mergeCell ref="G19:G20"/>
    <mergeCell ref="H19:H20"/>
    <mergeCell ref="I19:I20"/>
    <mergeCell ref="E26:E27"/>
    <mergeCell ref="F26:F27"/>
    <mergeCell ref="J19:J20"/>
    <mergeCell ref="A19:A20"/>
    <mergeCell ref="B19:B20"/>
    <mergeCell ref="C19:C20"/>
    <mergeCell ref="A26:A27"/>
    <mergeCell ref="L15:L16"/>
    <mergeCell ref="G8:J8"/>
    <mergeCell ref="B5:B7"/>
    <mergeCell ref="A5:A7"/>
    <mergeCell ref="C5:C7"/>
    <mergeCell ref="G6:J6"/>
    <mergeCell ref="G7:J7"/>
    <mergeCell ref="A15:A16"/>
    <mergeCell ref="B15:B16"/>
    <mergeCell ref="J15:J16"/>
    <mergeCell ref="K15:K16"/>
    <mergeCell ref="L47:N47"/>
    <mergeCell ref="L48:N48"/>
    <mergeCell ref="L49:N49"/>
    <mergeCell ref="K45:K47"/>
    <mergeCell ref="K48:K49"/>
    <mergeCell ref="G39:J39"/>
    <mergeCell ref="L28:L29"/>
    <mergeCell ref="G45:G46"/>
    <mergeCell ref="G28:G29"/>
    <mergeCell ref="H28:H29"/>
    <mergeCell ref="I28:I29"/>
    <mergeCell ref="K28:K29"/>
    <mergeCell ref="I45:I47"/>
    <mergeCell ref="J45:J47"/>
    <mergeCell ref="H45:H47"/>
    <mergeCell ref="G47:G49"/>
    <mergeCell ref="H48:J49"/>
    <mergeCell ref="L45:L46"/>
    <mergeCell ref="A45:A46"/>
    <mergeCell ref="B26:B27"/>
    <mergeCell ref="K19:K20"/>
    <mergeCell ref="J80:J81"/>
    <mergeCell ref="J28:J29"/>
    <mergeCell ref="D37:F38"/>
    <mergeCell ref="D47:D49"/>
    <mergeCell ref="F47:F49"/>
    <mergeCell ref="G59:G60"/>
    <mergeCell ref="G82:J82"/>
    <mergeCell ref="G78:K78"/>
    <mergeCell ref="G79:K79"/>
    <mergeCell ref="D88:D94"/>
    <mergeCell ref="K37:K38"/>
    <mergeCell ref="J37:J38"/>
    <mergeCell ref="I76:I77"/>
    <mergeCell ref="E80:E81"/>
    <mergeCell ref="E47:E49"/>
    <mergeCell ref="E88:E94"/>
    <mergeCell ref="F80:F81"/>
    <mergeCell ref="K64:K65"/>
    <mergeCell ref="D64:D67"/>
    <mergeCell ref="G85:G87"/>
    <mergeCell ref="H85:H87"/>
    <mergeCell ref="I85:I87"/>
    <mergeCell ref="D72:D74"/>
    <mergeCell ref="E64:E67"/>
    <mergeCell ref="F64:F67"/>
    <mergeCell ref="K76:K77"/>
    <mergeCell ref="D80:D81"/>
    <mergeCell ref="G68:J68"/>
    <mergeCell ref="H76:H77"/>
    <mergeCell ref="F72:F74"/>
    <mergeCell ref="L59:L60"/>
    <mergeCell ref="K59:K60"/>
    <mergeCell ref="F173:F175"/>
    <mergeCell ref="F168:F169"/>
    <mergeCell ref="L112:L113"/>
    <mergeCell ref="J98:J99"/>
    <mergeCell ref="L80:L82"/>
    <mergeCell ref="L62:L63"/>
    <mergeCell ref="K163:K165"/>
    <mergeCell ref="L155:L157"/>
    <mergeCell ref="J119:J120"/>
    <mergeCell ref="J64:J65"/>
    <mergeCell ref="G66:K66"/>
    <mergeCell ref="K101:K102"/>
    <mergeCell ref="G101:J103"/>
    <mergeCell ref="G98:I99"/>
    <mergeCell ref="G108:J108"/>
    <mergeCell ref="G76:G77"/>
    <mergeCell ref="G72:J72"/>
    <mergeCell ref="J59:J60"/>
    <mergeCell ref="H59:H60"/>
    <mergeCell ref="I59:I60"/>
    <mergeCell ref="K62:K63"/>
    <mergeCell ref="K119:K120"/>
    <mergeCell ref="L126:L127"/>
    <mergeCell ref="L139:P139"/>
    <mergeCell ref="L119:L120"/>
    <mergeCell ref="L101:L103"/>
    <mergeCell ref="L88:L90"/>
    <mergeCell ref="G91:I94"/>
    <mergeCell ref="K98:K99"/>
    <mergeCell ref="L98:L99"/>
    <mergeCell ref="J112:J113"/>
    <mergeCell ref="K126:K127"/>
    <mergeCell ref="L135:L136"/>
    <mergeCell ref="L107:L108"/>
    <mergeCell ref="L115:L116"/>
    <mergeCell ref="L83:L84"/>
    <mergeCell ref="J85:J87"/>
    <mergeCell ref="K83:K84"/>
    <mergeCell ref="J62:J63"/>
    <mergeCell ref="L173:L175"/>
    <mergeCell ref="K173:K175"/>
    <mergeCell ref="K186:K187"/>
    <mergeCell ref="J173:J175"/>
    <mergeCell ref="G156:J156"/>
    <mergeCell ref="L151:L153"/>
    <mergeCell ref="G153:J153"/>
    <mergeCell ref="J143:J144"/>
    <mergeCell ref="L143:L144"/>
    <mergeCell ref="G181:J181"/>
    <mergeCell ref="K143:K144"/>
    <mergeCell ref="L145:L146"/>
    <mergeCell ref="K80:K81"/>
    <mergeCell ref="H83:H84"/>
    <mergeCell ref="I83:I84"/>
    <mergeCell ref="K88:K94"/>
    <mergeCell ref="G83:G84"/>
    <mergeCell ref="J83:J84"/>
    <mergeCell ref="J115:J116"/>
    <mergeCell ref="J135:J136"/>
    <mergeCell ref="J73:J74"/>
    <mergeCell ref="J76:J77"/>
    <mergeCell ref="J88:J94"/>
    <mergeCell ref="A189:A196"/>
    <mergeCell ref="G194:J194"/>
    <mergeCell ref="G196:J196"/>
    <mergeCell ref="L186:L187"/>
    <mergeCell ref="J189:J190"/>
    <mergeCell ref="G200:G201"/>
    <mergeCell ref="G192:J192"/>
    <mergeCell ref="A206:A207"/>
    <mergeCell ref="A210:A211"/>
    <mergeCell ref="B210:B211"/>
    <mergeCell ref="G195:J195"/>
    <mergeCell ref="L210:L211"/>
    <mergeCell ref="L200:L201"/>
    <mergeCell ref="K189:K190"/>
    <mergeCell ref="L189:L190"/>
    <mergeCell ref="K210:K211"/>
    <mergeCell ref="J186:J187"/>
    <mergeCell ref="J210:J211"/>
    <mergeCell ref="J200:J201"/>
    <mergeCell ref="K200:K201"/>
    <mergeCell ref="G193:J193"/>
    <mergeCell ref="I200:I201"/>
    <mergeCell ref="G191:J191"/>
    <mergeCell ref="H200:H201"/>
    <mergeCell ref="C200:C201"/>
    <mergeCell ref="D200:D201"/>
    <mergeCell ref="B206:B207"/>
    <mergeCell ref="C206:C207"/>
    <mergeCell ref="D206:D207"/>
    <mergeCell ref="A186:A187"/>
    <mergeCell ref="B200:B201"/>
    <mergeCell ref="K332:K333"/>
    <mergeCell ref="C331:C333"/>
    <mergeCell ref="J365:J366"/>
    <mergeCell ref="K365:K366"/>
    <mergeCell ref="K357:K358"/>
    <mergeCell ref="J357:J358"/>
    <mergeCell ref="G359:J359"/>
    <mergeCell ref="H357:H358"/>
    <mergeCell ref="G357:G358"/>
    <mergeCell ref="K438:K441"/>
    <mergeCell ref="I435:I437"/>
    <mergeCell ref="J456:J457"/>
    <mergeCell ref="I427:I428"/>
    <mergeCell ref="J412:J413"/>
    <mergeCell ref="G400:G401"/>
    <mergeCell ref="G395:J395"/>
    <mergeCell ref="G378:J378"/>
    <mergeCell ref="C406:C415"/>
    <mergeCell ref="D336:D337"/>
    <mergeCell ref="E336:E337"/>
    <mergeCell ref="K444:K445"/>
    <mergeCell ref="G434:J434"/>
    <mergeCell ref="J435:J437"/>
    <mergeCell ref="D409:E409"/>
    <mergeCell ref="F400:F401"/>
    <mergeCell ref="C336:C337"/>
    <mergeCell ref="C397:C398"/>
    <mergeCell ref="C381:C382"/>
    <mergeCell ref="D332:F333"/>
    <mergeCell ref="C365:C366"/>
    <mergeCell ref="E400:E401"/>
    <mergeCell ref="D412:F413"/>
    <mergeCell ref="A299:A304"/>
    <mergeCell ref="B299:B304"/>
    <mergeCell ref="C299:C304"/>
    <mergeCell ref="D299:D304"/>
    <mergeCell ref="E299:E304"/>
    <mergeCell ref="F299:F304"/>
    <mergeCell ref="D376:F376"/>
    <mergeCell ref="D274:D278"/>
    <mergeCell ref="E274:E278"/>
    <mergeCell ref="D286:D287"/>
    <mergeCell ref="A321:A322"/>
    <mergeCell ref="B321:B322"/>
    <mergeCell ref="C321:C322"/>
    <mergeCell ref="A365:A366"/>
    <mergeCell ref="B274:B278"/>
    <mergeCell ref="L241:L244"/>
    <mergeCell ref="L308:L310"/>
    <mergeCell ref="F274:F278"/>
    <mergeCell ref="J341:J343"/>
    <mergeCell ref="K341:K343"/>
    <mergeCell ref="I357:I358"/>
    <mergeCell ref="H286:H287"/>
    <mergeCell ref="I286:I287"/>
    <mergeCell ref="J286:J287"/>
    <mergeCell ref="K286:K287"/>
    <mergeCell ref="L332:L333"/>
    <mergeCell ref="G295:G296"/>
    <mergeCell ref="H295:H296"/>
    <mergeCell ref="G242:J242"/>
    <mergeCell ref="G243:J243"/>
    <mergeCell ref="I295:I296"/>
    <mergeCell ref="G321:G322"/>
    <mergeCell ref="L357:L358"/>
    <mergeCell ref="A200:A201"/>
    <mergeCell ref="G244:J244"/>
    <mergeCell ref="J255:J256"/>
    <mergeCell ref="B255:B256"/>
    <mergeCell ref="B241:B244"/>
    <mergeCell ref="K255:K256"/>
    <mergeCell ref="C241:C244"/>
    <mergeCell ref="C286:C287"/>
    <mergeCell ref="K299:K300"/>
    <mergeCell ref="A286:A287"/>
    <mergeCell ref="J274:J278"/>
    <mergeCell ref="J295:J296"/>
    <mergeCell ref="B295:B297"/>
    <mergeCell ref="A295:A297"/>
    <mergeCell ref="A271:A272"/>
    <mergeCell ref="A217:A222"/>
    <mergeCell ref="B217:B222"/>
    <mergeCell ref="C217:C222"/>
    <mergeCell ref="D217:D222"/>
    <mergeCell ref="A255:A256"/>
    <mergeCell ref="B286:B287"/>
    <mergeCell ref="A227:A236"/>
    <mergeCell ref="A274:A278"/>
    <mergeCell ref="A213:A216"/>
    <mergeCell ref="A351:A352"/>
    <mergeCell ref="J332:J333"/>
    <mergeCell ref="I308:I310"/>
    <mergeCell ref="I321:I322"/>
    <mergeCell ref="J321:J322"/>
    <mergeCell ref="F206:F207"/>
    <mergeCell ref="E206:E207"/>
    <mergeCell ref="C178:C179"/>
    <mergeCell ref="E564:E565"/>
    <mergeCell ref="F564:F565"/>
    <mergeCell ref="E397:E398"/>
    <mergeCell ref="D400:D401"/>
    <mergeCell ref="G406:J410"/>
    <mergeCell ref="G415:J415"/>
    <mergeCell ref="I381:I382"/>
    <mergeCell ref="H381:H382"/>
    <mergeCell ref="B259:B260"/>
    <mergeCell ref="C213:C216"/>
    <mergeCell ref="E286:E287"/>
    <mergeCell ref="C274:C278"/>
    <mergeCell ref="B271:B272"/>
    <mergeCell ref="C271:C272"/>
    <mergeCell ref="D215:F215"/>
    <mergeCell ref="F227:F236"/>
    <mergeCell ref="E217:E222"/>
    <mergeCell ref="J227:J236"/>
    <mergeCell ref="E227:E236"/>
    <mergeCell ref="D419:E419"/>
    <mergeCell ref="D397:D398"/>
    <mergeCell ref="F480:F481"/>
    <mergeCell ref="G497:G498"/>
    <mergeCell ref="G381:G382"/>
    <mergeCell ref="B564:B565"/>
    <mergeCell ref="B323:B324"/>
    <mergeCell ref="B397:B398"/>
    <mergeCell ref="B381:B382"/>
    <mergeCell ref="B331:B333"/>
    <mergeCell ref="B365:B366"/>
    <mergeCell ref="J497:J498"/>
    <mergeCell ref="K151:K152"/>
    <mergeCell ref="J151:J152"/>
    <mergeCell ref="K217:K218"/>
    <mergeCell ref="B141:B142"/>
    <mergeCell ref="C141:C142"/>
    <mergeCell ref="E186:E187"/>
    <mergeCell ref="B145:B146"/>
    <mergeCell ref="C145:C146"/>
    <mergeCell ref="G146:J146"/>
    <mergeCell ref="G179:J179"/>
    <mergeCell ref="C186:C187"/>
    <mergeCell ref="C189:C190"/>
    <mergeCell ref="D168:D169"/>
    <mergeCell ref="G143:G144"/>
    <mergeCell ref="G148:J148"/>
    <mergeCell ref="C173:C175"/>
    <mergeCell ref="I143:I144"/>
    <mergeCell ref="H143:H144"/>
    <mergeCell ref="E200:E201"/>
    <mergeCell ref="F200:F201"/>
    <mergeCell ref="C155:C157"/>
    <mergeCell ref="B186:B187"/>
    <mergeCell ref="E168:E169"/>
    <mergeCell ref="C170:C171"/>
    <mergeCell ref="G171:J171"/>
    <mergeCell ref="B189:B196"/>
    <mergeCell ref="D186:D187"/>
    <mergeCell ref="B213:B216"/>
    <mergeCell ref="H189:H190"/>
    <mergeCell ref="I189:I190"/>
    <mergeCell ref="C192:F196"/>
    <mergeCell ref="G189:G190"/>
    <mergeCell ref="B45:B49"/>
    <mergeCell ref="A37:A38"/>
    <mergeCell ref="B37:B38"/>
    <mergeCell ref="C37:C38"/>
    <mergeCell ref="A62:A63"/>
    <mergeCell ref="B34:B36"/>
    <mergeCell ref="C34:C36"/>
    <mergeCell ref="A72:A74"/>
    <mergeCell ref="A34:A36"/>
    <mergeCell ref="A64:A68"/>
    <mergeCell ref="B64:B68"/>
    <mergeCell ref="C45:C49"/>
    <mergeCell ref="B163:B165"/>
    <mergeCell ref="C163:C165"/>
    <mergeCell ref="G163:G165"/>
    <mergeCell ref="B155:B157"/>
    <mergeCell ref="F88:F94"/>
    <mergeCell ref="D62:D63"/>
    <mergeCell ref="F62:F63"/>
    <mergeCell ref="B80:B82"/>
    <mergeCell ref="A80:A82"/>
    <mergeCell ref="C80:C82"/>
    <mergeCell ref="A85:A87"/>
    <mergeCell ref="B85:B87"/>
    <mergeCell ref="C85:C87"/>
    <mergeCell ref="C72:C74"/>
    <mergeCell ref="C64:C67"/>
    <mergeCell ref="A83:A84"/>
    <mergeCell ref="C83:C84"/>
    <mergeCell ref="B83:B84"/>
    <mergeCell ref="B72:B74"/>
    <mergeCell ref="D112:D113"/>
    <mergeCell ref="D115:D116"/>
    <mergeCell ref="B112:B113"/>
    <mergeCell ref="C112:C113"/>
    <mergeCell ref="A101:A103"/>
    <mergeCell ref="A112:A113"/>
    <mergeCell ref="C98:C99"/>
    <mergeCell ref="D98:D99"/>
    <mergeCell ref="B101:B103"/>
    <mergeCell ref="C101:C103"/>
    <mergeCell ref="B115:B116"/>
    <mergeCell ref="F115:F116"/>
    <mergeCell ref="E112:E113"/>
    <mergeCell ref="F112:F113"/>
    <mergeCell ref="F98:F99"/>
    <mergeCell ref="E115:E116"/>
    <mergeCell ref="B62:B63"/>
    <mergeCell ref="C62:C63"/>
    <mergeCell ref="B76:B79"/>
    <mergeCell ref="A76:A79"/>
    <mergeCell ref="C76:C79"/>
    <mergeCell ref="E62:E63"/>
    <mergeCell ref="E72:E74"/>
    <mergeCell ref="B88:B97"/>
    <mergeCell ref="A88:A97"/>
    <mergeCell ref="F155:F156"/>
    <mergeCell ref="D151:F152"/>
    <mergeCell ref="A151:A153"/>
    <mergeCell ref="C135:C136"/>
    <mergeCell ref="K135:K136"/>
    <mergeCell ref="I126:I127"/>
    <mergeCell ref="J126:J127"/>
    <mergeCell ref="G126:G127"/>
    <mergeCell ref="H126:H127"/>
    <mergeCell ref="E98:E99"/>
    <mergeCell ref="K85:K87"/>
    <mergeCell ref="K112:K113"/>
    <mergeCell ref="C115:C116"/>
    <mergeCell ref="E119:E120"/>
    <mergeCell ref="F119:F120"/>
    <mergeCell ref="E135:E136"/>
    <mergeCell ref="F135:F136"/>
    <mergeCell ref="C88:C96"/>
    <mergeCell ref="K115:K116"/>
    <mergeCell ref="A141:A142"/>
    <mergeCell ref="A135:A136"/>
    <mergeCell ref="B135:B136"/>
    <mergeCell ref="B126:B127"/>
    <mergeCell ref="C126:C127"/>
    <mergeCell ref="D135:D136"/>
    <mergeCell ref="A115:A116"/>
    <mergeCell ref="C124:C125"/>
    <mergeCell ref="A98:A99"/>
    <mergeCell ref="B98:B99"/>
    <mergeCell ref="A107:A109"/>
    <mergeCell ref="B107:B109"/>
    <mergeCell ref="C107:C109"/>
    <mergeCell ref="A323:A324"/>
    <mergeCell ref="H217:H218"/>
    <mergeCell ref="B227:B236"/>
    <mergeCell ref="A731:A732"/>
    <mergeCell ref="A155:A157"/>
    <mergeCell ref="A126:A127"/>
    <mergeCell ref="A119:A120"/>
    <mergeCell ref="B119:B120"/>
    <mergeCell ref="C119:C120"/>
    <mergeCell ref="D119:D120"/>
    <mergeCell ref="C143:C144"/>
    <mergeCell ref="B143:B144"/>
    <mergeCell ref="A145:A146"/>
    <mergeCell ref="A143:A144"/>
    <mergeCell ref="A137:A138"/>
    <mergeCell ref="B137:B138"/>
    <mergeCell ref="C137:C138"/>
    <mergeCell ref="F186:F187"/>
    <mergeCell ref="B147:B149"/>
    <mergeCell ref="C148:C149"/>
    <mergeCell ref="B168:B169"/>
    <mergeCell ref="A168:A169"/>
    <mergeCell ref="C168:C169"/>
    <mergeCell ref="A173:A175"/>
    <mergeCell ref="D173:D175"/>
    <mergeCell ref="E173:E175"/>
    <mergeCell ref="D155:D156"/>
    <mergeCell ref="A147:A149"/>
    <mergeCell ref="E155:E156"/>
    <mergeCell ref="B178:B179"/>
    <mergeCell ref="A513:A514"/>
    <mergeCell ref="B517:B525"/>
    <mergeCell ref="A170:A171"/>
    <mergeCell ref="B170:B171"/>
    <mergeCell ref="A178:A179"/>
    <mergeCell ref="B173:B175"/>
    <mergeCell ref="A163:A164"/>
    <mergeCell ref="G742:J742"/>
    <mergeCell ref="G490:G491"/>
    <mergeCell ref="H490:H491"/>
    <mergeCell ref="I490:I491"/>
    <mergeCell ref="J490:J491"/>
    <mergeCell ref="A308:A310"/>
    <mergeCell ref="D310:F310"/>
    <mergeCell ref="B416:B420"/>
    <mergeCell ref="G435:G437"/>
    <mergeCell ref="H435:H437"/>
    <mergeCell ref="J629:J630"/>
    <mergeCell ref="G615:G616"/>
    <mergeCell ref="H615:H616"/>
    <mergeCell ref="I615:I616"/>
    <mergeCell ref="J615:J616"/>
    <mergeCell ref="D532:E532"/>
    <mergeCell ref="A416:A420"/>
    <mergeCell ref="C416:C420"/>
    <mergeCell ref="F397:F398"/>
    <mergeCell ref="B502:B504"/>
    <mergeCell ref="C502:C504"/>
    <mergeCell ref="C499:C500"/>
    <mergeCell ref="A497:A498"/>
    <mergeCell ref="A640:A643"/>
    <mergeCell ref="B640:B643"/>
    <mergeCell ref="C640:C643"/>
    <mergeCell ref="G643:J643"/>
    <mergeCell ref="D748:F748"/>
    <mergeCell ref="I365:I366"/>
    <mergeCell ref="G438:J440"/>
    <mergeCell ref="G441:J441"/>
    <mergeCell ref="A737:A738"/>
    <mergeCell ref="D739:F739"/>
    <mergeCell ref="J566:J567"/>
    <mergeCell ref="G649:J649"/>
    <mergeCell ref="E629:E630"/>
    <mergeCell ref="E586:E587"/>
    <mergeCell ref="F586:F587"/>
    <mergeCell ref="A566:A567"/>
    <mergeCell ref="B579:B580"/>
    <mergeCell ref="C579:C580"/>
    <mergeCell ref="A586:A587"/>
    <mergeCell ref="B586:B587"/>
    <mergeCell ref="B566:B567"/>
    <mergeCell ref="A438:A441"/>
    <mergeCell ref="G746:J746"/>
    <mergeCell ref="G747:J747"/>
    <mergeCell ref="G700:G701"/>
    <mergeCell ref="H700:H701"/>
    <mergeCell ref="I700:I701"/>
    <mergeCell ref="J700:J701"/>
    <mergeCell ref="J381:J382"/>
    <mergeCell ref="A502:A504"/>
    <mergeCell ref="A517:A525"/>
    <mergeCell ref="B513:B514"/>
    <mergeCell ref="H566:H567"/>
    <mergeCell ref="G534:K534"/>
    <mergeCell ref="G539:K539"/>
    <mergeCell ref="G538:K5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4"/>
  <sheetViews>
    <sheetView rightToLeft="1" topLeftCell="B338" zoomScale="60" zoomScaleNormal="60" workbookViewId="0">
      <selection activeCell="B352" sqref="B352:B355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366" customWidth="1"/>
  </cols>
  <sheetData>
    <row r="1" spans="1:12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261</v>
      </c>
      <c r="J1" s="1" t="s">
        <v>278</v>
      </c>
      <c r="K1" s="10" t="s">
        <v>291</v>
      </c>
      <c r="L1" s="148" t="s">
        <v>268</v>
      </c>
    </row>
    <row r="2" spans="1:12" ht="30" customHeight="1" x14ac:dyDescent="0.2">
      <c r="A2" s="2202">
        <v>1</v>
      </c>
      <c r="B2" s="19" t="s">
        <v>1496</v>
      </c>
      <c r="C2" s="2266" t="s">
        <v>372</v>
      </c>
      <c r="D2" s="2201">
        <v>600000000</v>
      </c>
      <c r="E2" s="2265">
        <v>0.06</v>
      </c>
      <c r="F2" s="2201">
        <f>D2*E2</f>
        <v>36000000</v>
      </c>
      <c r="G2" s="2201">
        <v>36000000</v>
      </c>
      <c r="H2" s="2201" t="s">
        <v>4045</v>
      </c>
      <c r="I2" s="2262" t="s">
        <v>1810</v>
      </c>
      <c r="J2" s="2201">
        <f>G2</f>
        <v>36000000</v>
      </c>
      <c r="K2" s="2201">
        <f>F2-J2</f>
        <v>0</v>
      </c>
      <c r="L2" s="2234"/>
    </row>
    <row r="3" spans="1:12" ht="30" customHeight="1" x14ac:dyDescent="0.2">
      <c r="A3" s="2269">
        <v>2</v>
      </c>
      <c r="B3" s="2264" t="s">
        <v>282</v>
      </c>
      <c r="C3" s="2238"/>
      <c r="D3" s="2213">
        <v>300000000</v>
      </c>
      <c r="E3" s="2210">
        <v>0.05</v>
      </c>
      <c r="F3" s="2213">
        <f>D3*E3</f>
        <v>15000000</v>
      </c>
      <c r="G3" s="2213">
        <v>15000000</v>
      </c>
      <c r="H3" s="2213" t="s">
        <v>4045</v>
      </c>
      <c r="I3" s="21" t="s">
        <v>4100</v>
      </c>
      <c r="J3" s="2213">
        <f>G3</f>
        <v>15000000</v>
      </c>
      <c r="K3" s="2213">
        <f>F3-J3</f>
        <v>0</v>
      </c>
      <c r="L3" s="2264"/>
    </row>
    <row r="4" spans="1:12" ht="30" customHeight="1" x14ac:dyDescent="0.2">
      <c r="A4" s="2269">
        <v>3</v>
      </c>
      <c r="B4" s="19" t="s">
        <v>285</v>
      </c>
      <c r="C4" s="2238" t="s">
        <v>359</v>
      </c>
      <c r="D4" s="2213">
        <v>36000000</v>
      </c>
      <c r="E4" s="2265">
        <v>7.0000000000000007E-2</v>
      </c>
      <c r="F4" s="2213">
        <v>2500000</v>
      </c>
      <c r="G4" s="2213">
        <v>2500000</v>
      </c>
      <c r="H4" s="2213" t="s">
        <v>4017</v>
      </c>
      <c r="I4" s="24" t="s">
        <v>2026</v>
      </c>
      <c r="J4" s="2213">
        <f>G4</f>
        <v>2500000</v>
      </c>
      <c r="K4" s="2213">
        <f>F4-J4</f>
        <v>0</v>
      </c>
      <c r="L4" s="2264"/>
    </row>
    <row r="5" spans="1:12" ht="30" customHeight="1" x14ac:dyDescent="0.2">
      <c r="A5" s="2202">
        <v>4</v>
      </c>
      <c r="B5" s="2263" t="s">
        <v>310</v>
      </c>
      <c r="C5" s="2266" t="s">
        <v>2644</v>
      </c>
      <c r="D5" s="2213">
        <v>700000000</v>
      </c>
      <c r="E5" s="2265">
        <v>6.3E-2</v>
      </c>
      <c r="F5" s="2213">
        <f>D5*E5</f>
        <v>44100000</v>
      </c>
      <c r="G5" s="2213">
        <v>29000000</v>
      </c>
      <c r="H5" s="2213" t="s">
        <v>2015</v>
      </c>
      <c r="I5" s="24" t="s">
        <v>1543</v>
      </c>
      <c r="J5" s="2213">
        <f>15000000+G5</f>
        <v>44000000</v>
      </c>
      <c r="K5" s="2213">
        <f>F5-J5</f>
        <v>100000</v>
      </c>
      <c r="L5" s="29" t="s">
        <v>3910</v>
      </c>
    </row>
    <row r="6" spans="1:12" ht="30" customHeight="1" x14ac:dyDescent="0.2">
      <c r="A6" s="2269">
        <v>5</v>
      </c>
      <c r="B6" s="19" t="s">
        <v>317</v>
      </c>
      <c r="C6" s="2238" t="s">
        <v>372</v>
      </c>
      <c r="D6" s="2213">
        <v>20000000</v>
      </c>
      <c r="E6" s="2265">
        <v>7.0000000000000007E-2</v>
      </c>
      <c r="F6" s="2213">
        <v>1400000</v>
      </c>
      <c r="G6" s="2213">
        <v>1400000</v>
      </c>
      <c r="H6" s="2213" t="s">
        <v>4017</v>
      </c>
      <c r="I6" s="24" t="s">
        <v>1838</v>
      </c>
      <c r="J6" s="2213">
        <f t="shared" ref="J6:J11" si="0">G6</f>
        <v>1400000</v>
      </c>
      <c r="K6" s="2213">
        <f t="shared" ref="K6:K11" si="1">F6-J6</f>
        <v>0</v>
      </c>
      <c r="L6" s="29" t="s">
        <v>320</v>
      </c>
    </row>
    <row r="7" spans="1:12" ht="30" customHeight="1" x14ac:dyDescent="0.2">
      <c r="A7" s="2202">
        <v>6</v>
      </c>
      <c r="B7" s="2263" t="s">
        <v>407</v>
      </c>
      <c r="C7" s="2237"/>
      <c r="D7" s="2213">
        <v>15000000</v>
      </c>
      <c r="E7" s="2265">
        <v>0.05</v>
      </c>
      <c r="F7" s="2213">
        <f t="shared" ref="F7:F13" si="2">D7*E7</f>
        <v>750000</v>
      </c>
      <c r="G7" s="2213"/>
      <c r="H7" s="2213"/>
      <c r="I7" s="24"/>
      <c r="J7" s="2213">
        <f t="shared" si="0"/>
        <v>0</v>
      </c>
      <c r="K7" s="2213">
        <f t="shared" si="1"/>
        <v>750000</v>
      </c>
      <c r="L7" s="638"/>
    </row>
    <row r="8" spans="1:12" ht="30" customHeight="1" x14ac:dyDescent="0.2">
      <c r="A8" s="2202">
        <v>7</v>
      </c>
      <c r="B8" s="2263" t="s">
        <v>102</v>
      </c>
      <c r="C8" s="2237" t="s">
        <v>889</v>
      </c>
      <c r="D8" s="2213">
        <v>45000000</v>
      </c>
      <c r="E8" s="2265">
        <v>0.05</v>
      </c>
      <c r="F8" s="2213">
        <f t="shared" si="2"/>
        <v>2250000</v>
      </c>
      <c r="G8" s="2213">
        <v>2250000</v>
      </c>
      <c r="H8" s="2213" t="s">
        <v>3923</v>
      </c>
      <c r="I8" s="26" t="s">
        <v>3420</v>
      </c>
      <c r="J8" s="2213">
        <f t="shared" si="0"/>
        <v>2250000</v>
      </c>
      <c r="K8" s="2213">
        <f t="shared" si="1"/>
        <v>0</v>
      </c>
      <c r="L8" s="737"/>
    </row>
    <row r="9" spans="1:12" ht="30" customHeight="1" x14ac:dyDescent="0.2">
      <c r="A9" s="2202">
        <v>8</v>
      </c>
      <c r="B9" s="19" t="s">
        <v>349</v>
      </c>
      <c r="C9" s="2266" t="s">
        <v>1291</v>
      </c>
      <c r="D9" s="2201">
        <v>400000000</v>
      </c>
      <c r="E9" s="2265">
        <v>4.4999999999999998E-2</v>
      </c>
      <c r="F9" s="2201">
        <f t="shared" si="2"/>
        <v>18000000</v>
      </c>
      <c r="G9" s="2201">
        <v>18000000</v>
      </c>
      <c r="H9" s="2213" t="s">
        <v>4062</v>
      </c>
      <c r="I9" s="24" t="s">
        <v>3739</v>
      </c>
      <c r="J9" s="2213">
        <f t="shared" si="0"/>
        <v>18000000</v>
      </c>
      <c r="K9" s="2201">
        <f t="shared" si="1"/>
        <v>0</v>
      </c>
      <c r="L9" s="2220" t="s">
        <v>4068</v>
      </c>
    </row>
    <row r="10" spans="1:12" ht="30" customHeight="1" x14ac:dyDescent="0.2">
      <c r="A10" s="2269">
        <v>9</v>
      </c>
      <c r="B10" s="2264" t="s">
        <v>378</v>
      </c>
      <c r="C10" s="2238" t="s">
        <v>371</v>
      </c>
      <c r="D10" s="2213">
        <v>10000000</v>
      </c>
      <c r="E10" s="2210">
        <v>0.05</v>
      </c>
      <c r="F10" s="2213">
        <f t="shared" si="2"/>
        <v>500000</v>
      </c>
      <c r="G10" s="2213">
        <v>500000</v>
      </c>
      <c r="H10" s="2213" t="s">
        <v>1015</v>
      </c>
      <c r="I10" s="24" t="s">
        <v>1001</v>
      </c>
      <c r="J10" s="2213">
        <f t="shared" si="0"/>
        <v>500000</v>
      </c>
      <c r="K10" s="2213">
        <f t="shared" si="1"/>
        <v>0</v>
      </c>
      <c r="L10" s="29"/>
    </row>
    <row r="11" spans="1:12" ht="30" customHeight="1" x14ac:dyDescent="0.2">
      <c r="A11" s="2269">
        <v>10</v>
      </c>
      <c r="B11" s="2263" t="s">
        <v>999</v>
      </c>
      <c r="C11" s="2266" t="s">
        <v>1796</v>
      </c>
      <c r="D11" s="2213">
        <v>180000000</v>
      </c>
      <c r="E11" s="2265">
        <v>7.0000000000000007E-2</v>
      </c>
      <c r="F11" s="2213">
        <f t="shared" si="2"/>
        <v>12600000.000000002</v>
      </c>
      <c r="G11" s="2213">
        <v>12600000</v>
      </c>
      <c r="H11" s="2213" t="s">
        <v>4136</v>
      </c>
      <c r="I11" s="24" t="s">
        <v>2372</v>
      </c>
      <c r="J11" s="2213">
        <f t="shared" si="0"/>
        <v>12600000</v>
      </c>
      <c r="K11" s="2213">
        <f t="shared" si="1"/>
        <v>0</v>
      </c>
      <c r="L11" s="180" t="s">
        <v>3197</v>
      </c>
    </row>
    <row r="12" spans="1:12" ht="30" customHeight="1" x14ac:dyDescent="0.2">
      <c r="A12" s="4459">
        <v>11</v>
      </c>
      <c r="B12" s="4615" t="s">
        <v>393</v>
      </c>
      <c r="C12" s="2238" t="s">
        <v>359</v>
      </c>
      <c r="D12" s="2201">
        <v>15000000</v>
      </c>
      <c r="E12" s="2265">
        <v>7.0000000000000007E-2</v>
      </c>
      <c r="F12" s="2201">
        <f t="shared" si="2"/>
        <v>1050000</v>
      </c>
      <c r="G12" s="4413">
        <v>1383000</v>
      </c>
      <c r="H12" s="4413" t="s">
        <v>4025</v>
      </c>
      <c r="I12" s="4898" t="s">
        <v>394</v>
      </c>
      <c r="J12" s="4413">
        <f>G12+G13</f>
        <v>1383000</v>
      </c>
      <c r="K12" s="4413">
        <v>0</v>
      </c>
      <c r="L12" s="4492" t="s">
        <v>4024</v>
      </c>
    </row>
    <row r="13" spans="1:12" ht="30" customHeight="1" x14ac:dyDescent="0.2">
      <c r="A13" s="4464"/>
      <c r="B13" s="4615"/>
      <c r="C13" s="2238" t="s">
        <v>1080</v>
      </c>
      <c r="D13" s="2201">
        <v>5000000</v>
      </c>
      <c r="E13" s="2265">
        <v>0.05</v>
      </c>
      <c r="F13" s="2201">
        <f t="shared" si="2"/>
        <v>250000</v>
      </c>
      <c r="G13" s="4415"/>
      <c r="H13" s="4415"/>
      <c r="I13" s="4899"/>
      <c r="J13" s="4415"/>
      <c r="K13" s="4415"/>
      <c r="L13" s="4493"/>
    </row>
    <row r="14" spans="1:12" ht="30" customHeight="1" x14ac:dyDescent="0.2">
      <c r="A14" s="1029">
        <v>12</v>
      </c>
      <c r="B14" s="2263" t="s">
        <v>399</v>
      </c>
      <c r="C14" s="2238" t="s">
        <v>1172</v>
      </c>
      <c r="D14" s="2213">
        <v>75000000</v>
      </c>
      <c r="E14" s="2210">
        <f>F14/D14</f>
        <v>5.3333333333333337E-2</v>
      </c>
      <c r="F14" s="2213">
        <v>4000000</v>
      </c>
      <c r="G14" s="2213">
        <v>4000000</v>
      </c>
      <c r="H14" s="2213" t="s">
        <v>2015</v>
      </c>
      <c r="I14" s="52" t="s">
        <v>401</v>
      </c>
      <c r="J14" s="2213">
        <f>G14</f>
        <v>4000000</v>
      </c>
      <c r="K14" s="2213">
        <f>F14-J14</f>
        <v>0</v>
      </c>
      <c r="L14" s="2221" t="s">
        <v>3714</v>
      </c>
    </row>
    <row r="15" spans="1:12" ht="30" customHeight="1" x14ac:dyDescent="0.2">
      <c r="A15" s="4464"/>
      <c r="B15" s="4457" t="s">
        <v>420</v>
      </c>
      <c r="C15" s="4540" t="s">
        <v>359</v>
      </c>
      <c r="D15" s="2213">
        <v>80000000</v>
      </c>
      <c r="E15" s="2210">
        <v>0.06</v>
      </c>
      <c r="F15" s="2213">
        <f t="shared" ref="F15:F21" si="3">D15*E15</f>
        <v>4800000</v>
      </c>
      <c r="G15" s="4900" t="s">
        <v>4453</v>
      </c>
      <c r="H15" s="4901"/>
      <c r="I15" s="4901"/>
      <c r="J15" s="4902"/>
      <c r="K15" s="4413">
        <f>(F15+F16)-J15</f>
        <v>11800000</v>
      </c>
      <c r="L15" s="4492"/>
    </row>
    <row r="16" spans="1:12" ht="30" customHeight="1" x14ac:dyDescent="0.2">
      <c r="A16" s="4460"/>
      <c r="B16" s="4458"/>
      <c r="C16" s="4538"/>
      <c r="D16" s="2213">
        <v>100000000</v>
      </c>
      <c r="E16" s="2210">
        <v>7.0000000000000007E-2</v>
      </c>
      <c r="F16" s="2213">
        <f t="shared" si="3"/>
        <v>7000000.0000000009</v>
      </c>
      <c r="G16" s="4903"/>
      <c r="H16" s="4904"/>
      <c r="I16" s="4904"/>
      <c r="J16" s="4905"/>
      <c r="K16" s="4415"/>
      <c r="L16" s="4493"/>
    </row>
    <row r="17" spans="1:14" ht="30" customHeight="1" x14ac:dyDescent="0.2">
      <c r="A17" s="2204">
        <v>14</v>
      </c>
      <c r="B17" s="2206" t="s">
        <v>428</v>
      </c>
      <c r="C17" s="2238" t="s">
        <v>1300</v>
      </c>
      <c r="D17" s="2213">
        <v>150000000</v>
      </c>
      <c r="E17" s="2210">
        <v>0.04</v>
      </c>
      <c r="F17" s="2213">
        <f t="shared" si="3"/>
        <v>6000000</v>
      </c>
      <c r="G17" s="2213">
        <v>6000000</v>
      </c>
      <c r="H17" s="2213" t="s">
        <v>4062</v>
      </c>
      <c r="I17" s="64" t="s">
        <v>4063</v>
      </c>
      <c r="J17" s="2213">
        <f t="shared" ref="J17:J22" si="4">G17</f>
        <v>6000000</v>
      </c>
      <c r="K17" s="2213">
        <f t="shared" ref="K17:K22" si="5">F17-J17</f>
        <v>0</v>
      </c>
      <c r="L17" s="2215"/>
    </row>
    <row r="18" spans="1:14" ht="30" customHeight="1" x14ac:dyDescent="0.2">
      <c r="A18" s="2204">
        <v>15</v>
      </c>
      <c r="B18" s="2206" t="s">
        <v>436</v>
      </c>
      <c r="C18" s="2238"/>
      <c r="D18" s="2213">
        <v>13000000</v>
      </c>
      <c r="E18" s="2210">
        <v>0.05</v>
      </c>
      <c r="F18" s="2213">
        <f t="shared" si="3"/>
        <v>650000</v>
      </c>
      <c r="G18" s="2213">
        <v>650000</v>
      </c>
      <c r="H18" s="2213" t="s">
        <v>4076</v>
      </c>
      <c r="I18" s="64" t="s">
        <v>3608</v>
      </c>
      <c r="J18" s="2213">
        <f t="shared" si="4"/>
        <v>650000</v>
      </c>
      <c r="K18" s="2213">
        <f t="shared" si="5"/>
        <v>0</v>
      </c>
      <c r="L18" s="2215"/>
    </row>
    <row r="19" spans="1:14" ht="30" customHeight="1" x14ac:dyDescent="0.2">
      <c r="A19" s="2269">
        <v>16</v>
      </c>
      <c r="B19" s="19" t="s">
        <v>487</v>
      </c>
      <c r="C19" s="2266" t="s">
        <v>1718</v>
      </c>
      <c r="D19" s="2201">
        <v>80000000</v>
      </c>
      <c r="E19" s="2265">
        <v>0.04</v>
      </c>
      <c r="F19" s="2201">
        <f t="shared" si="3"/>
        <v>3200000</v>
      </c>
      <c r="G19" s="2201">
        <v>3200000</v>
      </c>
      <c r="H19" s="2201" t="s">
        <v>3994</v>
      </c>
      <c r="I19" s="2287" t="s">
        <v>4001</v>
      </c>
      <c r="J19" s="2201">
        <f t="shared" si="4"/>
        <v>3200000</v>
      </c>
      <c r="K19" s="2201">
        <f t="shared" si="5"/>
        <v>0</v>
      </c>
      <c r="L19" s="48"/>
    </row>
    <row r="20" spans="1:14" ht="30" customHeight="1" x14ac:dyDescent="0.2">
      <c r="A20" s="2204">
        <v>17</v>
      </c>
      <c r="B20" s="2206" t="s">
        <v>747</v>
      </c>
      <c r="C20" s="2238" t="s">
        <v>1289</v>
      </c>
      <c r="D20" s="2213">
        <v>100000000</v>
      </c>
      <c r="E20" s="2210">
        <v>0.06</v>
      </c>
      <c r="F20" s="2213">
        <f t="shared" si="3"/>
        <v>6000000</v>
      </c>
      <c r="G20" s="2213">
        <v>6000000</v>
      </c>
      <c r="H20" s="2213" t="s">
        <v>4146</v>
      </c>
      <c r="I20" s="64" t="s">
        <v>3208</v>
      </c>
      <c r="J20" s="2213">
        <f t="shared" si="4"/>
        <v>6000000</v>
      </c>
      <c r="K20" s="2213">
        <f t="shared" si="5"/>
        <v>0</v>
      </c>
      <c r="L20" s="2215"/>
    </row>
    <row r="21" spans="1:14" ht="30" customHeight="1" x14ac:dyDescent="0.2">
      <c r="A21" s="2204">
        <v>18</v>
      </c>
      <c r="B21" s="2206" t="s">
        <v>554</v>
      </c>
      <c r="C21" s="2238" t="s">
        <v>1300</v>
      </c>
      <c r="D21" s="2213">
        <v>50000000</v>
      </c>
      <c r="E21" s="2210">
        <v>0.05</v>
      </c>
      <c r="F21" s="2213">
        <f t="shared" si="3"/>
        <v>2500000</v>
      </c>
      <c r="G21" s="2213">
        <v>2500000</v>
      </c>
      <c r="H21" s="2213" t="s">
        <v>4076</v>
      </c>
      <c r="I21" s="64" t="s">
        <v>2974</v>
      </c>
      <c r="J21" s="2213">
        <f t="shared" si="4"/>
        <v>2500000</v>
      </c>
      <c r="K21" s="2213">
        <f t="shared" si="5"/>
        <v>0</v>
      </c>
      <c r="L21" s="2215"/>
    </row>
    <row r="22" spans="1:14" ht="30" customHeight="1" x14ac:dyDescent="0.2">
      <c r="A22" s="4459">
        <v>19</v>
      </c>
      <c r="B22" s="4615" t="s">
        <v>560</v>
      </c>
      <c r="C22" s="4620"/>
      <c r="D22" s="2213">
        <v>50000000</v>
      </c>
      <c r="E22" s="4476">
        <f>F22/(D22+D23)</f>
        <v>0.05</v>
      </c>
      <c r="F22" s="4413">
        <v>3250000</v>
      </c>
      <c r="G22" s="4413">
        <v>3250000</v>
      </c>
      <c r="H22" s="4413" t="s">
        <v>4045</v>
      </c>
      <c r="I22" s="4568" t="s">
        <v>562</v>
      </c>
      <c r="J22" s="4413">
        <f t="shared" si="4"/>
        <v>3250000</v>
      </c>
      <c r="K22" s="4413">
        <f t="shared" si="5"/>
        <v>0</v>
      </c>
      <c r="L22" s="2244" t="s">
        <v>1995</v>
      </c>
    </row>
    <row r="23" spans="1:14" ht="30" customHeight="1" x14ac:dyDescent="0.2">
      <c r="A23" s="4464"/>
      <c r="B23" s="4615"/>
      <c r="C23" s="4620"/>
      <c r="D23" s="2213">
        <v>15000000</v>
      </c>
      <c r="E23" s="4477"/>
      <c r="F23" s="4415"/>
      <c r="G23" s="4415"/>
      <c r="H23" s="4415"/>
      <c r="I23" s="4569"/>
      <c r="J23" s="4415"/>
      <c r="K23" s="4415"/>
      <c r="L23" s="2244" t="s">
        <v>2912</v>
      </c>
    </row>
    <row r="24" spans="1:14" ht="30" customHeight="1" x14ac:dyDescent="0.2">
      <c r="A24" s="2204">
        <v>22</v>
      </c>
      <c r="B24" s="19" t="s">
        <v>658</v>
      </c>
      <c r="C24" s="2266" t="s">
        <v>1287</v>
      </c>
      <c r="D24" s="2213">
        <v>300000000</v>
      </c>
      <c r="E24" s="2210">
        <v>0.05</v>
      </c>
      <c r="F24" s="2213">
        <f>D24*E24</f>
        <v>15000000</v>
      </c>
      <c r="G24" s="2213">
        <v>15000000</v>
      </c>
      <c r="H24" s="2213" t="s">
        <v>4062</v>
      </c>
      <c r="I24" s="64" t="s">
        <v>2168</v>
      </c>
      <c r="J24" s="2201">
        <f>G24</f>
        <v>15000000</v>
      </c>
      <c r="K24" s="2201">
        <f>F24-J24</f>
        <v>0</v>
      </c>
      <c r="L24" s="48"/>
    </row>
    <row r="25" spans="1:14" ht="30" customHeight="1" x14ac:dyDescent="0.2">
      <c r="A25" s="1029">
        <v>23</v>
      </c>
      <c r="B25" s="19" t="s">
        <v>2121</v>
      </c>
      <c r="C25" s="2266" t="s">
        <v>2004</v>
      </c>
      <c r="D25" s="2213">
        <v>150000000</v>
      </c>
      <c r="E25" s="2210">
        <v>7.0000000000000007E-2</v>
      </c>
      <c r="F25" s="2213">
        <f>D25*E25</f>
        <v>10500000.000000002</v>
      </c>
      <c r="G25" s="2213">
        <v>10500000</v>
      </c>
      <c r="H25" s="4413" t="s">
        <v>4130</v>
      </c>
      <c r="I25" s="4568" t="s">
        <v>3705</v>
      </c>
      <c r="J25" s="2201">
        <f>G25</f>
        <v>10500000</v>
      </c>
      <c r="K25" s="2201">
        <f>F25-G25</f>
        <v>0</v>
      </c>
      <c r="L25" s="638" t="s">
        <v>4588</v>
      </c>
    </row>
    <row r="26" spans="1:14" ht="30" customHeight="1" x14ac:dyDescent="0.2">
      <c r="A26" s="1029"/>
      <c r="B26" s="19" t="s">
        <v>3618</v>
      </c>
      <c r="C26" s="2266" t="s">
        <v>2004</v>
      </c>
      <c r="D26" s="2213">
        <v>70000000</v>
      </c>
      <c r="E26" s="2210">
        <v>0.06</v>
      </c>
      <c r="F26" s="2213">
        <f>D26*E26</f>
        <v>4200000</v>
      </c>
      <c r="G26" s="2213">
        <v>42000000</v>
      </c>
      <c r="H26" s="4415"/>
      <c r="I26" s="4569"/>
      <c r="J26" s="2201">
        <f>G26</f>
        <v>42000000</v>
      </c>
      <c r="K26" s="2213">
        <v>0</v>
      </c>
      <c r="L26" s="29" t="s">
        <v>3706</v>
      </c>
    </row>
    <row r="27" spans="1:14" ht="30" customHeight="1" x14ac:dyDescent="0.2">
      <c r="A27" s="2204">
        <v>25</v>
      </c>
      <c r="B27" s="2206" t="s">
        <v>718</v>
      </c>
      <c r="C27" s="2238" t="s">
        <v>1296</v>
      </c>
      <c r="D27" s="2213">
        <v>35000000</v>
      </c>
      <c r="E27" s="2210">
        <v>5.8000000000000003E-2</v>
      </c>
      <c r="F27" s="2213">
        <v>2000000</v>
      </c>
      <c r="G27" s="2213">
        <v>2000000</v>
      </c>
      <c r="H27" s="2232" t="s">
        <v>4136</v>
      </c>
      <c r="I27" s="64" t="s">
        <v>4137</v>
      </c>
      <c r="J27" s="2213">
        <f>G27</f>
        <v>2000000</v>
      </c>
      <c r="K27" s="2213">
        <f>F27-G27</f>
        <v>0</v>
      </c>
      <c r="L27" s="2221"/>
      <c r="M27" s="366"/>
      <c r="N27" s="366"/>
    </row>
    <row r="28" spans="1:14" ht="30" customHeight="1" x14ac:dyDescent="0.2">
      <c r="A28" s="2203"/>
      <c r="B28" s="2207" t="s">
        <v>803</v>
      </c>
      <c r="C28" s="2239" t="s">
        <v>359</v>
      </c>
      <c r="D28" s="2212">
        <v>700000000</v>
      </c>
      <c r="E28" s="2209">
        <v>0.05</v>
      </c>
      <c r="F28" s="2212">
        <f t="shared" ref="F28:F43" si="6">D28*E28</f>
        <v>35000000</v>
      </c>
      <c r="G28" s="2201">
        <v>35000000</v>
      </c>
      <c r="H28" s="2201" t="s">
        <v>4017</v>
      </c>
      <c r="I28" s="2201" t="s">
        <v>3063</v>
      </c>
      <c r="J28" s="2201">
        <f>G28</f>
        <v>35000000</v>
      </c>
      <c r="K28" s="2212">
        <f>F28-J28</f>
        <v>0</v>
      </c>
      <c r="L28" s="180" t="s">
        <v>3686</v>
      </c>
      <c r="M28" s="366"/>
      <c r="N28" s="366"/>
    </row>
    <row r="29" spans="1:14" ht="30" customHeight="1" x14ac:dyDescent="0.2">
      <c r="A29" s="4459">
        <v>27</v>
      </c>
      <c r="B29" s="4599" t="s">
        <v>807</v>
      </c>
      <c r="C29" s="4537" t="s">
        <v>1299</v>
      </c>
      <c r="D29" s="2211">
        <v>500000000</v>
      </c>
      <c r="E29" s="2208">
        <v>7.0000000000000007E-2</v>
      </c>
      <c r="F29" s="2211">
        <f t="shared" si="6"/>
        <v>35000000</v>
      </c>
      <c r="G29" s="4890" t="s">
        <v>4286</v>
      </c>
      <c r="H29" s="4890"/>
      <c r="I29" s="4890"/>
      <c r="J29" s="4890"/>
      <c r="K29" s="2211">
        <f t="shared" ref="K29:K40" si="7">F29-J29</f>
        <v>35000000</v>
      </c>
      <c r="L29" s="4827" t="s">
        <v>4727</v>
      </c>
      <c r="M29" s="366"/>
      <c r="N29" s="366"/>
    </row>
    <row r="30" spans="1:14" ht="30" customHeight="1" x14ac:dyDescent="0.2">
      <c r="A30" s="4464"/>
      <c r="B30" s="4600"/>
      <c r="C30" s="4540"/>
      <c r="D30" s="4413">
        <v>500000000</v>
      </c>
      <c r="E30" s="4476">
        <v>0.05</v>
      </c>
      <c r="F30" s="4413">
        <f t="shared" si="6"/>
        <v>25000000</v>
      </c>
      <c r="G30" s="4890" t="s">
        <v>4725</v>
      </c>
      <c r="H30" s="4890"/>
      <c r="I30" s="4890"/>
      <c r="J30" s="4890"/>
      <c r="K30" s="2706"/>
      <c r="L30" s="4827"/>
      <c r="M30" s="366"/>
      <c r="N30" s="366"/>
    </row>
    <row r="31" spans="1:14" ht="30" customHeight="1" x14ac:dyDescent="0.2">
      <c r="A31" s="4464"/>
      <c r="B31" s="4600"/>
      <c r="C31" s="4540"/>
      <c r="D31" s="4415"/>
      <c r="E31" s="4477"/>
      <c r="F31" s="4415"/>
      <c r="G31" s="4893" t="s">
        <v>4726</v>
      </c>
      <c r="H31" s="4894"/>
      <c r="I31" s="4894"/>
      <c r="J31" s="4895"/>
      <c r="K31" s="2706"/>
      <c r="L31" s="4827"/>
      <c r="M31" s="366"/>
      <c r="N31" s="366"/>
    </row>
    <row r="32" spans="1:14" ht="30" customHeight="1" x14ac:dyDescent="0.2">
      <c r="A32" s="4464"/>
      <c r="B32" s="4600"/>
      <c r="C32" s="4540"/>
      <c r="D32" s="2706">
        <v>150000000</v>
      </c>
      <c r="E32" s="2708">
        <v>7.0000000000000007E-2</v>
      </c>
      <c r="F32" s="2706">
        <f t="shared" si="6"/>
        <v>10500000.000000002</v>
      </c>
      <c r="G32" s="4890" t="s">
        <v>4724</v>
      </c>
      <c r="H32" s="4890"/>
      <c r="I32" s="4890"/>
      <c r="J32" s="4890"/>
      <c r="K32" s="2706"/>
      <c r="L32" s="4827"/>
      <c r="M32" s="366"/>
      <c r="N32" s="366"/>
    </row>
    <row r="33" spans="1:14" ht="30" customHeight="1" x14ac:dyDescent="0.2">
      <c r="A33" s="4464"/>
      <c r="B33" s="4600"/>
      <c r="C33" s="4540"/>
      <c r="D33" s="2712">
        <v>650000000</v>
      </c>
      <c r="E33" s="2713">
        <v>7.0000000000000007E-2</v>
      </c>
      <c r="F33" s="2712">
        <f t="shared" si="6"/>
        <v>45500000.000000007</v>
      </c>
      <c r="G33" s="4504"/>
      <c r="H33" s="4504"/>
      <c r="I33" s="4891"/>
      <c r="J33" s="4504"/>
      <c r="K33" s="4504"/>
      <c r="L33" s="4827"/>
      <c r="M33" s="366"/>
      <c r="N33" s="366"/>
    </row>
    <row r="34" spans="1:14" ht="30" customHeight="1" x14ac:dyDescent="0.2">
      <c r="A34" s="4460"/>
      <c r="B34" s="4607"/>
      <c r="C34" s="4538"/>
      <c r="D34" s="2712">
        <v>500000000</v>
      </c>
      <c r="E34" s="2713">
        <v>0.05</v>
      </c>
      <c r="F34" s="2712">
        <f t="shared" si="6"/>
        <v>25000000</v>
      </c>
      <c r="G34" s="4505"/>
      <c r="H34" s="4505"/>
      <c r="I34" s="4892"/>
      <c r="J34" s="4505"/>
      <c r="K34" s="4505"/>
      <c r="L34" s="4827"/>
      <c r="M34" s="366"/>
      <c r="N34" s="366"/>
    </row>
    <row r="35" spans="1:14" ht="30" customHeight="1" x14ac:dyDescent="0.2">
      <c r="A35" s="4459"/>
      <c r="B35" s="4457" t="s">
        <v>3369</v>
      </c>
      <c r="C35" s="4537" t="s">
        <v>1299</v>
      </c>
      <c r="D35" s="4413">
        <v>700000000</v>
      </c>
      <c r="E35" s="4476">
        <v>0.06</v>
      </c>
      <c r="F35" s="4413">
        <f t="shared" si="6"/>
        <v>42000000</v>
      </c>
      <c r="G35" s="2201">
        <v>42000000</v>
      </c>
      <c r="H35" s="2201" t="s">
        <v>4062</v>
      </c>
      <c r="I35" s="2201" t="s">
        <v>820</v>
      </c>
      <c r="J35" s="2201">
        <f t="shared" ref="J35:J40" si="8">G35</f>
        <v>42000000</v>
      </c>
      <c r="K35" s="2201">
        <f t="shared" si="7"/>
        <v>0</v>
      </c>
      <c r="L35" s="2221"/>
      <c r="M35" s="366"/>
      <c r="N35" s="366"/>
    </row>
    <row r="36" spans="1:14" ht="30" customHeight="1" x14ac:dyDescent="0.2">
      <c r="A36" s="4460"/>
      <c r="B36" s="4458"/>
      <c r="C36" s="4538"/>
      <c r="D36" s="4415"/>
      <c r="E36" s="4477"/>
      <c r="F36" s="4415"/>
      <c r="G36" s="2213">
        <v>8000000</v>
      </c>
      <c r="H36" s="2232" t="s">
        <v>4062</v>
      </c>
      <c r="I36" s="2232" t="s">
        <v>820</v>
      </c>
      <c r="J36" s="2213">
        <f>G36</f>
        <v>8000000</v>
      </c>
      <c r="K36" s="2213"/>
      <c r="L36" s="2221" t="s">
        <v>4805</v>
      </c>
      <c r="M36" s="366"/>
      <c r="N36" s="366"/>
    </row>
    <row r="37" spans="1:14" ht="30" customHeight="1" x14ac:dyDescent="0.2">
      <c r="A37" s="2204">
        <v>29</v>
      </c>
      <c r="B37" s="4457" t="s">
        <v>839</v>
      </c>
      <c r="C37" s="2266" t="s">
        <v>1306</v>
      </c>
      <c r="D37" s="2213">
        <v>42000000</v>
      </c>
      <c r="E37" s="2210">
        <v>7.0000000000000007E-2</v>
      </c>
      <c r="F37" s="2213">
        <f t="shared" si="6"/>
        <v>2940000.0000000005</v>
      </c>
      <c r="G37" s="2213">
        <v>2940000</v>
      </c>
      <c r="H37" s="2232" t="s">
        <v>4130</v>
      </c>
      <c r="I37" s="64" t="s">
        <v>3190</v>
      </c>
      <c r="J37" s="2213">
        <f t="shared" si="8"/>
        <v>2940000</v>
      </c>
      <c r="K37" s="2213">
        <f t="shared" si="7"/>
        <v>0</v>
      </c>
      <c r="L37" s="2221"/>
      <c r="M37" s="366"/>
      <c r="N37" s="366"/>
    </row>
    <row r="38" spans="1:14" ht="30" customHeight="1" x14ac:dyDescent="0.2">
      <c r="A38" s="2204"/>
      <c r="B38" s="4458"/>
      <c r="C38" s="2514" t="s">
        <v>4107</v>
      </c>
      <c r="D38" s="2502">
        <v>200000000</v>
      </c>
      <c r="E38" s="2503"/>
      <c r="F38" s="2502"/>
      <c r="G38" s="2502"/>
      <c r="H38" s="453"/>
      <c r="I38" s="2546"/>
      <c r="J38" s="2502"/>
      <c r="K38" s="2502"/>
      <c r="L38" s="2547" t="s">
        <v>4108</v>
      </c>
      <c r="M38" s="366"/>
      <c r="N38" s="366"/>
    </row>
    <row r="39" spans="1:14" ht="30" customHeight="1" x14ac:dyDescent="0.2">
      <c r="A39" s="2204">
        <v>30</v>
      </c>
      <c r="B39" s="2206" t="s">
        <v>843</v>
      </c>
      <c r="C39" s="2238" t="s">
        <v>1107</v>
      </c>
      <c r="D39" s="2213">
        <v>20000000</v>
      </c>
      <c r="E39" s="2210">
        <v>0.04</v>
      </c>
      <c r="F39" s="2213">
        <f t="shared" si="6"/>
        <v>800000</v>
      </c>
      <c r="G39" s="2213">
        <v>800000</v>
      </c>
      <c r="H39" s="2232" t="s">
        <v>4136</v>
      </c>
      <c r="I39" s="64" t="s">
        <v>3105</v>
      </c>
      <c r="J39" s="2213">
        <f t="shared" si="8"/>
        <v>800000</v>
      </c>
      <c r="K39" s="2213">
        <f t="shared" si="7"/>
        <v>0</v>
      </c>
      <c r="L39" s="638"/>
      <c r="M39" s="366"/>
      <c r="N39" s="366"/>
    </row>
    <row r="40" spans="1:14" ht="30" customHeight="1" x14ac:dyDescent="0.2">
      <c r="A40" s="2202">
        <v>31</v>
      </c>
      <c r="B40" s="2263" t="s">
        <v>915</v>
      </c>
      <c r="C40" s="2237"/>
      <c r="D40" s="2201">
        <v>100000000</v>
      </c>
      <c r="E40" s="2265">
        <v>7.0000000000000007E-2</v>
      </c>
      <c r="F40" s="2201">
        <f t="shared" si="6"/>
        <v>7000000.0000000009</v>
      </c>
      <c r="G40" s="2213">
        <v>7000000</v>
      </c>
      <c r="H40" s="2232" t="s">
        <v>4136</v>
      </c>
      <c r="I40" s="64" t="s">
        <v>3195</v>
      </c>
      <c r="J40" s="2211">
        <f t="shared" si="8"/>
        <v>7000000</v>
      </c>
      <c r="K40" s="2211">
        <f t="shared" si="7"/>
        <v>0</v>
      </c>
      <c r="L40" s="2214"/>
      <c r="M40" s="366"/>
      <c r="N40" s="366"/>
    </row>
    <row r="41" spans="1:14" ht="30" customHeight="1" x14ac:dyDescent="0.2">
      <c r="A41" s="4459">
        <v>32</v>
      </c>
      <c r="B41" s="4457" t="s">
        <v>982</v>
      </c>
      <c r="C41" s="4537" t="s">
        <v>1306</v>
      </c>
      <c r="D41" s="2213">
        <v>100000000</v>
      </c>
      <c r="E41" s="2210">
        <v>0.05</v>
      </c>
      <c r="F41" s="2213">
        <f t="shared" si="6"/>
        <v>5000000</v>
      </c>
      <c r="G41" s="4413">
        <v>8850000</v>
      </c>
      <c r="H41" s="4413" t="s">
        <v>4146</v>
      </c>
      <c r="I41" s="4568" t="s">
        <v>2986</v>
      </c>
      <c r="J41" s="4413">
        <f>G41</f>
        <v>8850000</v>
      </c>
      <c r="K41" s="4413">
        <f>(F41+F42+F43)-J41</f>
        <v>0</v>
      </c>
      <c r="L41" s="4492"/>
      <c r="M41" s="366"/>
      <c r="N41" s="366"/>
    </row>
    <row r="42" spans="1:14" ht="30" customHeight="1" x14ac:dyDescent="0.2">
      <c r="A42" s="4464"/>
      <c r="B42" s="4488"/>
      <c r="C42" s="4540"/>
      <c r="D42" s="2213">
        <v>35000000</v>
      </c>
      <c r="E42" s="2210">
        <v>7.0000000000000007E-2</v>
      </c>
      <c r="F42" s="2213">
        <f t="shared" si="6"/>
        <v>2450000.0000000005</v>
      </c>
      <c r="G42" s="4414"/>
      <c r="H42" s="4414"/>
      <c r="I42" s="4906"/>
      <c r="J42" s="4414"/>
      <c r="K42" s="4414"/>
      <c r="L42" s="4684"/>
      <c r="M42" s="366"/>
      <c r="N42" s="366"/>
    </row>
    <row r="43" spans="1:14" ht="30" customHeight="1" x14ac:dyDescent="0.2">
      <c r="A43" s="4460"/>
      <c r="B43" s="4458"/>
      <c r="C43" s="4538"/>
      <c r="D43" s="2201">
        <v>20000000</v>
      </c>
      <c r="E43" s="2265">
        <v>7.0000000000000007E-2</v>
      </c>
      <c r="F43" s="2201">
        <f t="shared" si="6"/>
        <v>1400000.0000000002</v>
      </c>
      <c r="G43" s="4415"/>
      <c r="H43" s="4415"/>
      <c r="I43" s="4569"/>
      <c r="J43" s="4415"/>
      <c r="K43" s="4415"/>
      <c r="L43" s="4799"/>
      <c r="M43" s="4470"/>
      <c r="N43" s="4471"/>
    </row>
    <row r="44" spans="1:14" ht="30" customHeight="1" x14ac:dyDescent="0.2">
      <c r="A44" s="2204">
        <v>33</v>
      </c>
      <c r="B44" s="2206" t="s">
        <v>993</v>
      </c>
      <c r="C44" s="2238" t="s">
        <v>1287</v>
      </c>
      <c r="D44" s="2213">
        <v>63580000</v>
      </c>
      <c r="E44" s="2210">
        <v>7.0000000000000007E-2</v>
      </c>
      <c r="F44" s="2213">
        <v>4450000</v>
      </c>
      <c r="G44" s="2213">
        <v>4450000</v>
      </c>
      <c r="H44" s="2213" t="s">
        <v>4062</v>
      </c>
      <c r="I44" s="64" t="s">
        <v>484</v>
      </c>
      <c r="J44" s="2213">
        <f>G44</f>
        <v>4450000</v>
      </c>
      <c r="K44" s="2213">
        <f t="shared" ref="K44:K52" si="9">F44-J44</f>
        <v>0</v>
      </c>
      <c r="L44" s="2221"/>
      <c r="M44" s="366"/>
      <c r="N44" s="366"/>
    </row>
    <row r="45" spans="1:14" ht="30" customHeight="1" x14ac:dyDescent="0.2">
      <c r="A45" s="2204">
        <v>34</v>
      </c>
      <c r="B45" s="2207" t="s">
        <v>1110</v>
      </c>
      <c r="C45" s="2238"/>
      <c r="D45" s="2213">
        <v>20000000</v>
      </c>
      <c r="E45" s="2210">
        <v>0.04</v>
      </c>
      <c r="F45" s="2213">
        <f>D45*E45</f>
        <v>800000</v>
      </c>
      <c r="G45" s="2213">
        <v>800000</v>
      </c>
      <c r="H45" s="2213" t="s">
        <v>4109</v>
      </c>
      <c r="I45" s="64" t="s">
        <v>1112</v>
      </c>
      <c r="J45" s="2213">
        <f>G45</f>
        <v>800000</v>
      </c>
      <c r="K45" s="2213">
        <f t="shared" si="9"/>
        <v>0</v>
      </c>
      <c r="L45" s="2221"/>
      <c r="M45" s="366"/>
      <c r="N45" s="366"/>
    </row>
    <row r="46" spans="1:14" ht="30" customHeight="1" x14ac:dyDescent="0.2">
      <c r="A46" s="2269">
        <v>35</v>
      </c>
      <c r="B46" s="19" t="s">
        <v>1150</v>
      </c>
      <c r="C46" s="2266" t="s">
        <v>1138</v>
      </c>
      <c r="D46" s="2201">
        <v>175000000</v>
      </c>
      <c r="E46" s="2265">
        <v>0.06</v>
      </c>
      <c r="F46" s="2201">
        <f>D46*E46</f>
        <v>10500000</v>
      </c>
      <c r="G46" s="4413">
        <v>14500000</v>
      </c>
      <c r="H46" s="4413" t="s">
        <v>4190</v>
      </c>
      <c r="I46" s="4413" t="s">
        <v>1720</v>
      </c>
      <c r="J46" s="4413">
        <f>G46</f>
        <v>14500000</v>
      </c>
      <c r="K46" s="4413">
        <f>(F46+F47)-J46</f>
        <v>0</v>
      </c>
      <c r="L46" s="2292"/>
      <c r="M46" s="366"/>
      <c r="N46" s="366"/>
    </row>
    <row r="47" spans="1:14" ht="30" customHeight="1" x14ac:dyDescent="0.2">
      <c r="A47" s="2204"/>
      <c r="B47" s="2207" t="s">
        <v>3264</v>
      </c>
      <c r="C47" s="2238" t="s">
        <v>1138</v>
      </c>
      <c r="D47" s="2213">
        <v>100000000</v>
      </c>
      <c r="E47" s="2210">
        <v>0.04</v>
      </c>
      <c r="F47" s="2213">
        <f>D47*E47</f>
        <v>4000000</v>
      </c>
      <c r="G47" s="4415"/>
      <c r="H47" s="4415"/>
      <c r="I47" s="4415"/>
      <c r="J47" s="4415"/>
      <c r="K47" s="4415"/>
      <c r="L47" s="2221" t="s">
        <v>3265</v>
      </c>
      <c r="M47" s="366"/>
      <c r="N47" s="366"/>
    </row>
    <row r="48" spans="1:14" ht="30" customHeight="1" x14ac:dyDescent="0.2">
      <c r="A48" s="1029">
        <v>36</v>
      </c>
      <c r="B48" s="19" t="s">
        <v>3370</v>
      </c>
      <c r="C48" s="2266" t="s">
        <v>1081</v>
      </c>
      <c r="D48" s="2201">
        <v>50000000</v>
      </c>
      <c r="E48" s="2265">
        <v>7.0000000000000007E-2</v>
      </c>
      <c r="F48" s="2201">
        <f>D48*E48</f>
        <v>3500000.0000000005</v>
      </c>
      <c r="G48" s="2201">
        <v>3500000</v>
      </c>
      <c r="H48" s="2201" t="s">
        <v>4190</v>
      </c>
      <c r="I48" s="1539" t="s">
        <v>4266</v>
      </c>
      <c r="J48" s="2201">
        <f>G48</f>
        <v>3500000</v>
      </c>
      <c r="K48" s="2201">
        <f t="shared" si="9"/>
        <v>0</v>
      </c>
      <c r="L48" s="2221"/>
      <c r="M48" s="366"/>
      <c r="N48" s="366"/>
    </row>
    <row r="49" spans="1:12" ht="30" customHeight="1" x14ac:dyDescent="0.2">
      <c r="A49" s="2204">
        <v>38</v>
      </c>
      <c r="B49" s="2205" t="s">
        <v>1254</v>
      </c>
      <c r="C49" s="2238"/>
      <c r="D49" s="298"/>
      <c r="E49" s="299"/>
      <c r="F49" s="298"/>
      <c r="G49" s="2213"/>
      <c r="H49" s="2213"/>
      <c r="I49" s="64"/>
      <c r="J49" s="2213"/>
      <c r="K49" s="2226">
        <f t="shared" si="9"/>
        <v>0</v>
      </c>
      <c r="L49" s="2221"/>
    </row>
    <row r="50" spans="1:12" ht="30" customHeight="1" x14ac:dyDescent="0.2">
      <c r="A50" s="2204">
        <v>39</v>
      </c>
      <c r="B50" s="2205" t="s">
        <v>1213</v>
      </c>
      <c r="C50" s="2238"/>
      <c r="D50" s="298"/>
      <c r="E50" s="299"/>
      <c r="F50" s="298"/>
      <c r="G50" s="2213"/>
      <c r="H50" s="2213"/>
      <c r="I50" s="64"/>
      <c r="J50" s="2213"/>
      <c r="K50" s="2226">
        <f t="shared" si="9"/>
        <v>0</v>
      </c>
      <c r="L50" s="2221"/>
    </row>
    <row r="51" spans="1:12" ht="30" customHeight="1" x14ac:dyDescent="0.2">
      <c r="A51" s="2204">
        <v>40</v>
      </c>
      <c r="B51" s="2205" t="s">
        <v>1265</v>
      </c>
      <c r="C51" s="2238" t="s">
        <v>1289</v>
      </c>
      <c r="D51" s="2275">
        <v>16000000</v>
      </c>
      <c r="E51" s="300">
        <v>0.05</v>
      </c>
      <c r="F51" s="2275">
        <f>D51*E51</f>
        <v>800000</v>
      </c>
      <c r="G51" s="2213">
        <v>800000</v>
      </c>
      <c r="H51" s="2213" t="s">
        <v>4076</v>
      </c>
      <c r="I51" s="64" t="s">
        <v>1268</v>
      </c>
      <c r="J51" s="2213">
        <f>G51</f>
        <v>800000</v>
      </c>
      <c r="K51" s="2213">
        <f t="shared" si="9"/>
        <v>0</v>
      </c>
      <c r="L51" s="2221"/>
    </row>
    <row r="52" spans="1:12" ht="30" customHeight="1" x14ac:dyDescent="0.2">
      <c r="A52" s="2204">
        <v>41</v>
      </c>
      <c r="B52" s="2205" t="s">
        <v>1285</v>
      </c>
      <c r="C52" s="2238"/>
      <c r="D52" s="298"/>
      <c r="E52" s="299"/>
      <c r="F52" s="298"/>
      <c r="G52" s="2213"/>
      <c r="H52" s="2213"/>
      <c r="I52" s="64"/>
      <c r="J52" s="2213"/>
      <c r="K52" s="2226">
        <f t="shared" si="9"/>
        <v>0</v>
      </c>
      <c r="L52" s="2221"/>
    </row>
    <row r="53" spans="1:12" ht="30" customHeight="1" x14ac:dyDescent="0.2">
      <c r="A53" s="2204">
        <v>42</v>
      </c>
      <c r="B53" s="2263" t="s">
        <v>183</v>
      </c>
      <c r="C53" s="2238"/>
      <c r="D53" s="2213">
        <v>60000000</v>
      </c>
      <c r="E53" s="2265">
        <v>0.05</v>
      </c>
      <c r="F53" s="2213">
        <f t="shared" ref="F53:F154" si="10">D53*E53</f>
        <v>3000000</v>
      </c>
      <c r="G53" s="4413">
        <v>3500000</v>
      </c>
      <c r="H53" s="4413" t="s">
        <v>3929</v>
      </c>
      <c r="I53" s="4558" t="s">
        <v>260</v>
      </c>
      <c r="J53" s="4413">
        <f>G53</f>
        <v>3500000</v>
      </c>
      <c r="K53" s="4413">
        <f>(F53+F54)-J53</f>
        <v>0</v>
      </c>
      <c r="L53" s="4599"/>
    </row>
    <row r="54" spans="1:12" ht="30" customHeight="1" x14ac:dyDescent="0.2">
      <c r="A54" s="2204">
        <v>43</v>
      </c>
      <c r="B54" s="2267" t="s">
        <v>1079</v>
      </c>
      <c r="C54" s="2238"/>
      <c r="D54" s="2213">
        <v>10000000</v>
      </c>
      <c r="E54" s="2265">
        <v>0.05</v>
      </c>
      <c r="F54" s="2213">
        <f>D54*E54</f>
        <v>500000</v>
      </c>
      <c r="G54" s="4415"/>
      <c r="H54" s="4415"/>
      <c r="I54" s="4560"/>
      <c r="J54" s="4415"/>
      <c r="K54" s="4415"/>
      <c r="L54" s="4607"/>
    </row>
    <row r="55" spans="1:12" ht="30" customHeight="1" x14ac:dyDescent="0.2">
      <c r="A55" s="2204">
        <v>44</v>
      </c>
      <c r="B55" s="2267" t="s">
        <v>184</v>
      </c>
      <c r="C55" s="2238" t="s">
        <v>889</v>
      </c>
      <c r="D55" s="2213">
        <v>150000000</v>
      </c>
      <c r="E55" s="2265">
        <v>0.05</v>
      </c>
      <c r="F55" s="2213">
        <f t="shared" si="10"/>
        <v>7500000</v>
      </c>
      <c r="G55" s="2213">
        <v>7500000</v>
      </c>
      <c r="H55" s="2213" t="s">
        <v>2015</v>
      </c>
      <c r="I55" s="2201" t="s">
        <v>1339</v>
      </c>
      <c r="J55" s="2213">
        <f>G55</f>
        <v>7500000</v>
      </c>
      <c r="K55" s="2213">
        <f>F55-J55</f>
        <v>0</v>
      </c>
      <c r="L55" s="2267"/>
    </row>
    <row r="56" spans="1:12" ht="30" customHeight="1" x14ac:dyDescent="0.2">
      <c r="A56" s="4459">
        <v>45</v>
      </c>
      <c r="B56" s="4457" t="s">
        <v>185</v>
      </c>
      <c r="C56" s="4537" t="s">
        <v>1295</v>
      </c>
      <c r="D56" s="4413">
        <v>1190000000</v>
      </c>
      <c r="E56" s="4476">
        <v>7.0000000000000007E-2</v>
      </c>
      <c r="F56" s="4413">
        <f t="shared" si="10"/>
        <v>83300000.000000015</v>
      </c>
      <c r="G56" s="2213">
        <v>53300000</v>
      </c>
      <c r="H56" s="2213" t="s">
        <v>1215</v>
      </c>
      <c r="I56" s="21" t="s">
        <v>3973</v>
      </c>
      <c r="J56" s="4413">
        <f>G56+G57</f>
        <v>83300000</v>
      </c>
      <c r="K56" s="4413">
        <f>F56-J56</f>
        <v>0</v>
      </c>
      <c r="L56" s="4599"/>
    </row>
    <row r="57" spans="1:12" ht="30" customHeight="1" x14ac:dyDescent="0.2">
      <c r="A57" s="4460"/>
      <c r="B57" s="4488"/>
      <c r="C57" s="4540"/>
      <c r="D57" s="4415"/>
      <c r="E57" s="4477"/>
      <c r="F57" s="4415"/>
      <c r="G57" s="2213">
        <v>30000000</v>
      </c>
      <c r="H57" s="2213" t="s">
        <v>1846</v>
      </c>
      <c r="I57" s="21" t="s">
        <v>2696</v>
      </c>
      <c r="J57" s="4415"/>
      <c r="K57" s="4415"/>
      <c r="L57" s="4607"/>
    </row>
    <row r="58" spans="1:12" ht="30" customHeight="1" x14ac:dyDescent="0.2">
      <c r="A58" s="2203"/>
      <c r="B58" s="4488"/>
      <c r="C58" s="4540"/>
      <c r="D58" s="2212">
        <v>400000000</v>
      </c>
      <c r="E58" s="2209">
        <v>7.0000000000000007E-2</v>
      </c>
      <c r="F58" s="2212">
        <f>D58*E58</f>
        <v>28000000.000000004</v>
      </c>
      <c r="G58" s="4469" t="s">
        <v>4336</v>
      </c>
      <c r="H58" s="4470"/>
      <c r="I58" s="4470"/>
      <c r="J58" s="4471"/>
      <c r="K58" s="2213"/>
      <c r="L58" s="2258"/>
    </row>
    <row r="59" spans="1:12" ht="30" customHeight="1" x14ac:dyDescent="0.2">
      <c r="A59" s="2203"/>
      <c r="B59" s="4488"/>
      <c r="C59" s="4540"/>
      <c r="D59" s="2201">
        <f>D56+D58</f>
        <v>1590000000</v>
      </c>
      <c r="E59" s="2265">
        <v>7.0000000000000007E-2</v>
      </c>
      <c r="F59" s="2201">
        <f>D59*E59</f>
        <v>111300000.00000001</v>
      </c>
      <c r="G59" s="2201"/>
      <c r="H59" s="2213"/>
      <c r="I59" s="21"/>
      <c r="J59" s="2213"/>
      <c r="K59" s="2213"/>
      <c r="L59" s="2258"/>
    </row>
    <row r="60" spans="1:12" ht="30" customHeight="1" x14ac:dyDescent="0.2">
      <c r="A60" s="2203"/>
      <c r="B60" s="4458"/>
      <c r="C60" s="4538"/>
      <c r="D60" s="2047">
        <f>D59+100000000</f>
        <v>1690000000</v>
      </c>
      <c r="E60" s="2048">
        <v>7.0000000000000007E-2</v>
      </c>
      <c r="F60" s="2047">
        <f>D60*E60</f>
        <v>118300000.00000001</v>
      </c>
      <c r="G60" s="4469" t="s">
        <v>4252</v>
      </c>
      <c r="H60" s="4470"/>
      <c r="I60" s="4470"/>
      <c r="J60" s="4471"/>
      <c r="K60" s="2213"/>
      <c r="L60" s="2258"/>
    </row>
    <row r="61" spans="1:12" ht="30" customHeight="1" x14ac:dyDescent="0.2">
      <c r="A61" s="4459">
        <v>46</v>
      </c>
      <c r="B61" s="4457" t="s">
        <v>186</v>
      </c>
      <c r="C61" s="4537" t="s">
        <v>1081</v>
      </c>
      <c r="D61" s="4413">
        <v>1200000000</v>
      </c>
      <c r="E61" s="4476">
        <v>0.08</v>
      </c>
      <c r="F61" s="4413">
        <f>D61*E61</f>
        <v>96000000</v>
      </c>
      <c r="G61" s="2213"/>
      <c r="H61" s="2213"/>
      <c r="I61" s="21"/>
      <c r="J61" s="233"/>
      <c r="K61" s="233"/>
      <c r="L61" s="2245"/>
    </row>
    <row r="62" spans="1:12" ht="30" customHeight="1" x14ac:dyDescent="0.2">
      <c r="A62" s="4464"/>
      <c r="B62" s="4488"/>
      <c r="C62" s="4540"/>
      <c r="D62" s="4414"/>
      <c r="E62" s="4516"/>
      <c r="F62" s="4414"/>
      <c r="G62" s="2213"/>
      <c r="H62" s="2213"/>
      <c r="I62" s="21"/>
      <c r="J62" s="233"/>
      <c r="K62" s="233"/>
      <c r="L62" s="2246"/>
    </row>
    <row r="63" spans="1:12" ht="30" customHeight="1" x14ac:dyDescent="0.2">
      <c r="A63" s="4464"/>
      <c r="B63" s="4488"/>
      <c r="C63" s="4540"/>
      <c r="D63" s="4414"/>
      <c r="E63" s="4516"/>
      <c r="F63" s="4414"/>
      <c r="G63" s="233"/>
      <c r="H63" s="233"/>
      <c r="I63" s="233"/>
      <c r="J63" s="233"/>
      <c r="K63" s="233"/>
      <c r="L63" s="2246"/>
    </row>
    <row r="64" spans="1:12" ht="30" customHeight="1" x14ac:dyDescent="0.2">
      <c r="A64" s="4464"/>
      <c r="B64" s="4488"/>
      <c r="C64" s="4540"/>
      <c r="D64" s="4415"/>
      <c r="E64" s="4477"/>
      <c r="F64" s="4415"/>
      <c r="G64" s="2213"/>
      <c r="H64" s="2213"/>
      <c r="I64" s="21"/>
      <c r="J64" s="2213"/>
      <c r="K64" s="2213"/>
      <c r="L64" s="2246"/>
    </row>
    <row r="65" spans="1:12" ht="30" customHeight="1" x14ac:dyDescent="0.2">
      <c r="A65" s="4460"/>
      <c r="B65" s="4458"/>
      <c r="C65" s="4538"/>
      <c r="D65" s="2213">
        <v>1000000000</v>
      </c>
      <c r="E65" s="2210"/>
      <c r="F65" s="2213"/>
      <c r="G65" s="4469" t="s">
        <v>5114</v>
      </c>
      <c r="H65" s="4470"/>
      <c r="I65" s="4470"/>
      <c r="J65" s="4471"/>
      <c r="K65" s="2213"/>
      <c r="L65" s="2247"/>
    </row>
    <row r="66" spans="1:12" ht="30" customHeight="1" x14ac:dyDescent="0.2">
      <c r="A66" s="2202">
        <v>47</v>
      </c>
      <c r="B66" s="2263" t="s">
        <v>187</v>
      </c>
      <c r="C66" s="2266" t="s">
        <v>1080</v>
      </c>
      <c r="D66" s="2213">
        <v>20000000</v>
      </c>
      <c r="E66" s="2210">
        <v>0.05</v>
      </c>
      <c r="F66" s="2213">
        <f t="shared" si="10"/>
        <v>1000000</v>
      </c>
      <c r="G66" s="2213">
        <v>1000000</v>
      </c>
      <c r="H66" s="2213" t="s">
        <v>3929</v>
      </c>
      <c r="I66" s="2240" t="s">
        <v>1534</v>
      </c>
      <c r="J66" s="2213">
        <f>G66</f>
        <v>1000000</v>
      </c>
      <c r="K66" s="2213">
        <f>F66-J66</f>
        <v>0</v>
      </c>
      <c r="L66" s="1337" t="s">
        <v>5333</v>
      </c>
    </row>
    <row r="67" spans="1:12" ht="30" customHeight="1" x14ac:dyDescent="0.2">
      <c r="A67" s="2269">
        <v>48</v>
      </c>
      <c r="B67" s="2267" t="s">
        <v>1615</v>
      </c>
      <c r="C67" s="2266" t="s">
        <v>1081</v>
      </c>
      <c r="D67" s="2201">
        <v>100000000</v>
      </c>
      <c r="E67" s="2265">
        <v>0.05</v>
      </c>
      <c r="F67" s="2201">
        <f t="shared" si="10"/>
        <v>5000000</v>
      </c>
      <c r="G67" s="2213"/>
      <c r="H67" s="2213"/>
      <c r="I67" s="21" t="s">
        <v>3909</v>
      </c>
      <c r="J67" s="2213">
        <f>G67</f>
        <v>0</v>
      </c>
      <c r="K67" s="2213">
        <f>F67-J67</f>
        <v>5000000</v>
      </c>
      <c r="L67" s="2292"/>
    </row>
    <row r="68" spans="1:12" ht="30" customHeight="1" x14ac:dyDescent="0.2">
      <c r="A68" s="4459">
        <v>49</v>
      </c>
      <c r="B68" s="4599" t="s">
        <v>189</v>
      </c>
      <c r="C68" s="4537" t="s">
        <v>1295</v>
      </c>
      <c r="D68" s="4413">
        <v>230000000</v>
      </c>
      <c r="E68" s="4476">
        <v>0.05</v>
      </c>
      <c r="F68" s="4413">
        <f t="shared" si="10"/>
        <v>11500000</v>
      </c>
      <c r="G68" s="2213">
        <v>11500000</v>
      </c>
      <c r="H68" s="4413" t="s">
        <v>4109</v>
      </c>
      <c r="I68" s="4478" t="s">
        <v>1052</v>
      </c>
      <c r="J68" s="2213">
        <f>G68</f>
        <v>11500000</v>
      </c>
      <c r="K68" s="2213">
        <f>F68-J68</f>
        <v>0</v>
      </c>
      <c r="L68" s="764" t="s">
        <v>4111</v>
      </c>
    </row>
    <row r="69" spans="1:12" ht="30" customHeight="1" x14ac:dyDescent="0.2">
      <c r="A69" s="4464"/>
      <c r="B69" s="4600"/>
      <c r="C69" s="4540"/>
      <c r="D69" s="4415"/>
      <c r="E69" s="4477"/>
      <c r="F69" s="4415"/>
      <c r="G69" s="2201">
        <v>11500000</v>
      </c>
      <c r="H69" s="4414"/>
      <c r="I69" s="4520"/>
      <c r="J69" s="2201">
        <f>G69</f>
        <v>11500000</v>
      </c>
      <c r="K69" s="2233">
        <f>F68-J69</f>
        <v>0</v>
      </c>
      <c r="L69" s="1337" t="s">
        <v>4112</v>
      </c>
    </row>
    <row r="70" spans="1:12" ht="30" customHeight="1" x14ac:dyDescent="0.2">
      <c r="A70" s="4460"/>
      <c r="B70" s="4607"/>
      <c r="C70" s="4538"/>
      <c r="D70" s="4303" t="s">
        <v>4337</v>
      </c>
      <c r="E70" s="4324"/>
      <c r="F70" s="4355"/>
      <c r="G70" s="2201">
        <v>80000000</v>
      </c>
      <c r="H70" s="4415"/>
      <c r="I70" s="4479"/>
      <c r="J70" s="2201">
        <f>G70</f>
        <v>80000000</v>
      </c>
      <c r="K70" s="2233">
        <v>0</v>
      </c>
      <c r="L70" s="2206"/>
    </row>
    <row r="71" spans="1:12" ht="30" customHeight="1" x14ac:dyDescent="0.2">
      <c r="A71" s="4459">
        <v>50</v>
      </c>
      <c r="B71" s="4457" t="s">
        <v>190</v>
      </c>
      <c r="C71" s="4537" t="s">
        <v>889</v>
      </c>
      <c r="D71" s="4413">
        <v>350000000</v>
      </c>
      <c r="E71" s="4476">
        <v>0.05</v>
      </c>
      <c r="F71" s="4413">
        <f t="shared" si="10"/>
        <v>17500000</v>
      </c>
      <c r="G71" s="4303" t="s">
        <v>3911</v>
      </c>
      <c r="H71" s="4324"/>
      <c r="I71" s="4324"/>
      <c r="J71" s="4324"/>
      <c r="K71" s="4355"/>
      <c r="L71" s="2292"/>
    </row>
    <row r="72" spans="1:12" ht="30" customHeight="1" x14ac:dyDescent="0.2">
      <c r="A72" s="4460"/>
      <c r="B72" s="4458"/>
      <c r="C72" s="4538"/>
      <c r="D72" s="4415"/>
      <c r="E72" s="4477"/>
      <c r="F72" s="4415"/>
      <c r="G72" s="2201">
        <v>17000000</v>
      </c>
      <c r="H72" s="2201" t="s">
        <v>4190</v>
      </c>
      <c r="I72" s="2201" t="s">
        <v>1054</v>
      </c>
      <c r="J72" s="2201">
        <f>G72</f>
        <v>17000000</v>
      </c>
      <c r="K72" s="2201"/>
      <c r="L72" s="2220" t="s">
        <v>4260</v>
      </c>
    </row>
    <row r="73" spans="1:12" ht="30" customHeight="1" x14ac:dyDescent="0.2">
      <c r="A73" s="2281">
        <v>51</v>
      </c>
      <c r="B73" s="19" t="s">
        <v>191</v>
      </c>
      <c r="C73" s="2266" t="s">
        <v>889</v>
      </c>
      <c r="D73" s="2201">
        <v>260000000</v>
      </c>
      <c r="E73" s="2265">
        <f>F73/D73</f>
        <v>5.5769230769230772E-2</v>
      </c>
      <c r="F73" s="2201">
        <v>14500000</v>
      </c>
      <c r="G73" s="2201">
        <v>14500000</v>
      </c>
      <c r="H73" s="2201" t="s">
        <v>2015</v>
      </c>
      <c r="I73" s="2201" t="s">
        <v>3500</v>
      </c>
      <c r="J73" s="2201">
        <f>G73</f>
        <v>14500000</v>
      </c>
      <c r="K73" s="2201">
        <f>F73-J73</f>
        <v>0</v>
      </c>
      <c r="L73" s="2205"/>
    </row>
    <row r="74" spans="1:12" ht="30" customHeight="1" x14ac:dyDescent="0.2">
      <c r="A74" s="4896"/>
      <c r="B74" s="4488" t="s">
        <v>192</v>
      </c>
      <c r="C74" s="4537" t="s">
        <v>889</v>
      </c>
      <c r="D74" s="2212">
        <v>100000000</v>
      </c>
      <c r="E74" s="2209">
        <v>7.0000000000000007E-2</v>
      </c>
      <c r="F74" s="2212">
        <f>D74*E74</f>
        <v>7000000.0000000009</v>
      </c>
      <c r="G74" s="4413">
        <v>7500000</v>
      </c>
      <c r="H74" s="4413" t="s">
        <v>1846</v>
      </c>
      <c r="I74" s="4413" t="s">
        <v>2540</v>
      </c>
      <c r="J74" s="4413">
        <f>G74</f>
        <v>7500000</v>
      </c>
      <c r="K74" s="4413">
        <f>(F74+F75)-J74</f>
        <v>0</v>
      </c>
      <c r="L74" s="764" t="s">
        <v>2711</v>
      </c>
    </row>
    <row r="75" spans="1:12" ht="30" customHeight="1" x14ac:dyDescent="0.2">
      <c r="A75" s="4897"/>
      <c r="B75" s="4458"/>
      <c r="C75" s="4538"/>
      <c r="D75" s="2211">
        <v>10000000</v>
      </c>
      <c r="E75" s="2208">
        <v>0.05</v>
      </c>
      <c r="F75" s="2211">
        <f>D75*E75</f>
        <v>500000</v>
      </c>
      <c r="G75" s="4415"/>
      <c r="H75" s="4415"/>
      <c r="I75" s="4415"/>
      <c r="J75" s="4415"/>
      <c r="K75" s="4415"/>
      <c r="L75" s="764" t="s">
        <v>3912</v>
      </c>
    </row>
    <row r="76" spans="1:12" ht="30" customHeight="1" x14ac:dyDescent="0.2">
      <c r="A76" s="2281"/>
      <c r="B76" s="19" t="s">
        <v>193</v>
      </c>
      <c r="C76" s="2266" t="s">
        <v>1294</v>
      </c>
      <c r="D76" s="2201">
        <v>500000000</v>
      </c>
      <c r="E76" s="2265">
        <v>7.0000000000000007E-2</v>
      </c>
      <c r="F76" s="2201">
        <f>D76*E76</f>
        <v>35000000</v>
      </c>
      <c r="G76" s="2201">
        <v>37000000</v>
      </c>
      <c r="H76" s="2201" t="s">
        <v>4076</v>
      </c>
      <c r="I76" s="2201" t="s">
        <v>1810</v>
      </c>
      <c r="J76" s="2201">
        <f>G76</f>
        <v>37000000</v>
      </c>
      <c r="K76" s="2201">
        <v>0</v>
      </c>
      <c r="L76" s="1389" t="s">
        <v>3725</v>
      </c>
    </row>
    <row r="77" spans="1:12" ht="30" customHeight="1" x14ac:dyDescent="0.2">
      <c r="A77" s="4459">
        <v>54</v>
      </c>
      <c r="B77" s="4457" t="s">
        <v>1060</v>
      </c>
      <c r="C77" s="4537"/>
      <c r="D77" s="2213">
        <v>35000000</v>
      </c>
      <c r="E77" s="2210">
        <v>7.1999999999999995E-2</v>
      </c>
      <c r="F77" s="2213">
        <v>2500000</v>
      </c>
      <c r="G77" s="4742">
        <v>3500000</v>
      </c>
      <c r="H77" s="4742" t="s">
        <v>3920</v>
      </c>
      <c r="I77" s="4756" t="s">
        <v>3976</v>
      </c>
      <c r="J77" s="4742">
        <f>G77</f>
        <v>3500000</v>
      </c>
      <c r="K77" s="4742">
        <f>(F77+F78)-J77</f>
        <v>0</v>
      </c>
      <c r="L77" s="4599"/>
    </row>
    <row r="78" spans="1:12" ht="30" customHeight="1" x14ac:dyDescent="0.2">
      <c r="A78" s="4464"/>
      <c r="B78" s="4458"/>
      <c r="C78" s="4538"/>
      <c r="D78" s="2213">
        <v>13000000</v>
      </c>
      <c r="E78" s="2265">
        <v>7.6999999999999999E-2</v>
      </c>
      <c r="F78" s="2213">
        <v>1000000</v>
      </c>
      <c r="G78" s="4743"/>
      <c r="H78" s="4743"/>
      <c r="I78" s="4757"/>
      <c r="J78" s="4743"/>
      <c r="K78" s="4743"/>
      <c r="L78" s="4607"/>
    </row>
    <row r="79" spans="1:12" ht="30" customHeight="1" x14ac:dyDescent="0.2">
      <c r="A79" s="4459">
        <v>55</v>
      </c>
      <c r="B79" s="4457" t="s">
        <v>1247</v>
      </c>
      <c r="C79" s="4537" t="s">
        <v>1295</v>
      </c>
      <c r="D79" s="2201">
        <v>175000000</v>
      </c>
      <c r="E79" s="2265">
        <v>0.52</v>
      </c>
      <c r="F79" s="2201">
        <v>9000000</v>
      </c>
      <c r="G79" s="4907" t="s">
        <v>4338</v>
      </c>
      <c r="H79" s="4908"/>
      <c r="I79" s="4908"/>
      <c r="J79" s="4909"/>
      <c r="K79" s="4322">
        <f>(F79+F80+F81)-J79</f>
        <v>18250000</v>
      </c>
      <c r="L79" s="4492" t="s">
        <v>3953</v>
      </c>
    </row>
    <row r="80" spans="1:12" ht="30" customHeight="1" x14ac:dyDescent="0.2">
      <c r="A80" s="4464"/>
      <c r="B80" s="4488"/>
      <c r="C80" s="4540"/>
      <c r="D80" s="2211">
        <f>85000000+20000000</f>
        <v>105000000</v>
      </c>
      <c r="E80" s="2208">
        <v>7.0000000000000007E-2</v>
      </c>
      <c r="F80" s="2211">
        <v>7500000</v>
      </c>
      <c r="G80" s="4910"/>
      <c r="H80" s="4911"/>
      <c r="I80" s="4911"/>
      <c r="J80" s="4912"/>
      <c r="K80" s="4322"/>
      <c r="L80" s="4684"/>
    </row>
    <row r="81" spans="1:12" ht="30" customHeight="1" x14ac:dyDescent="0.2">
      <c r="A81" s="4460"/>
      <c r="B81" s="4458"/>
      <c r="C81" s="4538"/>
      <c r="D81" s="2201">
        <v>35000000</v>
      </c>
      <c r="E81" s="2265">
        <v>0.05</v>
      </c>
      <c r="F81" s="2201">
        <f>D81*E81</f>
        <v>1750000</v>
      </c>
      <c r="G81" s="4913"/>
      <c r="H81" s="4914"/>
      <c r="I81" s="4914"/>
      <c r="J81" s="4915"/>
      <c r="K81" s="4322"/>
      <c r="L81" s="4493"/>
    </row>
    <row r="82" spans="1:12" ht="30" customHeight="1" x14ac:dyDescent="0.2">
      <c r="A82" s="4459">
        <v>56</v>
      </c>
      <c r="B82" s="4457" t="s">
        <v>35</v>
      </c>
      <c r="C82" s="4537" t="s">
        <v>1295</v>
      </c>
      <c r="D82" s="4504">
        <v>3284000000</v>
      </c>
      <c r="E82" s="4500">
        <v>7.0000000000000007E-2</v>
      </c>
      <c r="F82" s="4504">
        <v>229880000</v>
      </c>
      <c r="G82" s="4907" t="s">
        <v>4339</v>
      </c>
      <c r="H82" s="4908"/>
      <c r="I82" s="4908"/>
      <c r="J82" s="4909"/>
      <c r="K82" s="4413">
        <v>0</v>
      </c>
      <c r="L82" s="638" t="s">
        <v>3844</v>
      </c>
    </row>
    <row r="83" spans="1:12" ht="30" customHeight="1" x14ac:dyDescent="0.2">
      <c r="A83" s="4464"/>
      <c r="B83" s="4488"/>
      <c r="C83" s="4538"/>
      <c r="D83" s="4505"/>
      <c r="E83" s="4501"/>
      <c r="F83" s="4505"/>
      <c r="G83" s="4913"/>
      <c r="H83" s="4914"/>
      <c r="I83" s="4914"/>
      <c r="J83" s="4915"/>
      <c r="K83" s="4415"/>
      <c r="L83" s="1612" t="s">
        <v>3839</v>
      </c>
    </row>
    <row r="84" spans="1:12" ht="30" customHeight="1" x14ac:dyDescent="0.2">
      <c r="A84" s="4464"/>
      <c r="B84" s="4488"/>
      <c r="C84" s="4537" t="s">
        <v>1306</v>
      </c>
      <c r="D84" s="2201">
        <f>1050000000+80000000</f>
        <v>1130000000</v>
      </c>
      <c r="E84" s="2265">
        <v>0.08</v>
      </c>
      <c r="F84" s="2201">
        <f>D84*E84</f>
        <v>90400000</v>
      </c>
      <c r="G84" s="2213"/>
      <c r="H84" s="2213"/>
      <c r="I84" s="2213"/>
      <c r="J84" s="2212"/>
      <c r="K84" s="2212"/>
      <c r="L84" s="1612" t="s">
        <v>3843</v>
      </c>
    </row>
    <row r="85" spans="1:12" ht="30" customHeight="1" x14ac:dyDescent="0.2">
      <c r="A85" s="4464"/>
      <c r="B85" s="4488"/>
      <c r="C85" s="4540"/>
      <c r="D85" s="2211">
        <v>229880000</v>
      </c>
      <c r="E85" s="2208">
        <v>0.08</v>
      </c>
      <c r="F85" s="2211">
        <f>D85*E85</f>
        <v>18390400</v>
      </c>
      <c r="G85" s="4469" t="s">
        <v>4340</v>
      </c>
      <c r="H85" s="4470"/>
      <c r="I85" s="4470"/>
      <c r="J85" s="4471"/>
      <c r="K85" s="2201"/>
      <c r="L85" s="1612" t="s">
        <v>4173</v>
      </c>
    </row>
    <row r="86" spans="1:12" ht="30" customHeight="1" x14ac:dyDescent="0.2">
      <c r="A86" s="4464"/>
      <c r="B86" s="4488"/>
      <c r="C86" s="4540"/>
      <c r="D86" s="2211">
        <v>400000000</v>
      </c>
      <c r="E86" s="2208">
        <v>0.08</v>
      </c>
      <c r="F86" s="2211">
        <f>D86*E86</f>
        <v>32000000</v>
      </c>
      <c r="G86" s="2213"/>
      <c r="H86" s="2213"/>
      <c r="I86" s="2213"/>
      <c r="J86" s="2201"/>
      <c r="K86" s="2201"/>
      <c r="L86" s="1612" t="s">
        <v>4174</v>
      </c>
    </row>
    <row r="87" spans="1:12" ht="30" customHeight="1" x14ac:dyDescent="0.2">
      <c r="A87" s="4464"/>
      <c r="B87" s="4488"/>
      <c r="C87" s="4540"/>
      <c r="D87" s="4303" t="s">
        <v>4176</v>
      </c>
      <c r="E87" s="4355"/>
      <c r="F87" s="2211">
        <f>90400000+12260000+2133000+1866000+1600000+1600000+22190000</f>
        <v>132049000</v>
      </c>
      <c r="G87" s="4469" t="s">
        <v>4341</v>
      </c>
      <c r="H87" s="4470"/>
      <c r="I87" s="4470"/>
      <c r="J87" s="4471"/>
      <c r="K87" s="2201"/>
      <c r="L87" s="1612" t="s">
        <v>4175</v>
      </c>
    </row>
    <row r="88" spans="1:12" ht="30" customHeight="1" x14ac:dyDescent="0.2">
      <c r="A88" s="4464"/>
      <c r="B88" s="4488"/>
      <c r="C88" s="4540"/>
      <c r="D88" s="4303" t="s">
        <v>4177</v>
      </c>
      <c r="E88" s="4355"/>
      <c r="F88" s="2211">
        <f>400000000+229880000+132049000</f>
        <v>761929000</v>
      </c>
      <c r="G88" s="2201"/>
      <c r="H88" s="2201"/>
      <c r="I88" s="2201"/>
      <c r="J88" s="2201"/>
      <c r="K88" s="2201"/>
      <c r="L88" s="1612" t="s">
        <v>4175</v>
      </c>
    </row>
    <row r="89" spans="1:12" ht="30" customHeight="1" x14ac:dyDescent="0.2">
      <c r="A89" s="4460"/>
      <c r="B89" s="4458"/>
      <c r="C89" s="4538"/>
      <c r="D89" s="2218">
        <f>D84+F88</f>
        <v>1891929000</v>
      </c>
      <c r="E89" s="2216">
        <v>0.08</v>
      </c>
      <c r="F89" s="2218">
        <f>D89*E89</f>
        <v>151354320</v>
      </c>
      <c r="G89" s="2213"/>
      <c r="H89" s="2213"/>
      <c r="I89" s="2213"/>
      <c r="J89" s="2201"/>
      <c r="K89" s="2201"/>
      <c r="L89" s="1612"/>
    </row>
    <row r="90" spans="1:12" ht="30" customHeight="1" x14ac:dyDescent="0.2">
      <c r="A90" s="4459">
        <v>57</v>
      </c>
      <c r="B90" s="4457" t="s">
        <v>1077</v>
      </c>
      <c r="C90" s="4537" t="s">
        <v>1298</v>
      </c>
      <c r="D90" s="4504">
        <v>317000000</v>
      </c>
      <c r="E90" s="4500">
        <v>7.0000000000000007E-2</v>
      </c>
      <c r="F90" s="4504">
        <f>D90*E90</f>
        <v>22190000.000000004</v>
      </c>
      <c r="G90" s="4793" t="s">
        <v>4342</v>
      </c>
      <c r="H90" s="4794"/>
      <c r="I90" s="4794"/>
      <c r="J90" s="4795"/>
      <c r="K90" s="4413"/>
      <c r="L90" s="4682"/>
    </row>
    <row r="91" spans="1:12" ht="30" customHeight="1" x14ac:dyDescent="0.2">
      <c r="A91" s="4460"/>
      <c r="B91" s="4458"/>
      <c r="C91" s="4538"/>
      <c r="D91" s="4505"/>
      <c r="E91" s="4501"/>
      <c r="F91" s="4505"/>
      <c r="G91" s="4799"/>
      <c r="H91" s="4800"/>
      <c r="I91" s="4800"/>
      <c r="J91" s="4801"/>
      <c r="K91" s="4415"/>
      <c r="L91" s="4683"/>
    </row>
    <row r="92" spans="1:12" ht="30" customHeight="1" x14ac:dyDescent="0.2">
      <c r="A92" s="2202">
        <v>58</v>
      </c>
      <c r="B92" s="2267" t="s">
        <v>1064</v>
      </c>
      <c r="C92" s="2238" t="s">
        <v>889</v>
      </c>
      <c r="D92" s="2213">
        <v>11000000</v>
      </c>
      <c r="E92" s="2265">
        <v>5.5E-2</v>
      </c>
      <c r="F92" s="2213">
        <v>600000</v>
      </c>
      <c r="G92" s="2213"/>
      <c r="H92" s="2213"/>
      <c r="I92" s="2274" t="s">
        <v>1066</v>
      </c>
      <c r="J92" s="2213">
        <f>G92</f>
        <v>0</v>
      </c>
      <c r="K92" s="2213">
        <f>F92-J92</f>
        <v>600000</v>
      </c>
      <c r="L92" s="2267"/>
    </row>
    <row r="93" spans="1:12" ht="30" customHeight="1" x14ac:dyDescent="0.2">
      <c r="A93" s="4459"/>
      <c r="B93" s="4461" t="s">
        <v>194</v>
      </c>
      <c r="C93" s="4537" t="s">
        <v>1295</v>
      </c>
      <c r="D93" s="2213">
        <v>90000000</v>
      </c>
      <c r="E93" s="2265">
        <v>0.05</v>
      </c>
      <c r="F93" s="2213">
        <f t="shared" si="10"/>
        <v>4500000</v>
      </c>
      <c r="G93" s="4413">
        <v>6000000</v>
      </c>
      <c r="H93" s="4413" t="s">
        <v>3940</v>
      </c>
      <c r="I93" s="4413" t="s">
        <v>3942</v>
      </c>
      <c r="J93" s="4413">
        <f>G93</f>
        <v>6000000</v>
      </c>
      <c r="K93" s="4413">
        <f>(F93+F94+F95)-J93</f>
        <v>250000</v>
      </c>
      <c r="L93" s="638" t="s">
        <v>3355</v>
      </c>
    </row>
    <row r="94" spans="1:12" ht="30" customHeight="1" x14ac:dyDescent="0.2">
      <c r="A94" s="4464"/>
      <c r="B94" s="4462"/>
      <c r="C94" s="4540"/>
      <c r="D94" s="2213">
        <v>10000000</v>
      </c>
      <c r="E94" s="2265">
        <v>7.0000000000000007E-2</v>
      </c>
      <c r="F94" s="2213">
        <f t="shared" si="10"/>
        <v>700000.00000000012</v>
      </c>
      <c r="G94" s="4414"/>
      <c r="H94" s="4414"/>
      <c r="I94" s="4414"/>
      <c r="J94" s="4414"/>
      <c r="K94" s="4414"/>
      <c r="L94" s="180"/>
    </row>
    <row r="95" spans="1:12" ht="30" customHeight="1" x14ac:dyDescent="0.2">
      <c r="A95" s="4460"/>
      <c r="B95" s="4463"/>
      <c r="C95" s="4538"/>
      <c r="D95" s="2213">
        <v>15000000</v>
      </c>
      <c r="E95" s="2265">
        <v>7.0000000000000007E-2</v>
      </c>
      <c r="F95" s="2213">
        <f>D95*E95</f>
        <v>1050000</v>
      </c>
      <c r="G95" s="4415"/>
      <c r="H95" s="4415"/>
      <c r="I95" s="4415"/>
      <c r="J95" s="4415"/>
      <c r="K95" s="4415"/>
      <c r="L95" s="29"/>
    </row>
    <row r="96" spans="1:12" ht="30" customHeight="1" x14ac:dyDescent="0.2">
      <c r="A96" s="2269">
        <v>60</v>
      </c>
      <c r="B96" s="2296" t="s">
        <v>1498</v>
      </c>
      <c r="C96" s="2238"/>
      <c r="D96" s="2226"/>
      <c r="E96" s="2297"/>
      <c r="F96" s="2226">
        <f t="shared" si="10"/>
        <v>0</v>
      </c>
      <c r="G96" s="2213">
        <v>10000000</v>
      </c>
      <c r="H96" s="2213" t="s">
        <v>3923</v>
      </c>
      <c r="I96" s="21" t="s">
        <v>1810</v>
      </c>
      <c r="J96" s="2213">
        <f>G96</f>
        <v>10000000</v>
      </c>
      <c r="K96" s="2226">
        <f>F96-J96</f>
        <v>-10000000</v>
      </c>
      <c r="L96" s="2267"/>
    </row>
    <row r="97" spans="1:12" ht="30" customHeight="1" x14ac:dyDescent="0.2">
      <c r="A97" s="2204">
        <v>61</v>
      </c>
      <c r="B97" s="2267" t="s">
        <v>196</v>
      </c>
      <c r="C97" s="2238"/>
      <c r="D97" s="2213">
        <v>100000000</v>
      </c>
      <c r="E97" s="2265">
        <v>7.0000000000000007E-2</v>
      </c>
      <c r="F97" s="2213">
        <f t="shared" si="10"/>
        <v>7000000.0000000009</v>
      </c>
      <c r="G97" s="2213">
        <v>7000000</v>
      </c>
      <c r="H97" s="2213" t="s">
        <v>3923</v>
      </c>
      <c r="I97" s="21" t="s">
        <v>3466</v>
      </c>
      <c r="J97" s="2213">
        <f>G97</f>
        <v>7000000</v>
      </c>
      <c r="K97" s="2213">
        <f>F97-J97</f>
        <v>0</v>
      </c>
      <c r="L97" s="2267"/>
    </row>
    <row r="98" spans="1:12" ht="30" customHeight="1" x14ac:dyDescent="0.2">
      <c r="A98" s="2281">
        <v>62</v>
      </c>
      <c r="B98" s="2263" t="s">
        <v>197</v>
      </c>
      <c r="C98" s="2237"/>
      <c r="D98" s="2201">
        <v>125000000</v>
      </c>
      <c r="E98" s="2265">
        <v>5.1999999999999998E-2</v>
      </c>
      <c r="F98" s="2201">
        <f t="shared" si="10"/>
        <v>6500000</v>
      </c>
      <c r="G98" s="2201"/>
      <c r="H98" s="2201"/>
      <c r="I98" s="2201" t="s">
        <v>1251</v>
      </c>
      <c r="J98" s="2201">
        <f>G98</f>
        <v>0</v>
      </c>
      <c r="K98" s="2201">
        <f>F98-J98</f>
        <v>6500000</v>
      </c>
      <c r="L98" s="2292"/>
    </row>
    <row r="99" spans="1:12" ht="30" customHeight="1" x14ac:dyDescent="0.2">
      <c r="A99" s="4614">
        <v>63</v>
      </c>
      <c r="B99" s="4615" t="s">
        <v>198</v>
      </c>
      <c r="C99" s="4620" t="s">
        <v>889</v>
      </c>
      <c r="D99" s="2201">
        <v>1700000000</v>
      </c>
      <c r="E99" s="2265">
        <v>6.5000000000000002E-2</v>
      </c>
      <c r="F99" s="2201">
        <f>D99*E99</f>
        <v>110500000</v>
      </c>
      <c r="G99" s="2201">
        <v>10500000</v>
      </c>
      <c r="H99" s="2201" t="s">
        <v>1215</v>
      </c>
      <c r="I99" s="2201" t="s">
        <v>2582</v>
      </c>
      <c r="J99" s="2201">
        <f>G99</f>
        <v>10500000</v>
      </c>
      <c r="K99" s="2201">
        <f>F99-100000000-J99</f>
        <v>0</v>
      </c>
      <c r="L99" s="638" t="s">
        <v>3374</v>
      </c>
    </row>
    <row r="100" spans="1:12" ht="30" customHeight="1" x14ac:dyDescent="0.2">
      <c r="A100" s="4614"/>
      <c r="B100" s="4615"/>
      <c r="C100" s="4620"/>
      <c r="D100" s="2201">
        <v>1800000000</v>
      </c>
      <c r="E100" s="2265">
        <v>6.5000000000000002E-2</v>
      </c>
      <c r="F100" s="2201">
        <f>D100*E100</f>
        <v>117000000</v>
      </c>
      <c r="G100" s="4916" t="s">
        <v>4343</v>
      </c>
      <c r="H100" s="4917"/>
      <c r="I100" s="4917"/>
      <c r="J100" s="4918"/>
      <c r="K100" s="2213"/>
      <c r="L100" s="29" t="s">
        <v>3913</v>
      </c>
    </row>
    <row r="101" spans="1:12" ht="30" customHeight="1" x14ac:dyDescent="0.2">
      <c r="A101" s="2204">
        <v>64</v>
      </c>
      <c r="B101" s="2206" t="s">
        <v>1336</v>
      </c>
      <c r="C101" s="2238" t="s">
        <v>889</v>
      </c>
      <c r="D101" s="2213">
        <v>200000000</v>
      </c>
      <c r="E101" s="2210">
        <v>5.5E-2</v>
      </c>
      <c r="F101" s="2213">
        <f t="shared" si="10"/>
        <v>11000000</v>
      </c>
      <c r="G101" s="2213">
        <v>11000000</v>
      </c>
      <c r="H101" s="2213" t="s">
        <v>3923</v>
      </c>
      <c r="I101" s="21" t="s">
        <v>3925</v>
      </c>
      <c r="J101" s="2213">
        <f>G101</f>
        <v>11000000</v>
      </c>
      <c r="K101" s="2213">
        <f t="shared" ref="K101:K110" si="11">F101-J101</f>
        <v>0</v>
      </c>
      <c r="L101" s="2292" t="s">
        <v>1337</v>
      </c>
    </row>
    <row r="102" spans="1:12" ht="30" customHeight="1" x14ac:dyDescent="0.2">
      <c r="A102" s="4459">
        <v>66</v>
      </c>
      <c r="B102" s="4457" t="s">
        <v>201</v>
      </c>
      <c r="C102" s="4537" t="s">
        <v>889</v>
      </c>
      <c r="D102" s="2201">
        <v>252000000</v>
      </c>
      <c r="E102" s="2265">
        <f>F102/D102</f>
        <v>5.2142857142857144E-2</v>
      </c>
      <c r="F102" s="2201">
        <v>13140000</v>
      </c>
      <c r="G102" s="2201">
        <v>13140000</v>
      </c>
      <c r="H102" s="2201" t="s">
        <v>1215</v>
      </c>
      <c r="I102" s="2262" t="s">
        <v>3501</v>
      </c>
      <c r="J102" s="2201">
        <f t="shared" ref="J102:J108" si="12">G102</f>
        <v>13140000</v>
      </c>
      <c r="K102" s="2201">
        <f t="shared" si="11"/>
        <v>0</v>
      </c>
      <c r="L102" s="2292"/>
    </row>
    <row r="103" spans="1:12" ht="30" customHeight="1" x14ac:dyDescent="0.2">
      <c r="A103" s="4460"/>
      <c r="B103" s="4458"/>
      <c r="C103" s="4538"/>
      <c r="D103" s="2201">
        <v>534000000</v>
      </c>
      <c r="E103" s="2265">
        <f>F103/D103</f>
        <v>6.1573033707865168E-2</v>
      </c>
      <c r="F103" s="2201">
        <v>32880000</v>
      </c>
      <c r="G103" s="2201"/>
      <c r="H103" s="2201"/>
      <c r="I103" s="2262"/>
      <c r="J103" s="2201"/>
      <c r="K103" s="2201"/>
      <c r="L103" s="2220" t="s">
        <v>4243</v>
      </c>
    </row>
    <row r="104" spans="1:12" ht="30" customHeight="1" x14ac:dyDescent="0.2">
      <c r="A104" s="2202">
        <v>68</v>
      </c>
      <c r="B104" s="2267" t="s">
        <v>202</v>
      </c>
      <c r="C104" s="2266" t="s">
        <v>1295</v>
      </c>
      <c r="D104" s="2201">
        <v>150000000</v>
      </c>
      <c r="E104" s="2265">
        <v>0.05</v>
      </c>
      <c r="F104" s="2201">
        <f t="shared" si="10"/>
        <v>7500000</v>
      </c>
      <c r="G104" s="2201">
        <v>7500000</v>
      </c>
      <c r="H104" s="2201" t="s">
        <v>3923</v>
      </c>
      <c r="I104" s="1539" t="s">
        <v>3926</v>
      </c>
      <c r="J104" s="2201">
        <f t="shared" si="12"/>
        <v>7500000</v>
      </c>
      <c r="K104" s="2201">
        <f t="shared" si="11"/>
        <v>0</v>
      </c>
      <c r="L104" s="2234"/>
    </row>
    <row r="105" spans="1:12" ht="30" customHeight="1" x14ac:dyDescent="0.2">
      <c r="A105" s="4459">
        <v>69</v>
      </c>
      <c r="B105" s="4457" t="s">
        <v>203</v>
      </c>
      <c r="C105" s="4537" t="s">
        <v>889</v>
      </c>
      <c r="D105" s="4413">
        <v>280000000</v>
      </c>
      <c r="E105" s="4476">
        <f>F105/D105</f>
        <v>7.0000000000000007E-2</v>
      </c>
      <c r="F105" s="4413">
        <v>19600000</v>
      </c>
      <c r="G105" s="2201">
        <v>19600000</v>
      </c>
      <c r="H105" s="2201" t="s">
        <v>3923</v>
      </c>
      <c r="I105" s="2262" t="s">
        <v>934</v>
      </c>
      <c r="J105" s="2201">
        <f t="shared" si="12"/>
        <v>19600000</v>
      </c>
      <c r="K105" s="2201">
        <f t="shared" si="11"/>
        <v>0</v>
      </c>
      <c r="L105" s="2256"/>
    </row>
    <row r="106" spans="1:12" ht="30" customHeight="1" x14ac:dyDescent="0.2">
      <c r="A106" s="4460"/>
      <c r="B106" s="4458"/>
      <c r="C106" s="4538"/>
      <c r="D106" s="4415"/>
      <c r="E106" s="4477"/>
      <c r="F106" s="4415"/>
      <c r="G106" s="2201">
        <v>19600000</v>
      </c>
      <c r="H106" s="2201" t="s">
        <v>3929</v>
      </c>
      <c r="I106" s="2262" t="s">
        <v>934</v>
      </c>
      <c r="J106" s="2201">
        <f t="shared" si="12"/>
        <v>19600000</v>
      </c>
      <c r="K106" s="2201"/>
      <c r="L106" s="2256"/>
    </row>
    <row r="107" spans="1:12" ht="30" customHeight="1" x14ac:dyDescent="0.2">
      <c r="A107" s="2202">
        <v>70</v>
      </c>
      <c r="B107" s="2263" t="s">
        <v>204</v>
      </c>
      <c r="C107" s="2266" t="s">
        <v>889</v>
      </c>
      <c r="D107" s="2201">
        <v>100000000</v>
      </c>
      <c r="E107" s="2265">
        <v>0.04</v>
      </c>
      <c r="F107" s="2201">
        <f t="shared" si="10"/>
        <v>4000000</v>
      </c>
      <c r="G107" s="2201">
        <v>4000000</v>
      </c>
      <c r="H107" s="2201" t="s">
        <v>3923</v>
      </c>
      <c r="I107" s="2274" t="s">
        <v>3405</v>
      </c>
      <c r="J107" s="2201">
        <f t="shared" si="12"/>
        <v>4000000</v>
      </c>
      <c r="K107" s="2201">
        <f t="shared" si="11"/>
        <v>0</v>
      </c>
      <c r="L107" s="2234"/>
    </row>
    <row r="108" spans="1:12" ht="30" customHeight="1" x14ac:dyDescent="0.2">
      <c r="A108" s="4459"/>
      <c r="B108" s="4457" t="s">
        <v>205</v>
      </c>
      <c r="C108" s="4537" t="s">
        <v>889</v>
      </c>
      <c r="D108" s="2213">
        <v>30000000</v>
      </c>
      <c r="E108" s="2210">
        <v>0.05</v>
      </c>
      <c r="F108" s="2213">
        <f t="shared" si="10"/>
        <v>1500000</v>
      </c>
      <c r="G108" s="2213">
        <v>1500000</v>
      </c>
      <c r="H108" s="2213" t="s">
        <v>3923</v>
      </c>
      <c r="I108" s="2213" t="s">
        <v>1407</v>
      </c>
      <c r="J108" s="2213">
        <f t="shared" si="12"/>
        <v>1500000</v>
      </c>
      <c r="K108" s="2213">
        <f t="shared" si="11"/>
        <v>0</v>
      </c>
      <c r="L108" s="2215"/>
    </row>
    <row r="109" spans="1:12" ht="30" customHeight="1" x14ac:dyDescent="0.2">
      <c r="A109" s="4460"/>
      <c r="B109" s="4458"/>
      <c r="C109" s="4538"/>
      <c r="D109" s="2212">
        <v>10000000</v>
      </c>
      <c r="E109" s="2209">
        <v>0.05</v>
      </c>
      <c r="F109" s="2212">
        <f t="shared" si="10"/>
        <v>500000</v>
      </c>
      <c r="G109" s="2213"/>
      <c r="H109" s="2213"/>
      <c r="I109" s="2232"/>
      <c r="J109" s="2212"/>
      <c r="K109" s="2212"/>
      <c r="L109" s="2244" t="s">
        <v>4220</v>
      </c>
    </row>
    <row r="110" spans="1:12" ht="30" customHeight="1" x14ac:dyDescent="0.2">
      <c r="A110" s="4459">
        <v>72</v>
      </c>
      <c r="B110" s="4457" t="s">
        <v>1023</v>
      </c>
      <c r="C110" s="4537" t="s">
        <v>1718</v>
      </c>
      <c r="D110" s="4413">
        <v>1685000000</v>
      </c>
      <c r="E110" s="4476">
        <v>0.06</v>
      </c>
      <c r="F110" s="4413">
        <f t="shared" si="10"/>
        <v>101100000</v>
      </c>
      <c r="G110" s="2213">
        <v>50000000</v>
      </c>
      <c r="H110" s="2213" t="s">
        <v>4045</v>
      </c>
      <c r="I110" s="21" t="s">
        <v>3067</v>
      </c>
      <c r="J110" s="4413">
        <f>G110+G111</f>
        <v>100000000</v>
      </c>
      <c r="K110" s="4413">
        <f t="shared" si="11"/>
        <v>1100000</v>
      </c>
      <c r="L110" s="4652"/>
    </row>
    <row r="111" spans="1:12" ht="30" customHeight="1" x14ac:dyDescent="0.2">
      <c r="A111" s="4460"/>
      <c r="B111" s="4458"/>
      <c r="C111" s="4538"/>
      <c r="D111" s="4415"/>
      <c r="E111" s="4477"/>
      <c r="F111" s="4415"/>
      <c r="G111" s="2213">
        <v>50000000</v>
      </c>
      <c r="H111" s="2213" t="s">
        <v>4076</v>
      </c>
      <c r="I111" s="21" t="s">
        <v>3067</v>
      </c>
      <c r="J111" s="4415"/>
      <c r="K111" s="4415"/>
      <c r="L111" s="4653"/>
    </row>
    <row r="112" spans="1:12" ht="30" customHeight="1" x14ac:dyDescent="0.2">
      <c r="A112" s="2204">
        <v>73</v>
      </c>
      <c r="B112" s="2267" t="s">
        <v>206</v>
      </c>
      <c r="C112" s="2238" t="s">
        <v>1293</v>
      </c>
      <c r="D112" s="2213">
        <v>20000000</v>
      </c>
      <c r="E112" s="2265">
        <v>0.05</v>
      </c>
      <c r="F112" s="2213">
        <f t="shared" si="10"/>
        <v>1000000</v>
      </c>
      <c r="G112" s="2213">
        <v>1000000</v>
      </c>
      <c r="H112" s="2213" t="s">
        <v>3966</v>
      </c>
      <c r="I112" s="21" t="s">
        <v>3989</v>
      </c>
      <c r="J112" s="2213">
        <f>G112</f>
        <v>1000000</v>
      </c>
      <c r="K112" s="2213">
        <f>F112-J112</f>
        <v>0</v>
      </c>
      <c r="L112" s="2267"/>
    </row>
    <row r="113" spans="1:16" ht="30" customHeight="1" x14ac:dyDescent="0.2">
      <c r="A113" s="4459">
        <v>74</v>
      </c>
      <c r="B113" s="4457" t="s">
        <v>4205</v>
      </c>
      <c r="C113" s="2238" t="s">
        <v>2644</v>
      </c>
      <c r="D113" s="2213">
        <v>125000000</v>
      </c>
      <c r="E113" s="2265">
        <v>0.04</v>
      </c>
      <c r="F113" s="2213">
        <f t="shared" si="10"/>
        <v>5000000</v>
      </c>
      <c r="G113" s="2213">
        <v>5000000</v>
      </c>
      <c r="H113" s="2213" t="s">
        <v>1215</v>
      </c>
      <c r="I113" s="2232" t="s">
        <v>3939</v>
      </c>
      <c r="J113" s="2213">
        <f>G113</f>
        <v>5000000</v>
      </c>
      <c r="K113" s="2213">
        <f>F113-J113</f>
        <v>0</v>
      </c>
      <c r="L113" s="737"/>
    </row>
    <row r="114" spans="1:16" ht="30" customHeight="1" x14ac:dyDescent="0.2">
      <c r="A114" s="4460"/>
      <c r="B114" s="4458"/>
      <c r="C114" s="2238" t="s">
        <v>2644</v>
      </c>
      <c r="D114" s="2213">
        <v>90000000</v>
      </c>
      <c r="E114" s="2265">
        <v>0.05</v>
      </c>
      <c r="F114" s="2213">
        <f t="shared" si="10"/>
        <v>4500000</v>
      </c>
      <c r="G114" s="2213"/>
      <c r="H114" s="2213"/>
      <c r="I114" s="2232"/>
      <c r="J114" s="2213"/>
      <c r="K114" s="2213"/>
      <c r="L114" s="737" t="s">
        <v>4208</v>
      </c>
    </row>
    <row r="115" spans="1:16" ht="30" customHeight="1" x14ac:dyDescent="0.2">
      <c r="A115" s="2269"/>
      <c r="B115" s="2267" t="s">
        <v>4207</v>
      </c>
      <c r="C115" s="2238" t="s">
        <v>262</v>
      </c>
      <c r="D115" s="2213">
        <v>200000000</v>
      </c>
      <c r="E115" s="2265">
        <v>0.05</v>
      </c>
      <c r="F115" s="2213">
        <f t="shared" si="10"/>
        <v>10000000</v>
      </c>
      <c r="G115" s="2213"/>
      <c r="H115" s="2213"/>
      <c r="I115" s="2232"/>
      <c r="J115" s="2213"/>
      <c r="K115" s="2213"/>
      <c r="L115" s="737" t="s">
        <v>4206</v>
      </c>
    </row>
    <row r="116" spans="1:16" ht="30" customHeight="1" x14ac:dyDescent="0.2">
      <c r="A116" s="2269"/>
      <c r="B116" s="2267" t="s">
        <v>208</v>
      </c>
      <c r="C116" s="2238"/>
      <c r="D116" s="2213">
        <v>50000000</v>
      </c>
      <c r="E116" s="2265">
        <v>0.05</v>
      </c>
      <c r="F116" s="2213">
        <f t="shared" si="10"/>
        <v>2500000</v>
      </c>
      <c r="G116" s="2213"/>
      <c r="H116" s="2213"/>
      <c r="I116" s="2232"/>
      <c r="J116" s="2213"/>
      <c r="K116" s="2213"/>
      <c r="L116" s="180"/>
    </row>
    <row r="117" spans="1:16" ht="30" customHeight="1" x14ac:dyDescent="0.2">
      <c r="A117" s="2269">
        <v>76</v>
      </c>
      <c r="B117" s="2267" t="s">
        <v>3462</v>
      </c>
      <c r="C117" s="2238" t="s">
        <v>1293</v>
      </c>
      <c r="D117" s="2213">
        <v>100000000</v>
      </c>
      <c r="E117" s="2265">
        <v>0.05</v>
      </c>
      <c r="F117" s="2213">
        <f t="shared" si="10"/>
        <v>5000000</v>
      </c>
      <c r="G117" s="2213"/>
      <c r="H117" s="2213"/>
      <c r="I117" s="21" t="s">
        <v>1538</v>
      </c>
      <c r="J117" s="2213">
        <f>G117</f>
        <v>0</v>
      </c>
      <c r="K117" s="2213">
        <f>F117-J117</f>
        <v>5000000</v>
      </c>
      <c r="L117" s="737" t="s">
        <v>3954</v>
      </c>
    </row>
    <row r="118" spans="1:16" ht="30" customHeight="1" x14ac:dyDescent="0.2">
      <c r="A118" s="4459">
        <v>77</v>
      </c>
      <c r="B118" s="4457" t="s">
        <v>210</v>
      </c>
      <c r="C118" s="4537" t="s">
        <v>1717</v>
      </c>
      <c r="D118" s="2213">
        <v>30000000</v>
      </c>
      <c r="E118" s="2265">
        <v>7.0000000000000007E-2</v>
      </c>
      <c r="F118" s="2213">
        <f t="shared" si="10"/>
        <v>2100000</v>
      </c>
      <c r="G118" s="4413">
        <v>3675000</v>
      </c>
      <c r="H118" s="4413" t="s">
        <v>3923</v>
      </c>
      <c r="I118" s="4478" t="s">
        <v>952</v>
      </c>
      <c r="J118" s="4413">
        <f>G118</f>
        <v>3675000</v>
      </c>
      <c r="K118" s="4413">
        <f>(F118+F119)-J118</f>
        <v>0</v>
      </c>
      <c r="L118" s="4492"/>
    </row>
    <row r="119" spans="1:16" ht="30" customHeight="1" x14ac:dyDescent="0.2">
      <c r="A119" s="4460"/>
      <c r="B119" s="4458"/>
      <c r="C119" s="4538"/>
      <c r="D119" s="2213">
        <v>35000000</v>
      </c>
      <c r="E119" s="2265">
        <v>4.4999999999999998E-2</v>
      </c>
      <c r="F119" s="2213">
        <f t="shared" si="10"/>
        <v>1575000</v>
      </c>
      <c r="G119" s="4415"/>
      <c r="H119" s="4415"/>
      <c r="I119" s="4479"/>
      <c r="J119" s="4415"/>
      <c r="K119" s="4415"/>
      <c r="L119" s="4493"/>
    </row>
    <row r="120" spans="1:16" ht="30" customHeight="1" x14ac:dyDescent="0.2">
      <c r="A120" s="2269">
        <v>78</v>
      </c>
      <c r="B120" s="2267" t="s">
        <v>211</v>
      </c>
      <c r="C120" s="2238"/>
      <c r="D120" s="2226"/>
      <c r="E120" s="2297"/>
      <c r="F120" s="2226">
        <f t="shared" si="10"/>
        <v>0</v>
      </c>
      <c r="G120" s="2213">
        <v>1900000</v>
      </c>
      <c r="H120" s="2213" t="s">
        <v>2015</v>
      </c>
      <c r="I120" s="2274" t="s">
        <v>955</v>
      </c>
      <c r="J120" s="2213">
        <f t="shared" ref="J120:J126" si="13">G120</f>
        <v>1900000</v>
      </c>
      <c r="K120" s="2226">
        <f t="shared" ref="K120:K126" si="14">F120-J120</f>
        <v>-1900000</v>
      </c>
      <c r="L120" s="2267"/>
    </row>
    <row r="121" spans="1:16" ht="30" customHeight="1" x14ac:dyDescent="0.2">
      <c r="A121" s="2269">
        <v>79</v>
      </c>
      <c r="B121" s="2267" t="s">
        <v>212</v>
      </c>
      <c r="C121" s="2238" t="s">
        <v>889</v>
      </c>
      <c r="D121" s="2213">
        <v>15000000</v>
      </c>
      <c r="E121" s="2265">
        <v>4.4999999999999998E-2</v>
      </c>
      <c r="F121" s="2213">
        <f t="shared" si="10"/>
        <v>675000</v>
      </c>
      <c r="G121" s="2213">
        <v>675000</v>
      </c>
      <c r="H121" s="2213" t="s">
        <v>2015</v>
      </c>
      <c r="I121" s="21" t="s">
        <v>1766</v>
      </c>
      <c r="J121" s="2213">
        <f t="shared" si="13"/>
        <v>675000</v>
      </c>
      <c r="K121" s="2213">
        <f t="shared" si="14"/>
        <v>0</v>
      </c>
      <c r="L121" s="2267"/>
      <c r="M121" s="366"/>
      <c r="N121" s="366"/>
      <c r="O121" s="366"/>
      <c r="P121" s="366"/>
    </row>
    <row r="122" spans="1:16" ht="30" customHeight="1" x14ac:dyDescent="0.2">
      <c r="A122" s="2269">
        <v>80</v>
      </c>
      <c r="B122" s="2267" t="s">
        <v>182</v>
      </c>
      <c r="C122" s="2238" t="s">
        <v>1293</v>
      </c>
      <c r="D122" s="2213">
        <v>145000000</v>
      </c>
      <c r="E122" s="2265">
        <v>4.4999999999999998E-2</v>
      </c>
      <c r="F122" s="2213">
        <v>6775000</v>
      </c>
      <c r="G122" s="2213">
        <v>6775000</v>
      </c>
      <c r="H122" s="2213" t="s">
        <v>3923</v>
      </c>
      <c r="I122" s="2201" t="s">
        <v>3928</v>
      </c>
      <c r="J122" s="2213">
        <f t="shared" si="13"/>
        <v>6775000</v>
      </c>
      <c r="K122" s="2213">
        <f t="shared" si="14"/>
        <v>0</v>
      </c>
      <c r="L122" s="2267"/>
      <c r="M122" s="366"/>
      <c r="N122" s="366"/>
      <c r="O122" s="366"/>
      <c r="P122" s="366"/>
    </row>
    <row r="123" spans="1:16" ht="30" customHeight="1" x14ac:dyDescent="0.2">
      <c r="A123" s="2269">
        <v>81</v>
      </c>
      <c r="B123" s="2267" t="s">
        <v>213</v>
      </c>
      <c r="C123" s="2238"/>
      <c r="D123" s="2213">
        <v>5000000</v>
      </c>
      <c r="E123" s="2265">
        <v>0.04</v>
      </c>
      <c r="F123" s="2213">
        <f t="shared" si="10"/>
        <v>200000</v>
      </c>
      <c r="G123" s="2213">
        <v>200000</v>
      </c>
      <c r="H123" s="2213" t="s">
        <v>3966</v>
      </c>
      <c r="I123" s="21" t="s">
        <v>1363</v>
      </c>
      <c r="J123" s="2213">
        <f t="shared" si="13"/>
        <v>200000</v>
      </c>
      <c r="K123" s="2213">
        <f t="shared" si="14"/>
        <v>0</v>
      </c>
      <c r="L123" s="2267"/>
      <c r="M123" s="366"/>
      <c r="N123" s="366"/>
      <c r="O123" s="366"/>
      <c r="P123" s="366"/>
    </row>
    <row r="124" spans="1:16" ht="30" customHeight="1" x14ac:dyDescent="0.2">
      <c r="A124" s="2269">
        <v>82</v>
      </c>
      <c r="B124" s="2267" t="s">
        <v>214</v>
      </c>
      <c r="C124" s="2238"/>
      <c r="D124" s="2213">
        <v>16000000</v>
      </c>
      <c r="E124" s="2265">
        <v>0.05</v>
      </c>
      <c r="F124" s="2213">
        <f t="shared" si="10"/>
        <v>800000</v>
      </c>
      <c r="G124" s="2213">
        <v>800000</v>
      </c>
      <c r="H124" s="2213" t="s">
        <v>3923</v>
      </c>
      <c r="I124" s="2274" t="s">
        <v>964</v>
      </c>
      <c r="J124" s="2213">
        <f t="shared" si="13"/>
        <v>800000</v>
      </c>
      <c r="K124" s="2213">
        <f t="shared" si="14"/>
        <v>0</v>
      </c>
      <c r="L124" s="2267"/>
      <c r="M124" s="366"/>
      <c r="N124" s="366"/>
      <c r="O124" s="366"/>
      <c r="P124" s="366"/>
    </row>
    <row r="125" spans="1:16" ht="30" customHeight="1" x14ac:dyDescent="0.2">
      <c r="A125" s="2269">
        <v>83</v>
      </c>
      <c r="B125" s="2267" t="s">
        <v>215</v>
      </c>
      <c r="C125" s="2238" t="s">
        <v>889</v>
      </c>
      <c r="D125" s="2213">
        <v>160000000</v>
      </c>
      <c r="E125" s="2265">
        <v>0.05</v>
      </c>
      <c r="F125" s="2213">
        <f>D125*E125</f>
        <v>8000000</v>
      </c>
      <c r="G125" s="2213">
        <v>8000000</v>
      </c>
      <c r="H125" s="2213" t="s">
        <v>3966</v>
      </c>
      <c r="I125" s="2201" t="s">
        <v>3983</v>
      </c>
      <c r="J125" s="2213">
        <f t="shared" si="13"/>
        <v>8000000</v>
      </c>
      <c r="K125" s="2213">
        <f t="shared" si="14"/>
        <v>0</v>
      </c>
      <c r="L125" s="2267"/>
      <c r="M125" s="366"/>
      <c r="N125" s="366"/>
      <c r="O125" s="366"/>
      <c r="P125" s="366"/>
    </row>
    <row r="126" spans="1:16" ht="30" customHeight="1" x14ac:dyDescent="0.2">
      <c r="A126" s="2269">
        <v>84</v>
      </c>
      <c r="B126" s="2267" t="s">
        <v>216</v>
      </c>
      <c r="C126" s="2238"/>
      <c r="D126" s="2213">
        <v>400000000</v>
      </c>
      <c r="E126" s="2265">
        <v>6.0999999999999999E-2</v>
      </c>
      <c r="F126" s="2213">
        <f t="shared" si="10"/>
        <v>24400000</v>
      </c>
      <c r="G126" s="2213">
        <v>24400000</v>
      </c>
      <c r="H126" s="2213" t="s">
        <v>2015</v>
      </c>
      <c r="I126" s="2274" t="s">
        <v>1553</v>
      </c>
      <c r="J126" s="2213">
        <f t="shared" si="13"/>
        <v>24400000</v>
      </c>
      <c r="K126" s="2213">
        <f t="shared" si="14"/>
        <v>0</v>
      </c>
      <c r="L126" s="2267"/>
      <c r="M126" s="366"/>
      <c r="N126" s="366"/>
      <c r="O126" s="366"/>
      <c r="P126" s="366"/>
    </row>
    <row r="127" spans="1:16" ht="30" customHeight="1" x14ac:dyDescent="0.2">
      <c r="A127" s="4459"/>
      <c r="B127" s="4457" t="s">
        <v>975</v>
      </c>
      <c r="C127" s="4537" t="s">
        <v>889</v>
      </c>
      <c r="D127" s="4413">
        <v>850000000</v>
      </c>
      <c r="E127" s="4476">
        <f>F127/D127</f>
        <v>6.1647058823529409E-2</v>
      </c>
      <c r="F127" s="4413">
        <v>52400000</v>
      </c>
      <c r="G127" s="4413">
        <v>52400000</v>
      </c>
      <c r="H127" s="4413" t="s">
        <v>3923</v>
      </c>
      <c r="I127" s="4413" t="s">
        <v>2540</v>
      </c>
      <c r="J127" s="4413">
        <f>G127+G128</f>
        <v>52400000</v>
      </c>
      <c r="K127" s="4413">
        <f>F127-J127</f>
        <v>0</v>
      </c>
      <c r="L127" s="4537"/>
      <c r="M127" s="366"/>
      <c r="N127" s="366"/>
      <c r="O127" s="366"/>
      <c r="P127" s="366"/>
    </row>
    <row r="128" spans="1:16" ht="30" customHeight="1" x14ac:dyDescent="0.2">
      <c r="A128" s="4460"/>
      <c r="B128" s="4458"/>
      <c r="C128" s="4538"/>
      <c r="D128" s="4415"/>
      <c r="E128" s="4477"/>
      <c r="F128" s="4415"/>
      <c r="G128" s="4415"/>
      <c r="H128" s="4415"/>
      <c r="I128" s="4415"/>
      <c r="J128" s="4415"/>
      <c r="K128" s="4415"/>
      <c r="L128" s="4538"/>
      <c r="M128" s="366"/>
      <c r="N128" s="366"/>
      <c r="O128" s="366"/>
      <c r="P128" s="366"/>
    </row>
    <row r="129" spans="1:16" ht="30" customHeight="1" x14ac:dyDescent="0.2">
      <c r="A129" s="2269">
        <v>86</v>
      </c>
      <c r="B129" s="19" t="s">
        <v>217</v>
      </c>
      <c r="C129" s="2266" t="s">
        <v>889</v>
      </c>
      <c r="D129" s="2201">
        <v>111000000</v>
      </c>
      <c r="E129" s="2265">
        <v>0.05</v>
      </c>
      <c r="F129" s="2201">
        <f t="shared" ref="F129" si="15">D129*E129</f>
        <v>5550000</v>
      </c>
      <c r="G129" s="2201">
        <v>5550000</v>
      </c>
      <c r="H129" s="2201" t="s">
        <v>3923</v>
      </c>
      <c r="I129" s="2201" t="s">
        <v>3972</v>
      </c>
      <c r="J129" s="2201">
        <f>G129</f>
        <v>5550000</v>
      </c>
      <c r="K129" s="2201">
        <f>F129-J129</f>
        <v>0</v>
      </c>
      <c r="L129" s="180" t="s">
        <v>3914</v>
      </c>
      <c r="M129" s="366"/>
      <c r="N129" s="366"/>
      <c r="O129" s="366"/>
      <c r="P129" s="366"/>
    </row>
    <row r="130" spans="1:16" ht="30" customHeight="1" x14ac:dyDescent="0.2">
      <c r="A130" s="2204"/>
      <c r="B130" s="2206" t="s">
        <v>174</v>
      </c>
      <c r="C130" s="2238" t="s">
        <v>889</v>
      </c>
      <c r="D130" s="2213">
        <v>723000000</v>
      </c>
      <c r="E130" s="2210">
        <f>F130/D130</f>
        <v>6.5560165975103737E-2</v>
      </c>
      <c r="F130" s="2213">
        <v>47400000</v>
      </c>
      <c r="G130" s="2213">
        <v>47400000</v>
      </c>
      <c r="H130" s="2213" t="s">
        <v>1846</v>
      </c>
      <c r="I130" s="18" t="s">
        <v>3061</v>
      </c>
      <c r="J130" s="2213">
        <f>G130</f>
        <v>47400000</v>
      </c>
      <c r="K130" s="2213">
        <f>F130-J130</f>
        <v>0</v>
      </c>
      <c r="L130" s="4616"/>
      <c r="M130" s="4617"/>
      <c r="N130" s="4617"/>
      <c r="O130" s="4617"/>
      <c r="P130" s="4618"/>
    </row>
    <row r="131" spans="1:16" ht="30" customHeight="1" x14ac:dyDescent="0.2">
      <c r="A131" s="2269">
        <v>88</v>
      </c>
      <c r="B131" s="2267" t="s">
        <v>218</v>
      </c>
      <c r="C131" s="2238" t="s">
        <v>1295</v>
      </c>
      <c r="D131" s="2213">
        <v>45000000</v>
      </c>
      <c r="E131" s="2265">
        <v>0.04</v>
      </c>
      <c r="F131" s="2213">
        <v>2050000</v>
      </c>
      <c r="G131" s="2213">
        <v>2050000</v>
      </c>
      <c r="H131" s="2213" t="s">
        <v>3923</v>
      </c>
      <c r="I131" s="18" t="s">
        <v>756</v>
      </c>
      <c r="J131" s="2213">
        <f>G131</f>
        <v>2050000</v>
      </c>
      <c r="K131" s="2213">
        <f>F131-J131</f>
        <v>0</v>
      </c>
      <c r="L131" s="2267"/>
      <c r="M131" s="366"/>
      <c r="N131" s="366"/>
      <c r="O131" s="366"/>
      <c r="P131" s="366"/>
    </row>
    <row r="132" spans="1:16" ht="30" customHeight="1" x14ac:dyDescent="0.2">
      <c r="A132" s="4459">
        <v>89</v>
      </c>
      <c r="B132" s="4457" t="s">
        <v>219</v>
      </c>
      <c r="C132" s="4537" t="s">
        <v>1293</v>
      </c>
      <c r="D132" s="2201">
        <v>93000000</v>
      </c>
      <c r="E132" s="2265">
        <v>7.0000000000000007E-2</v>
      </c>
      <c r="F132" s="2201">
        <v>6500000</v>
      </c>
      <c r="G132" s="4742">
        <v>30200000</v>
      </c>
      <c r="H132" s="4742" t="s">
        <v>2015</v>
      </c>
      <c r="I132" s="4742" t="s">
        <v>2666</v>
      </c>
      <c r="J132" s="4413">
        <f>G132</f>
        <v>30200000</v>
      </c>
      <c r="K132" s="4413">
        <v>0</v>
      </c>
      <c r="L132" s="180"/>
      <c r="M132" s="366"/>
      <c r="N132" s="366"/>
      <c r="O132" s="366"/>
      <c r="P132" s="366"/>
    </row>
    <row r="133" spans="1:16" ht="30" customHeight="1" x14ac:dyDescent="0.2">
      <c r="A133" s="4460"/>
      <c r="B133" s="4458"/>
      <c r="C133" s="4538"/>
      <c r="D133" s="2201">
        <v>450000000</v>
      </c>
      <c r="E133" s="2265">
        <v>0.05</v>
      </c>
      <c r="F133" s="2213">
        <f>D133*E133</f>
        <v>22500000</v>
      </c>
      <c r="G133" s="4743"/>
      <c r="H133" s="4743"/>
      <c r="I133" s="4743"/>
      <c r="J133" s="4415"/>
      <c r="K133" s="4415"/>
      <c r="L133" s="29" t="s">
        <v>3319</v>
      </c>
      <c r="M133" s="366"/>
      <c r="N133" s="366"/>
      <c r="O133" s="366"/>
      <c r="P133" s="366"/>
    </row>
    <row r="134" spans="1:16" ht="30" customHeight="1" x14ac:dyDescent="0.2">
      <c r="A134" s="4459">
        <v>90</v>
      </c>
      <c r="B134" s="4457" t="s">
        <v>220</v>
      </c>
      <c r="C134" s="4537" t="s">
        <v>1172</v>
      </c>
      <c r="D134" s="2213">
        <v>130000000</v>
      </c>
      <c r="E134" s="2265">
        <v>7.0000000000000007E-2</v>
      </c>
      <c r="F134" s="2213">
        <f>D134*E134</f>
        <v>9100000</v>
      </c>
      <c r="G134" s="4413">
        <v>14460000</v>
      </c>
      <c r="H134" s="4413" t="s">
        <v>3966</v>
      </c>
      <c r="I134" s="4478" t="s">
        <v>3956</v>
      </c>
      <c r="J134" s="4413">
        <f>G134</f>
        <v>14460000</v>
      </c>
      <c r="K134" s="4413">
        <f>(F134+F135)-J134</f>
        <v>0</v>
      </c>
      <c r="L134" s="4599"/>
      <c r="M134" s="366"/>
      <c r="N134" s="366"/>
      <c r="O134" s="366"/>
      <c r="P134" s="366"/>
    </row>
    <row r="135" spans="1:16" ht="30" customHeight="1" x14ac:dyDescent="0.2">
      <c r="A135" s="4460"/>
      <c r="B135" s="4458"/>
      <c r="C135" s="4538"/>
      <c r="D135" s="2213">
        <v>100000000</v>
      </c>
      <c r="E135" s="2265">
        <v>5.3999999999999999E-2</v>
      </c>
      <c r="F135" s="2213">
        <v>5360000</v>
      </c>
      <c r="G135" s="4415"/>
      <c r="H135" s="4415"/>
      <c r="I135" s="4479"/>
      <c r="J135" s="4415"/>
      <c r="K135" s="4415"/>
      <c r="L135" s="4607"/>
      <c r="M135" s="366"/>
      <c r="N135" s="366"/>
      <c r="O135" s="366"/>
      <c r="P135" s="366"/>
    </row>
    <row r="136" spans="1:16" ht="30" customHeight="1" x14ac:dyDescent="0.2">
      <c r="A136" s="4459">
        <v>91</v>
      </c>
      <c r="B136" s="4457" t="s">
        <v>221</v>
      </c>
      <c r="C136" s="4537"/>
      <c r="D136" s="2213">
        <v>50000000</v>
      </c>
      <c r="E136" s="2265">
        <v>0.05</v>
      </c>
      <c r="F136" s="2213">
        <f t="shared" si="10"/>
        <v>2500000</v>
      </c>
      <c r="G136" s="4413">
        <v>3500000</v>
      </c>
      <c r="H136" s="4413" t="s">
        <v>3966</v>
      </c>
      <c r="I136" s="4553" t="s">
        <v>764</v>
      </c>
      <c r="J136" s="4413">
        <f>G136</f>
        <v>3500000</v>
      </c>
      <c r="K136" s="4413">
        <f>F136-J136</f>
        <v>-1000000</v>
      </c>
      <c r="L136" s="29" t="s">
        <v>3991</v>
      </c>
      <c r="M136" s="366"/>
      <c r="N136" s="366"/>
      <c r="O136" s="366"/>
      <c r="P136" s="366"/>
    </row>
    <row r="137" spans="1:16" ht="30" customHeight="1" x14ac:dyDescent="0.2">
      <c r="A137" s="4460"/>
      <c r="B137" s="4458"/>
      <c r="C137" s="4538"/>
      <c r="D137" s="2213">
        <v>30000000</v>
      </c>
      <c r="E137" s="2265">
        <v>0.05</v>
      </c>
      <c r="F137" s="2213">
        <f>D137*E137</f>
        <v>1500000</v>
      </c>
      <c r="G137" s="4415"/>
      <c r="H137" s="4415"/>
      <c r="I137" s="4554"/>
      <c r="J137" s="4415"/>
      <c r="K137" s="4415"/>
      <c r="L137" s="180" t="s">
        <v>3915</v>
      </c>
      <c r="M137" s="366"/>
      <c r="N137" s="366"/>
      <c r="O137" s="366"/>
      <c r="P137" s="366"/>
    </row>
    <row r="138" spans="1:16" ht="30" customHeight="1" x14ac:dyDescent="0.2">
      <c r="A138" s="4459">
        <v>92</v>
      </c>
      <c r="B138" s="4599" t="s">
        <v>749</v>
      </c>
      <c r="C138" s="2266" t="s">
        <v>889</v>
      </c>
      <c r="D138" s="2201">
        <v>450000000</v>
      </c>
      <c r="E138" s="2265">
        <f>F138/D138</f>
        <v>5.3222222222222219E-2</v>
      </c>
      <c r="F138" s="2201">
        <v>23950000</v>
      </c>
      <c r="G138" s="2201">
        <v>23950000</v>
      </c>
      <c r="H138" s="2201" t="s">
        <v>2015</v>
      </c>
      <c r="I138" s="2262" t="s">
        <v>3009</v>
      </c>
      <c r="J138" s="2201">
        <f>G138</f>
        <v>23950000</v>
      </c>
      <c r="K138" s="2201">
        <f>F138-J138</f>
        <v>0</v>
      </c>
      <c r="L138" s="2263"/>
      <c r="M138" s="366"/>
      <c r="N138" s="366"/>
      <c r="O138" s="366"/>
      <c r="P138" s="366"/>
    </row>
    <row r="139" spans="1:16" ht="30" customHeight="1" x14ac:dyDescent="0.2">
      <c r="A139" s="4464"/>
      <c r="B139" s="4600"/>
      <c r="C139" s="4537" t="s">
        <v>1287</v>
      </c>
      <c r="D139" s="2213">
        <v>273000000</v>
      </c>
      <c r="E139" s="2210">
        <f>F139/D139</f>
        <v>5.4615384615384614E-2</v>
      </c>
      <c r="F139" s="2213">
        <v>14910000</v>
      </c>
      <c r="G139" s="4413">
        <v>19910000</v>
      </c>
      <c r="H139" s="4413" t="s">
        <v>4076</v>
      </c>
      <c r="I139" s="4413" t="s">
        <v>3009</v>
      </c>
      <c r="J139" s="4413">
        <f>G139</f>
        <v>19910000</v>
      </c>
      <c r="K139" s="4413">
        <f>(F139+F140)-J139</f>
        <v>0</v>
      </c>
      <c r="L139" s="180" t="s">
        <v>3603</v>
      </c>
      <c r="M139" s="366"/>
      <c r="N139" s="366"/>
      <c r="O139" s="366"/>
      <c r="P139" s="366"/>
    </row>
    <row r="140" spans="1:16" ht="30" customHeight="1" x14ac:dyDescent="0.2">
      <c r="A140" s="4460"/>
      <c r="B140" s="4600"/>
      <c r="C140" s="4540"/>
      <c r="D140" s="2268">
        <v>100000000</v>
      </c>
      <c r="E140" s="2208">
        <v>0.05</v>
      </c>
      <c r="F140" s="2211">
        <f>D140*E140</f>
        <v>5000000</v>
      </c>
      <c r="G140" s="4415"/>
      <c r="H140" s="4415"/>
      <c r="I140" s="4415"/>
      <c r="J140" s="4415"/>
      <c r="K140" s="4415"/>
      <c r="L140" s="180" t="s">
        <v>3604</v>
      </c>
      <c r="M140" s="366"/>
      <c r="N140" s="366"/>
      <c r="O140" s="366"/>
      <c r="P140" s="366"/>
    </row>
    <row r="141" spans="1:16" ht="30" customHeight="1" x14ac:dyDescent="0.2">
      <c r="A141" s="4459"/>
      <c r="B141" s="4457" t="s">
        <v>222</v>
      </c>
      <c r="C141" s="4537" t="s">
        <v>889</v>
      </c>
      <c r="D141" s="2497">
        <v>50000000</v>
      </c>
      <c r="E141" s="3048">
        <v>5.5E-2</v>
      </c>
      <c r="F141" s="3044">
        <f>D141*E141</f>
        <v>2750000</v>
      </c>
      <c r="G141" s="4527" t="s">
        <v>4955</v>
      </c>
      <c r="H141" s="4528"/>
      <c r="I141" s="4528"/>
      <c r="J141" s="4529"/>
      <c r="K141" s="2497"/>
      <c r="L141" s="2015" t="s">
        <v>1236</v>
      </c>
      <c r="M141" s="366"/>
      <c r="N141" s="366"/>
      <c r="O141" s="366"/>
      <c r="P141" s="366"/>
    </row>
    <row r="142" spans="1:16" ht="30" customHeight="1" x14ac:dyDescent="0.2">
      <c r="A142" s="4464"/>
      <c r="B142" s="4488"/>
      <c r="C142" s="4540"/>
      <c r="D142" s="4303" t="s">
        <v>3428</v>
      </c>
      <c r="E142" s="4324"/>
      <c r="F142" s="4355"/>
      <c r="G142" s="3050">
        <v>25000000</v>
      </c>
      <c r="H142" s="3050" t="s">
        <v>4130</v>
      </c>
      <c r="I142" s="3050" t="s">
        <v>4584</v>
      </c>
      <c r="J142" s="3050">
        <f>G142</f>
        <v>25000000</v>
      </c>
      <c r="K142" s="3047"/>
      <c r="L142" s="2015"/>
      <c r="M142" s="366"/>
      <c r="N142" s="366"/>
      <c r="O142" s="366"/>
      <c r="P142" s="366"/>
    </row>
    <row r="143" spans="1:16" ht="30" customHeight="1" x14ac:dyDescent="0.2">
      <c r="A143" s="4460"/>
      <c r="B143" s="4458"/>
      <c r="C143" s="4538"/>
      <c r="D143" s="3047">
        <v>25000000</v>
      </c>
      <c r="E143" s="2968">
        <v>5.5E-2</v>
      </c>
      <c r="F143" s="2498">
        <f>D143*E143</f>
        <v>1375000</v>
      </c>
      <c r="G143" s="2498"/>
      <c r="H143" s="2498"/>
      <c r="I143" s="2505"/>
      <c r="J143" s="2498"/>
      <c r="K143" s="2498"/>
      <c r="L143" s="2015"/>
      <c r="M143" s="366"/>
      <c r="N143" s="366"/>
      <c r="O143" s="366"/>
      <c r="P143" s="366"/>
    </row>
    <row r="144" spans="1:16" ht="30" customHeight="1" x14ac:dyDescent="0.2">
      <c r="A144" s="2269">
        <v>94</v>
      </c>
      <c r="B144" s="2267" t="s">
        <v>1144</v>
      </c>
      <c r="C144" s="2238"/>
      <c r="D144" s="2213">
        <v>25000000</v>
      </c>
      <c r="E144" s="2265">
        <v>0.04</v>
      </c>
      <c r="F144" s="2213">
        <f>D144*E144</f>
        <v>1000000</v>
      </c>
      <c r="G144" s="2213">
        <v>1000000</v>
      </c>
      <c r="H144" s="2213" t="s">
        <v>4017</v>
      </c>
      <c r="I144" s="21" t="s">
        <v>1146</v>
      </c>
      <c r="J144" s="2213">
        <f>G144</f>
        <v>1000000</v>
      </c>
      <c r="K144" s="2213">
        <f t="shared" ref="K144:K150" si="16">F144-J144</f>
        <v>0</v>
      </c>
      <c r="L144" s="2267"/>
      <c r="M144" s="366"/>
      <c r="N144" s="366"/>
      <c r="O144" s="366"/>
      <c r="P144" s="366"/>
    </row>
    <row r="145" spans="1:16" ht="30" customHeight="1" x14ac:dyDescent="0.2">
      <c r="A145" s="2204"/>
      <c r="B145" s="19" t="s">
        <v>223</v>
      </c>
      <c r="C145" s="2266"/>
      <c r="D145" s="2201">
        <v>355000000</v>
      </c>
      <c r="E145" s="2265">
        <v>0.05</v>
      </c>
      <c r="F145" s="2201">
        <f>D145*E145</f>
        <v>17750000</v>
      </c>
      <c r="G145" s="2201">
        <v>17500000</v>
      </c>
      <c r="H145" s="2201" t="s">
        <v>2015</v>
      </c>
      <c r="I145" s="2262" t="s">
        <v>3431</v>
      </c>
      <c r="J145" s="2201">
        <f>G145</f>
        <v>17500000</v>
      </c>
      <c r="K145" s="2201">
        <f t="shared" si="16"/>
        <v>250000</v>
      </c>
      <c r="L145" s="378" t="s">
        <v>1579</v>
      </c>
      <c r="M145" s="366"/>
      <c r="N145" s="366"/>
      <c r="O145" s="366"/>
      <c r="P145" s="366"/>
    </row>
    <row r="146" spans="1:16" ht="30" customHeight="1" x14ac:dyDescent="0.2">
      <c r="A146" s="2269">
        <v>96</v>
      </c>
      <c r="B146" s="2267" t="s">
        <v>224</v>
      </c>
      <c r="C146" s="2238"/>
      <c r="D146" s="2213">
        <v>70000000</v>
      </c>
      <c r="E146" s="2265">
        <v>0.05</v>
      </c>
      <c r="F146" s="2213">
        <f>D146*E146</f>
        <v>3500000</v>
      </c>
      <c r="G146" s="2213"/>
      <c r="H146" s="2213"/>
      <c r="I146" s="2201" t="s">
        <v>1440</v>
      </c>
      <c r="J146" s="2213">
        <f>F146</f>
        <v>3500000</v>
      </c>
      <c r="K146" s="2213">
        <f t="shared" si="16"/>
        <v>0</v>
      </c>
      <c r="L146" s="2267"/>
      <c r="M146" s="366"/>
      <c r="N146" s="366"/>
      <c r="O146" s="366"/>
      <c r="P146" s="366"/>
    </row>
    <row r="147" spans="1:16" ht="30" customHeight="1" x14ac:dyDescent="0.2">
      <c r="A147" s="2269">
        <v>97</v>
      </c>
      <c r="B147" s="2267" t="s">
        <v>225</v>
      </c>
      <c r="C147" s="2238"/>
      <c r="D147" s="2213">
        <v>100000000</v>
      </c>
      <c r="E147" s="2265">
        <v>0.04</v>
      </c>
      <c r="F147" s="2213">
        <f t="shared" ref="F147:F148" si="17">D147*E147</f>
        <v>4000000</v>
      </c>
      <c r="G147" s="2213"/>
      <c r="H147" s="2213"/>
      <c r="I147" s="21"/>
      <c r="J147" s="2213"/>
      <c r="K147" s="2213">
        <f t="shared" si="16"/>
        <v>4000000</v>
      </c>
      <c r="L147" s="2267"/>
      <c r="M147" s="366"/>
      <c r="N147" s="366"/>
      <c r="O147" s="366"/>
      <c r="P147" s="366"/>
    </row>
    <row r="148" spans="1:16" ht="30" customHeight="1" x14ac:dyDescent="0.2">
      <c r="A148" s="2269">
        <v>98</v>
      </c>
      <c r="B148" s="2267" t="s">
        <v>226</v>
      </c>
      <c r="C148" s="2238"/>
      <c r="D148" s="2213">
        <v>20000000</v>
      </c>
      <c r="E148" s="2265">
        <v>0.05</v>
      </c>
      <c r="F148" s="2213">
        <f t="shared" si="17"/>
        <v>1000000</v>
      </c>
      <c r="G148" s="2213"/>
      <c r="H148" s="2213"/>
      <c r="I148" s="2201" t="s">
        <v>789</v>
      </c>
      <c r="J148" s="2213">
        <f>G148</f>
        <v>0</v>
      </c>
      <c r="K148" s="2213">
        <f t="shared" si="16"/>
        <v>1000000</v>
      </c>
      <c r="L148" s="2267"/>
      <c r="M148" s="366"/>
      <c r="N148" s="366"/>
      <c r="O148" s="366"/>
      <c r="P148" s="366"/>
    </row>
    <row r="149" spans="1:16" ht="30" customHeight="1" x14ac:dyDescent="0.2">
      <c r="A149" s="2269">
        <v>99</v>
      </c>
      <c r="B149" s="2267" t="s">
        <v>227</v>
      </c>
      <c r="C149" s="2238" t="s">
        <v>1297</v>
      </c>
      <c r="D149" s="2213">
        <v>100000000</v>
      </c>
      <c r="E149" s="2265">
        <v>0.04</v>
      </c>
      <c r="F149" s="2213">
        <f>D149*E149</f>
        <v>4000000</v>
      </c>
      <c r="G149" s="2213">
        <v>4000000</v>
      </c>
      <c r="H149" s="2213" t="s">
        <v>3937</v>
      </c>
      <c r="I149" s="2274" t="s">
        <v>3403</v>
      </c>
      <c r="J149" s="2213">
        <f>G149</f>
        <v>4000000</v>
      </c>
      <c r="K149" s="2213">
        <f t="shared" si="16"/>
        <v>0</v>
      </c>
      <c r="L149" s="2267"/>
      <c r="M149" s="366"/>
      <c r="N149" s="366"/>
      <c r="O149" s="366"/>
      <c r="P149" s="366"/>
    </row>
    <row r="150" spans="1:16" ht="30" customHeight="1" x14ac:dyDescent="0.2">
      <c r="A150" s="2269">
        <v>100</v>
      </c>
      <c r="B150" s="2267" t="s">
        <v>228</v>
      </c>
      <c r="C150" s="2238" t="s">
        <v>392</v>
      </c>
      <c r="D150" s="2213">
        <v>101000000</v>
      </c>
      <c r="E150" s="2265">
        <v>5.0999999999999997E-2</v>
      </c>
      <c r="F150" s="2213">
        <v>5100000</v>
      </c>
      <c r="G150" s="2213"/>
      <c r="H150" s="2213"/>
      <c r="I150" s="21" t="s">
        <v>2860</v>
      </c>
      <c r="J150" s="2213">
        <f>G150</f>
        <v>0</v>
      </c>
      <c r="K150" s="2213">
        <f t="shared" si="16"/>
        <v>5100000</v>
      </c>
      <c r="L150" s="2267"/>
      <c r="M150" s="366"/>
      <c r="N150" s="366"/>
      <c r="O150" s="366"/>
      <c r="P150" s="366"/>
    </row>
    <row r="151" spans="1:16" ht="30" customHeight="1" x14ac:dyDescent="0.2">
      <c r="A151" s="4533"/>
      <c r="B151" s="4457" t="s">
        <v>177</v>
      </c>
      <c r="C151" s="4537" t="s">
        <v>1080</v>
      </c>
      <c r="D151" s="4413">
        <v>100000000</v>
      </c>
      <c r="E151" s="4476">
        <v>0.06</v>
      </c>
      <c r="F151" s="4413">
        <f>D151*E151</f>
        <v>6000000</v>
      </c>
      <c r="G151" s="1400"/>
      <c r="H151" s="233"/>
      <c r="I151" s="233"/>
      <c r="J151" s="233"/>
      <c r="K151" s="2213"/>
      <c r="L151" s="2261" t="s">
        <v>3303</v>
      </c>
      <c r="M151" s="366"/>
      <c r="N151" s="366"/>
      <c r="O151" s="366"/>
      <c r="P151" s="366"/>
    </row>
    <row r="152" spans="1:16" ht="30" customHeight="1" x14ac:dyDescent="0.2">
      <c r="A152" s="4534"/>
      <c r="B152" s="4458"/>
      <c r="C152" s="4538"/>
      <c r="D152" s="4415"/>
      <c r="E152" s="4477"/>
      <c r="F152" s="4415"/>
      <c r="G152" s="2213"/>
      <c r="H152" s="233"/>
      <c r="I152" s="233"/>
      <c r="J152" s="233"/>
      <c r="K152" s="2213"/>
      <c r="L152" s="2261" t="s">
        <v>3917</v>
      </c>
      <c r="M152" s="366"/>
      <c r="N152" s="366"/>
      <c r="O152" s="366"/>
      <c r="P152" s="366"/>
    </row>
    <row r="153" spans="1:16" s="1540" customFormat="1" ht="30" customHeight="1" x14ac:dyDescent="0.2">
      <c r="A153" s="2269"/>
      <c r="B153" s="19" t="s">
        <v>230</v>
      </c>
      <c r="C153" s="2266" t="s">
        <v>1172</v>
      </c>
      <c r="D153" s="2201">
        <v>37000000</v>
      </c>
      <c r="E153" s="2265">
        <v>5.5E-2</v>
      </c>
      <c r="F153" s="2201">
        <v>2000000</v>
      </c>
      <c r="G153" s="2201"/>
      <c r="H153" s="2201"/>
      <c r="I153" s="2201" t="s">
        <v>1551</v>
      </c>
      <c r="J153" s="2201">
        <f>G153</f>
        <v>0</v>
      </c>
      <c r="K153" s="2201">
        <f>F153-J153</f>
        <v>2000000</v>
      </c>
      <c r="L153" s="2015" t="s">
        <v>3376</v>
      </c>
      <c r="M153" s="9"/>
      <c r="N153" s="9"/>
      <c r="O153" s="9"/>
      <c r="P153" s="9"/>
    </row>
    <row r="154" spans="1:16" ht="30" customHeight="1" x14ac:dyDescent="0.2">
      <c r="A154" s="2204">
        <v>104</v>
      </c>
      <c r="B154" s="2206" t="s">
        <v>231</v>
      </c>
      <c r="C154" s="2238" t="s">
        <v>1172</v>
      </c>
      <c r="D154" s="2213">
        <v>20000000</v>
      </c>
      <c r="E154" s="2210">
        <v>0.05</v>
      </c>
      <c r="F154" s="2213">
        <f t="shared" si="10"/>
        <v>1000000</v>
      </c>
      <c r="G154" s="2213">
        <v>1000000</v>
      </c>
      <c r="H154" s="2213" t="s">
        <v>3966</v>
      </c>
      <c r="I154" s="21" t="s">
        <v>3437</v>
      </c>
      <c r="J154" s="2213">
        <f>G154</f>
        <v>1000000</v>
      </c>
      <c r="K154" s="2213">
        <f>F154-J154</f>
        <v>0</v>
      </c>
      <c r="L154" s="2206"/>
      <c r="M154" s="366"/>
      <c r="N154" s="366"/>
      <c r="O154" s="366"/>
      <c r="P154" s="366"/>
    </row>
    <row r="155" spans="1:16" ht="30" customHeight="1" x14ac:dyDescent="0.2">
      <c r="A155" s="4459">
        <v>105</v>
      </c>
      <c r="B155" s="4626" t="s">
        <v>232</v>
      </c>
      <c r="C155" s="4537"/>
      <c r="D155" s="4506"/>
      <c r="E155" s="4512"/>
      <c r="F155" s="4506">
        <f t="shared" ref="F155:F187" si="18">D155*E155</f>
        <v>0</v>
      </c>
      <c r="G155" s="2213"/>
      <c r="H155" s="2213"/>
      <c r="I155" s="21" t="s">
        <v>772</v>
      </c>
      <c r="J155" s="2213">
        <f>G155</f>
        <v>0</v>
      </c>
      <c r="K155" s="2226">
        <f>F155-J155</f>
        <v>0</v>
      </c>
      <c r="L155" s="2205"/>
    </row>
    <row r="156" spans="1:16" ht="30" customHeight="1" x14ac:dyDescent="0.2">
      <c r="A156" s="4460"/>
      <c r="B156" s="4628"/>
      <c r="C156" s="4538"/>
      <c r="D156" s="4508"/>
      <c r="E156" s="4514"/>
      <c r="F156" s="4508"/>
      <c r="G156" s="2213"/>
      <c r="H156" s="2213"/>
      <c r="I156" s="21" t="s">
        <v>3548</v>
      </c>
      <c r="J156" s="2213">
        <f>G156</f>
        <v>0</v>
      </c>
      <c r="K156" s="2226"/>
      <c r="L156" s="2221" t="s">
        <v>3549</v>
      </c>
    </row>
    <row r="157" spans="1:16" ht="30" customHeight="1" x14ac:dyDescent="0.2">
      <c r="A157" s="2269">
        <v>107</v>
      </c>
      <c r="B157" s="2267" t="s">
        <v>234</v>
      </c>
      <c r="C157" s="2238"/>
      <c r="D157" s="2213">
        <v>65000000</v>
      </c>
      <c r="E157" s="2265">
        <v>3.4000000000000002E-2</v>
      </c>
      <c r="F157" s="2213">
        <v>2200000</v>
      </c>
      <c r="G157" s="2213">
        <v>2200000</v>
      </c>
      <c r="H157" s="2213" t="s">
        <v>3920</v>
      </c>
      <c r="I157" s="2201" t="s">
        <v>798</v>
      </c>
      <c r="J157" s="2213">
        <f t="shared" ref="J157:J163" si="19">G157</f>
        <v>2200000</v>
      </c>
      <c r="K157" s="2213">
        <f t="shared" ref="K157:K163" si="20">F157-J157</f>
        <v>0</v>
      </c>
      <c r="L157" s="2221" t="s">
        <v>4271</v>
      </c>
    </row>
    <row r="158" spans="1:16" ht="30" customHeight="1" x14ac:dyDescent="0.2">
      <c r="A158" s="2202">
        <v>108</v>
      </c>
      <c r="B158" s="2267" t="s">
        <v>235</v>
      </c>
      <c r="C158" s="2266"/>
      <c r="D158" s="2201">
        <v>1430000000</v>
      </c>
      <c r="E158" s="2265">
        <v>5.5E-2</v>
      </c>
      <c r="F158" s="2201">
        <f t="shared" si="18"/>
        <v>78650000</v>
      </c>
      <c r="G158" s="2201">
        <v>78650000</v>
      </c>
      <c r="H158" s="2201" t="s">
        <v>2015</v>
      </c>
      <c r="I158" s="2262" t="s">
        <v>3968</v>
      </c>
      <c r="J158" s="2201">
        <f t="shared" si="19"/>
        <v>78650000</v>
      </c>
      <c r="K158" s="2201">
        <f t="shared" si="20"/>
        <v>0</v>
      </c>
      <c r="L158" s="2266"/>
    </row>
    <row r="159" spans="1:16" ht="30" customHeight="1" x14ac:dyDescent="0.2">
      <c r="A159" s="2269">
        <v>109</v>
      </c>
      <c r="B159" s="2206" t="s">
        <v>236</v>
      </c>
      <c r="C159" s="2238"/>
      <c r="D159" s="2213">
        <v>1000000000</v>
      </c>
      <c r="E159" s="2210">
        <v>0.05</v>
      </c>
      <c r="F159" s="2213">
        <f t="shared" si="18"/>
        <v>50000000</v>
      </c>
      <c r="G159" s="2213">
        <v>50000000</v>
      </c>
      <c r="H159" s="2213" t="s">
        <v>3994</v>
      </c>
      <c r="I159" s="21" t="s">
        <v>2616</v>
      </c>
      <c r="J159" s="2213">
        <f t="shared" si="19"/>
        <v>50000000</v>
      </c>
      <c r="K159" s="2213">
        <f t="shared" si="20"/>
        <v>0</v>
      </c>
      <c r="L159" s="2206"/>
    </row>
    <row r="160" spans="1:16" ht="30" customHeight="1" x14ac:dyDescent="0.2">
      <c r="A160" s="2269">
        <v>110</v>
      </c>
      <c r="B160" s="2263" t="s">
        <v>1842</v>
      </c>
      <c r="C160" s="2237" t="s">
        <v>1292</v>
      </c>
      <c r="D160" s="2212">
        <v>14000000</v>
      </c>
      <c r="E160" s="2208">
        <v>4.2999999999999997E-2</v>
      </c>
      <c r="F160" s="2213">
        <v>600000</v>
      </c>
      <c r="G160" s="2213">
        <v>600000</v>
      </c>
      <c r="H160" s="2213" t="s">
        <v>4109</v>
      </c>
      <c r="I160" s="21" t="s">
        <v>1852</v>
      </c>
      <c r="J160" s="2201">
        <f t="shared" si="19"/>
        <v>600000</v>
      </c>
      <c r="K160" s="2201">
        <f t="shared" si="20"/>
        <v>0</v>
      </c>
      <c r="L160" s="19"/>
    </row>
    <row r="161" spans="1:12" ht="30" customHeight="1" x14ac:dyDescent="0.2">
      <c r="A161" s="2204"/>
      <c r="B161" s="19" t="s">
        <v>237</v>
      </c>
      <c r="C161" s="2266" t="s">
        <v>392</v>
      </c>
      <c r="D161" s="2201">
        <v>30000000</v>
      </c>
      <c r="E161" s="2265">
        <v>0.05</v>
      </c>
      <c r="F161" s="2213">
        <f>D161*E161</f>
        <v>1500000</v>
      </c>
      <c r="G161" s="2201">
        <v>1500000</v>
      </c>
      <c r="H161" s="2201" t="s">
        <v>3923</v>
      </c>
      <c r="I161" s="2201" t="s">
        <v>3927</v>
      </c>
      <c r="J161" s="2201">
        <f t="shared" si="19"/>
        <v>1500000</v>
      </c>
      <c r="K161" s="2213">
        <f t="shared" si="20"/>
        <v>0</v>
      </c>
      <c r="L161" s="2221" t="s">
        <v>3450</v>
      </c>
    </row>
    <row r="162" spans="1:12" ht="30" customHeight="1" x14ac:dyDescent="0.2">
      <c r="A162" s="2269">
        <v>112</v>
      </c>
      <c r="B162" s="2267" t="s">
        <v>238</v>
      </c>
      <c r="C162" s="2266"/>
      <c r="D162" s="2213">
        <v>40000000</v>
      </c>
      <c r="E162" s="2265">
        <v>0.05</v>
      </c>
      <c r="F162" s="2213">
        <f t="shared" si="18"/>
        <v>2000000</v>
      </c>
      <c r="G162" s="2213">
        <v>2000000</v>
      </c>
      <c r="H162" s="2213" t="s">
        <v>3923</v>
      </c>
      <c r="I162" s="2274" t="s">
        <v>3465</v>
      </c>
      <c r="J162" s="2213">
        <f t="shared" si="19"/>
        <v>2000000</v>
      </c>
      <c r="K162" s="2213">
        <f t="shared" si="20"/>
        <v>0</v>
      </c>
      <c r="L162" s="2267"/>
    </row>
    <row r="163" spans="1:12" ht="30" customHeight="1" x14ac:dyDescent="0.2">
      <c r="A163" s="2204"/>
      <c r="B163" s="2205" t="s">
        <v>239</v>
      </c>
      <c r="C163" s="2266" t="s">
        <v>402</v>
      </c>
      <c r="D163" s="2213">
        <v>250000000</v>
      </c>
      <c r="E163" s="2265">
        <v>0.05</v>
      </c>
      <c r="F163" s="2213">
        <f>D163*E163</f>
        <v>12500000</v>
      </c>
      <c r="G163" s="2201">
        <v>12500000</v>
      </c>
      <c r="H163" s="2201" t="s">
        <v>3966</v>
      </c>
      <c r="I163" s="2201" t="s">
        <v>3990</v>
      </c>
      <c r="J163" s="2201">
        <f t="shared" si="19"/>
        <v>12500000</v>
      </c>
      <c r="K163" s="2213">
        <f t="shared" si="20"/>
        <v>0</v>
      </c>
      <c r="L163" s="2221" t="s">
        <v>2773</v>
      </c>
    </row>
    <row r="164" spans="1:12" ht="30" customHeight="1" x14ac:dyDescent="0.2">
      <c r="A164" s="2269">
        <v>114</v>
      </c>
      <c r="B164" s="2267" t="s">
        <v>240</v>
      </c>
      <c r="C164" s="2238"/>
      <c r="D164" s="2213">
        <v>100000000</v>
      </c>
      <c r="E164" s="2265">
        <v>4.4999999999999998E-2</v>
      </c>
      <c r="F164" s="2213">
        <f t="shared" si="18"/>
        <v>4500000</v>
      </c>
      <c r="G164" s="2213"/>
      <c r="H164" s="2213"/>
      <c r="I164" s="84"/>
      <c r="J164" s="2213">
        <f>G164</f>
        <v>0</v>
      </c>
      <c r="K164" s="2213">
        <f>F164-J164</f>
        <v>4500000</v>
      </c>
      <c r="L164" s="2267"/>
    </row>
    <row r="165" spans="1:12" ht="30" customHeight="1" x14ac:dyDescent="0.2">
      <c r="A165" s="2281">
        <v>115</v>
      </c>
      <c r="B165" s="2263" t="s">
        <v>241</v>
      </c>
      <c r="C165" s="2237" t="s">
        <v>1138</v>
      </c>
      <c r="D165" s="2211">
        <v>20000000</v>
      </c>
      <c r="E165" s="2208">
        <v>0.05</v>
      </c>
      <c r="F165" s="2211">
        <f t="shared" si="18"/>
        <v>1000000</v>
      </c>
      <c r="G165" s="2213"/>
      <c r="H165" s="2213"/>
      <c r="I165" s="21" t="s">
        <v>1372</v>
      </c>
      <c r="J165" s="2213">
        <f>G165</f>
        <v>0</v>
      </c>
      <c r="K165" s="2213">
        <f>F165-J165</f>
        <v>1000000</v>
      </c>
      <c r="L165" s="2220"/>
    </row>
    <row r="166" spans="1:12" ht="30" customHeight="1" x14ac:dyDescent="0.2">
      <c r="A166" s="1029"/>
      <c r="B166" s="19" t="s">
        <v>243</v>
      </c>
      <c r="C166" s="2266" t="s">
        <v>889</v>
      </c>
      <c r="D166" s="2201">
        <v>445000000</v>
      </c>
      <c r="E166" s="2265">
        <v>4.4999999999999998E-2</v>
      </c>
      <c r="F166" s="2201">
        <v>20000000</v>
      </c>
      <c r="G166" s="2213">
        <v>20000000</v>
      </c>
      <c r="H166" s="2213" t="s">
        <v>4190</v>
      </c>
      <c r="I166" s="84" t="s">
        <v>2646</v>
      </c>
      <c r="J166" s="2213">
        <f>G166</f>
        <v>20000000</v>
      </c>
      <c r="K166" s="2213">
        <f>F166-J166</f>
        <v>0</v>
      </c>
      <c r="L166" s="2292" t="s">
        <v>4267</v>
      </c>
    </row>
    <row r="167" spans="1:12" ht="30" customHeight="1" x14ac:dyDescent="0.2">
      <c r="A167" s="4459">
        <v>118</v>
      </c>
      <c r="B167" s="4457" t="s">
        <v>244</v>
      </c>
      <c r="C167" s="4537" t="s">
        <v>1652</v>
      </c>
      <c r="D167" s="2213">
        <v>20000000</v>
      </c>
      <c r="E167" s="2210">
        <v>0.05</v>
      </c>
      <c r="F167" s="2213">
        <f t="shared" si="18"/>
        <v>1000000</v>
      </c>
      <c r="G167" s="2213">
        <v>1000000</v>
      </c>
      <c r="H167" s="2213" t="s">
        <v>4045</v>
      </c>
      <c r="I167" s="84" t="s">
        <v>611</v>
      </c>
      <c r="J167" s="2213">
        <f>G167</f>
        <v>1000000</v>
      </c>
      <c r="K167" s="2213">
        <f>F167-J167</f>
        <v>0</v>
      </c>
      <c r="L167" s="2292" t="s">
        <v>4226</v>
      </c>
    </row>
    <row r="168" spans="1:12" ht="30" customHeight="1" x14ac:dyDescent="0.2">
      <c r="A168" s="4464"/>
      <c r="B168" s="4488"/>
      <c r="C168" s="4538"/>
      <c r="D168" s="4303" t="s">
        <v>4075</v>
      </c>
      <c r="E168" s="4324"/>
      <c r="F168" s="4355"/>
      <c r="G168" s="2213">
        <v>20000000</v>
      </c>
      <c r="H168" s="2213" t="s">
        <v>3025</v>
      </c>
      <c r="I168" s="84" t="s">
        <v>3529</v>
      </c>
      <c r="J168" s="2201">
        <f>G168</f>
        <v>20000000</v>
      </c>
      <c r="K168" s="2201">
        <v>0</v>
      </c>
      <c r="L168" s="2292" t="s">
        <v>4227</v>
      </c>
    </row>
    <row r="169" spans="1:12" ht="30" customHeight="1" x14ac:dyDescent="0.2">
      <c r="A169" s="4460"/>
      <c r="B169" s="4458"/>
      <c r="C169" s="2239" t="s">
        <v>4225</v>
      </c>
      <c r="D169" s="2201">
        <v>33000000</v>
      </c>
      <c r="E169" s="2210">
        <v>0.05</v>
      </c>
      <c r="F169" s="2201">
        <f>D169*E169</f>
        <v>1650000</v>
      </c>
      <c r="G169" s="2213"/>
      <c r="H169" s="2213"/>
      <c r="I169" s="84"/>
      <c r="J169" s="2212"/>
      <c r="K169" s="2212"/>
      <c r="L169" s="2205"/>
    </row>
    <row r="170" spans="1:12" ht="30" customHeight="1" x14ac:dyDescent="0.2">
      <c r="A170" s="4459">
        <v>120</v>
      </c>
      <c r="B170" s="4457" t="s">
        <v>246</v>
      </c>
      <c r="C170" s="4537" t="s">
        <v>371</v>
      </c>
      <c r="D170" s="4413">
        <v>617000000</v>
      </c>
      <c r="E170" s="4476">
        <v>7.0000000000000007E-2</v>
      </c>
      <c r="F170" s="4413">
        <v>43200000</v>
      </c>
      <c r="G170" s="2201">
        <v>10000000</v>
      </c>
      <c r="H170" s="2201" t="s">
        <v>4038</v>
      </c>
      <c r="I170" s="2262" t="s">
        <v>2866</v>
      </c>
      <c r="J170" s="4413">
        <f>G170+G171</f>
        <v>43200000</v>
      </c>
      <c r="K170" s="4413">
        <f>F170-J170</f>
        <v>0</v>
      </c>
      <c r="L170" s="4599"/>
    </row>
    <row r="171" spans="1:12" ht="30" customHeight="1" x14ac:dyDescent="0.2">
      <c r="A171" s="4460"/>
      <c r="B171" s="4458"/>
      <c r="C171" s="4538"/>
      <c r="D171" s="4415"/>
      <c r="E171" s="4477"/>
      <c r="F171" s="4415"/>
      <c r="G171" s="2213">
        <v>33200000</v>
      </c>
      <c r="H171" s="2213" t="s">
        <v>4062</v>
      </c>
      <c r="I171" s="2262" t="s">
        <v>2866</v>
      </c>
      <c r="J171" s="4415"/>
      <c r="K171" s="4415"/>
      <c r="L171" s="4607"/>
    </row>
    <row r="172" spans="1:12" ht="30" customHeight="1" x14ac:dyDescent="0.2">
      <c r="A172" s="2269">
        <v>122</v>
      </c>
      <c r="B172" s="2267" t="s">
        <v>248</v>
      </c>
      <c r="C172" s="2238"/>
      <c r="D172" s="2213">
        <v>50000000</v>
      </c>
      <c r="E172" s="2265">
        <v>4.4999999999999998E-2</v>
      </c>
      <c r="F172" s="2213">
        <f t="shared" si="18"/>
        <v>2250000</v>
      </c>
      <c r="G172" s="2213">
        <v>2250000</v>
      </c>
      <c r="H172" s="2213" t="s">
        <v>4017</v>
      </c>
      <c r="I172" s="18" t="s">
        <v>1568</v>
      </c>
      <c r="J172" s="2213">
        <f>G172</f>
        <v>2250000</v>
      </c>
      <c r="K172" s="2213">
        <f>F172-J172</f>
        <v>0</v>
      </c>
      <c r="L172" s="2267"/>
    </row>
    <row r="173" spans="1:12" ht="30" customHeight="1" x14ac:dyDescent="0.2">
      <c r="A173" s="4459">
        <v>123</v>
      </c>
      <c r="B173" s="4457" t="s">
        <v>1650</v>
      </c>
      <c r="C173" s="4537" t="s">
        <v>1176</v>
      </c>
      <c r="D173" s="2213">
        <v>60000000</v>
      </c>
      <c r="E173" s="2265">
        <v>0.05</v>
      </c>
      <c r="F173" s="2213">
        <f t="shared" si="18"/>
        <v>3000000</v>
      </c>
      <c r="G173" s="4413"/>
      <c r="H173" s="4413"/>
      <c r="I173" s="4478" t="s">
        <v>3533</v>
      </c>
      <c r="J173" s="4413">
        <f>G173</f>
        <v>0</v>
      </c>
      <c r="K173" s="4413">
        <f>(F173+F174)-J173</f>
        <v>4400000</v>
      </c>
      <c r="L173" s="4599"/>
    </row>
    <row r="174" spans="1:12" ht="30" customHeight="1" x14ac:dyDescent="0.2">
      <c r="A174" s="4464"/>
      <c r="B174" s="4488"/>
      <c r="C174" s="4540"/>
      <c r="D174" s="2213">
        <v>20000000</v>
      </c>
      <c r="E174" s="2265">
        <v>7.0000000000000007E-2</v>
      </c>
      <c r="F174" s="2213">
        <f t="shared" si="18"/>
        <v>1400000.0000000002</v>
      </c>
      <c r="G174" s="4415"/>
      <c r="H174" s="4415"/>
      <c r="I174" s="4479"/>
      <c r="J174" s="4415"/>
      <c r="K174" s="4415"/>
      <c r="L174" s="4607"/>
    </row>
    <row r="175" spans="1:12" ht="30" customHeight="1" x14ac:dyDescent="0.2">
      <c r="A175" s="4464"/>
      <c r="B175" s="4488"/>
      <c r="C175" s="4540"/>
      <c r="D175" s="4413">
        <v>52000000</v>
      </c>
      <c r="E175" s="4476">
        <v>0.05</v>
      </c>
      <c r="F175" s="4413">
        <f>D175*E175</f>
        <v>2600000</v>
      </c>
      <c r="G175" s="4469" t="s">
        <v>3457</v>
      </c>
      <c r="H175" s="4470"/>
      <c r="I175" s="4470"/>
      <c r="J175" s="4471"/>
      <c r="K175" s="2213"/>
      <c r="L175" s="2292" t="s">
        <v>3745</v>
      </c>
    </row>
    <row r="176" spans="1:12" ht="30" customHeight="1" x14ac:dyDescent="0.2">
      <c r="A176" s="4464"/>
      <c r="B176" s="4488"/>
      <c r="C176" s="4540"/>
      <c r="D176" s="4414"/>
      <c r="E176" s="4516"/>
      <c r="F176" s="4414"/>
      <c r="G176" s="4413">
        <v>6600000</v>
      </c>
      <c r="H176" s="4413" t="s">
        <v>4045</v>
      </c>
      <c r="I176" s="4413" t="s">
        <v>574</v>
      </c>
      <c r="J176" s="4413">
        <f>G176</f>
        <v>6600000</v>
      </c>
      <c r="K176" s="4413">
        <v>0</v>
      </c>
      <c r="L176" s="2292" t="s">
        <v>3746</v>
      </c>
    </row>
    <row r="177" spans="1:12" ht="30" customHeight="1" x14ac:dyDescent="0.2">
      <c r="A177" s="4464"/>
      <c r="B177" s="4488"/>
      <c r="C177" s="4540"/>
      <c r="D177" s="4414"/>
      <c r="E177" s="4516"/>
      <c r="F177" s="4414"/>
      <c r="G177" s="4414"/>
      <c r="H177" s="4414"/>
      <c r="I177" s="4414"/>
      <c r="J177" s="4414"/>
      <c r="K177" s="4414"/>
      <c r="L177" s="2292" t="s">
        <v>3747</v>
      </c>
    </row>
    <row r="178" spans="1:12" ht="30" customHeight="1" x14ac:dyDescent="0.2">
      <c r="A178" s="4460"/>
      <c r="B178" s="4458"/>
      <c r="C178" s="4538"/>
      <c r="D178" s="4415"/>
      <c r="E178" s="4477"/>
      <c r="F178" s="4415"/>
      <c r="G178" s="4415"/>
      <c r="H178" s="4415"/>
      <c r="I178" s="4415"/>
      <c r="J178" s="4415"/>
      <c r="K178" s="4415"/>
      <c r="L178" s="2292" t="s">
        <v>3748</v>
      </c>
    </row>
    <row r="179" spans="1:12" ht="30" customHeight="1" x14ac:dyDescent="0.2">
      <c r="A179" s="2269">
        <v>124</v>
      </c>
      <c r="B179" s="2267" t="s">
        <v>250</v>
      </c>
      <c r="C179" s="2238" t="s">
        <v>392</v>
      </c>
      <c r="D179" s="2213">
        <v>200000000</v>
      </c>
      <c r="E179" s="2265">
        <v>0.05</v>
      </c>
      <c r="F179" s="2213">
        <f t="shared" si="18"/>
        <v>10000000</v>
      </c>
      <c r="G179" s="2213">
        <v>10000000</v>
      </c>
      <c r="H179" s="2213" t="s">
        <v>2015</v>
      </c>
      <c r="I179" s="18" t="s">
        <v>1401</v>
      </c>
      <c r="J179" s="2213">
        <f>G179</f>
        <v>10000000</v>
      </c>
      <c r="K179" s="2213">
        <f>F179-J179</f>
        <v>0</v>
      </c>
      <c r="L179" s="2267"/>
    </row>
    <row r="180" spans="1:12" ht="30" customHeight="1" x14ac:dyDescent="0.2">
      <c r="A180" s="2281">
        <v>125</v>
      </c>
      <c r="B180" s="2263" t="s">
        <v>251</v>
      </c>
      <c r="C180" s="2266"/>
      <c r="D180" s="2201">
        <v>160000000</v>
      </c>
      <c r="E180" s="2265">
        <v>7.0000000000000007E-2</v>
      </c>
      <c r="F180" s="2201">
        <v>11000000</v>
      </c>
      <c r="G180" s="2213">
        <v>11000000</v>
      </c>
      <c r="H180" s="2213" t="s">
        <v>2015</v>
      </c>
      <c r="I180" s="21" t="s">
        <v>1630</v>
      </c>
      <c r="J180" s="2213">
        <f>G180</f>
        <v>11000000</v>
      </c>
      <c r="K180" s="2213">
        <f>F180-J180</f>
        <v>0</v>
      </c>
      <c r="L180" s="2267"/>
    </row>
    <row r="181" spans="1:12" ht="30" customHeight="1" x14ac:dyDescent="0.2">
      <c r="A181" s="2269">
        <v>126</v>
      </c>
      <c r="B181" s="2267" t="s">
        <v>252</v>
      </c>
      <c r="C181" s="2238" t="s">
        <v>402</v>
      </c>
      <c r="D181" s="2213">
        <v>180000000</v>
      </c>
      <c r="E181" s="2210">
        <v>4.4999999999999998E-2</v>
      </c>
      <c r="F181" s="2213">
        <f t="shared" si="18"/>
        <v>8100000</v>
      </c>
      <c r="G181" s="2213">
        <v>8100000</v>
      </c>
      <c r="H181" s="2213" t="s">
        <v>3966</v>
      </c>
      <c r="I181" s="21" t="s">
        <v>618</v>
      </c>
      <c r="J181" s="2213">
        <f>G181</f>
        <v>8100000</v>
      </c>
      <c r="K181" s="2213">
        <f>F181-J181</f>
        <v>0</v>
      </c>
      <c r="L181" s="2267"/>
    </row>
    <row r="182" spans="1:12" ht="30" customHeight="1" x14ac:dyDescent="0.2">
      <c r="A182" s="4459">
        <v>127</v>
      </c>
      <c r="B182" s="4457" t="s">
        <v>253</v>
      </c>
      <c r="C182" s="4537" t="s">
        <v>889</v>
      </c>
      <c r="D182" s="4413">
        <v>800000000</v>
      </c>
      <c r="E182" s="4476">
        <v>0.05</v>
      </c>
      <c r="F182" s="4413">
        <f t="shared" si="18"/>
        <v>40000000</v>
      </c>
      <c r="G182" s="4413">
        <v>40000000</v>
      </c>
      <c r="H182" s="4413" t="s">
        <v>1215</v>
      </c>
      <c r="I182" s="4478" t="s">
        <v>2540</v>
      </c>
      <c r="J182" s="4413">
        <f>G182+G183</f>
        <v>40000000</v>
      </c>
      <c r="K182" s="4413">
        <f>F182-J182</f>
        <v>0</v>
      </c>
      <c r="L182" s="4599"/>
    </row>
    <row r="183" spans="1:12" ht="30" customHeight="1" x14ac:dyDescent="0.2">
      <c r="A183" s="4460"/>
      <c r="B183" s="4458"/>
      <c r="C183" s="4538"/>
      <c r="D183" s="4415"/>
      <c r="E183" s="4477"/>
      <c r="F183" s="4415"/>
      <c r="G183" s="4415"/>
      <c r="H183" s="4415"/>
      <c r="I183" s="4479"/>
      <c r="J183" s="4415"/>
      <c r="K183" s="4415"/>
      <c r="L183" s="4607"/>
    </row>
    <row r="184" spans="1:12" ht="30" customHeight="1" x14ac:dyDescent="0.2">
      <c r="A184" s="2269">
        <v>128</v>
      </c>
      <c r="B184" s="2267" t="s">
        <v>254</v>
      </c>
      <c r="C184" s="2238"/>
      <c r="D184" s="2226"/>
      <c r="E184" s="2297"/>
      <c r="F184" s="2226">
        <f t="shared" si="18"/>
        <v>0</v>
      </c>
      <c r="G184" s="2213"/>
      <c r="H184" s="2213"/>
      <c r="I184" s="21"/>
      <c r="J184" s="2213">
        <f>G184</f>
        <v>0</v>
      </c>
      <c r="K184" s="2226">
        <f>F184-J184</f>
        <v>0</v>
      </c>
      <c r="L184" s="2267"/>
    </row>
    <row r="185" spans="1:12" ht="30" customHeight="1" x14ac:dyDescent="0.2">
      <c r="A185" s="2269">
        <v>129</v>
      </c>
      <c r="B185" s="19" t="s">
        <v>255</v>
      </c>
      <c r="C185" s="2266" t="s">
        <v>1107</v>
      </c>
      <c r="D185" s="2201">
        <v>200000000</v>
      </c>
      <c r="E185" s="2265">
        <v>0.06</v>
      </c>
      <c r="F185" s="2201">
        <f>D185*E185</f>
        <v>12000000</v>
      </c>
      <c r="G185" s="2213">
        <v>12000000</v>
      </c>
      <c r="H185" s="2213" t="s">
        <v>4146</v>
      </c>
      <c r="I185" s="21" t="s">
        <v>3252</v>
      </c>
      <c r="J185" s="2213">
        <f>G185</f>
        <v>12000000</v>
      </c>
      <c r="K185" s="2213">
        <f>F185-J185</f>
        <v>0</v>
      </c>
      <c r="L185" s="2292"/>
    </row>
    <row r="186" spans="1:12" ht="30" customHeight="1" x14ac:dyDescent="0.2">
      <c r="A186" s="2269"/>
      <c r="B186" s="19" t="s">
        <v>1171</v>
      </c>
      <c r="C186" s="2266" t="s">
        <v>1299</v>
      </c>
      <c r="D186" s="2201">
        <v>150000000</v>
      </c>
      <c r="E186" s="2265">
        <v>0.05</v>
      </c>
      <c r="F186" s="2201">
        <f>D186*E186</f>
        <v>7500000</v>
      </c>
      <c r="G186" s="2201">
        <v>5000000</v>
      </c>
      <c r="H186" s="2201" t="s">
        <v>4062</v>
      </c>
      <c r="I186" s="2201" t="s">
        <v>1693</v>
      </c>
      <c r="J186" s="2201">
        <f>G186</f>
        <v>5000000</v>
      </c>
      <c r="K186" s="2201">
        <f>F186-J186</f>
        <v>2500000</v>
      </c>
      <c r="L186" s="2292" t="s">
        <v>4070</v>
      </c>
    </row>
    <row r="187" spans="1:12" ht="30" customHeight="1" x14ac:dyDescent="0.2">
      <c r="A187" s="4459">
        <v>131</v>
      </c>
      <c r="B187" s="4457" t="s">
        <v>256</v>
      </c>
      <c r="C187" s="4537"/>
      <c r="D187" s="2213">
        <v>200000000</v>
      </c>
      <c r="E187" s="2210">
        <v>0.05</v>
      </c>
      <c r="F187" s="2213">
        <f t="shared" si="18"/>
        <v>10000000</v>
      </c>
      <c r="G187" s="2213">
        <v>10000000</v>
      </c>
      <c r="H187" s="2213" t="s">
        <v>2015</v>
      </c>
      <c r="I187" s="2232" t="s">
        <v>3436</v>
      </c>
      <c r="J187" s="2213">
        <f>G187</f>
        <v>10000000</v>
      </c>
      <c r="K187" s="2213">
        <f>F187-J187</f>
        <v>0</v>
      </c>
      <c r="L187" s="2292"/>
    </row>
    <row r="188" spans="1:12" ht="30" customHeight="1" x14ac:dyDescent="0.2">
      <c r="A188" s="4460"/>
      <c r="B188" s="4458"/>
      <c r="C188" s="4538"/>
      <c r="D188" s="2212">
        <v>400000000</v>
      </c>
      <c r="E188" s="2209"/>
      <c r="F188" s="2212"/>
      <c r="G188" s="4469" t="s">
        <v>4014</v>
      </c>
      <c r="H188" s="4470"/>
      <c r="I188" s="4470"/>
      <c r="J188" s="4471"/>
      <c r="K188" s="2213"/>
      <c r="L188" s="2220"/>
    </row>
    <row r="189" spans="1:12" ht="30" customHeight="1" x14ac:dyDescent="0.2">
      <c r="A189" s="4459"/>
      <c r="B189" s="4457" t="s">
        <v>1218</v>
      </c>
      <c r="C189" s="4537" t="s">
        <v>1652</v>
      </c>
      <c r="D189" s="4413">
        <v>490000000</v>
      </c>
      <c r="E189" s="4476">
        <v>0.05</v>
      </c>
      <c r="F189" s="4413">
        <f>D189*E189</f>
        <v>24500000</v>
      </c>
      <c r="G189" s="233">
        <v>14500000</v>
      </c>
      <c r="H189" s="2213" t="s">
        <v>3994</v>
      </c>
      <c r="I189" s="2232" t="s">
        <v>1220</v>
      </c>
      <c r="J189" s="2213">
        <f>10000000+G189</f>
        <v>24500000</v>
      </c>
      <c r="K189" s="2213">
        <f>F189-J189</f>
        <v>0</v>
      </c>
      <c r="L189" s="2220" t="s">
        <v>3918</v>
      </c>
    </row>
    <row r="190" spans="1:12" ht="30" customHeight="1" x14ac:dyDescent="0.2">
      <c r="A190" s="4460"/>
      <c r="B190" s="4458"/>
      <c r="C190" s="4538"/>
      <c r="D190" s="4415"/>
      <c r="E190" s="4477"/>
      <c r="F190" s="4415"/>
      <c r="G190" s="233">
        <v>10000000</v>
      </c>
      <c r="H190" s="2213" t="s">
        <v>4130</v>
      </c>
      <c r="I190" s="2232" t="s">
        <v>1220</v>
      </c>
      <c r="J190" s="2213">
        <f>G190</f>
        <v>10000000</v>
      </c>
      <c r="K190" s="2213"/>
      <c r="L190" s="2220" t="s">
        <v>4131</v>
      </c>
    </row>
    <row r="191" spans="1:12" ht="30" customHeight="1" x14ac:dyDescent="0.2">
      <c r="A191" s="2269">
        <v>133</v>
      </c>
      <c r="B191" s="2206" t="s">
        <v>175</v>
      </c>
      <c r="C191" s="2238" t="s">
        <v>1718</v>
      </c>
      <c r="D191" s="2213">
        <v>100000000</v>
      </c>
      <c r="E191" s="2210">
        <v>0.05</v>
      </c>
      <c r="F191" s="2213">
        <f t="shared" ref="F191:F273" si="21">D191*E191</f>
        <v>5000000</v>
      </c>
      <c r="G191" s="2213">
        <v>5000000</v>
      </c>
      <c r="H191" s="2213" t="s">
        <v>3966</v>
      </c>
      <c r="I191" s="21" t="s">
        <v>521</v>
      </c>
      <c r="J191" s="2213">
        <f>G191</f>
        <v>5000000</v>
      </c>
      <c r="K191" s="2213">
        <f>F191-J191</f>
        <v>0</v>
      </c>
      <c r="L191" s="2220" t="s">
        <v>3112</v>
      </c>
    </row>
    <row r="192" spans="1:12" ht="30" customHeight="1" x14ac:dyDescent="0.2">
      <c r="A192" s="2202">
        <v>134</v>
      </c>
      <c r="B192" s="2263" t="s">
        <v>166</v>
      </c>
      <c r="C192" s="2266" t="s">
        <v>1652</v>
      </c>
      <c r="D192" s="2201">
        <v>110000000</v>
      </c>
      <c r="E192" s="2265">
        <v>0.04</v>
      </c>
      <c r="F192" s="2201">
        <f t="shared" si="21"/>
        <v>4400000</v>
      </c>
      <c r="G192" s="2213">
        <v>4400000</v>
      </c>
      <c r="H192" s="2213" t="s">
        <v>4017</v>
      </c>
      <c r="I192" s="21" t="s">
        <v>4101</v>
      </c>
      <c r="J192" s="2211">
        <f>G192</f>
        <v>4400000</v>
      </c>
      <c r="K192" s="2211">
        <f>F192-J192</f>
        <v>0</v>
      </c>
      <c r="L192" s="2234"/>
    </row>
    <row r="193" spans="1:12" ht="30" customHeight="1" x14ac:dyDescent="0.2">
      <c r="A193" s="4459">
        <v>135</v>
      </c>
      <c r="B193" s="4457" t="s">
        <v>6</v>
      </c>
      <c r="C193" s="2266" t="s">
        <v>392</v>
      </c>
      <c r="D193" s="2213">
        <v>100000000</v>
      </c>
      <c r="E193" s="2265">
        <v>0.05</v>
      </c>
      <c r="F193" s="2213">
        <f t="shared" si="21"/>
        <v>5000000</v>
      </c>
      <c r="G193" s="2213">
        <v>5000000</v>
      </c>
      <c r="H193" s="2213" t="s">
        <v>2015</v>
      </c>
      <c r="I193" s="26" t="s">
        <v>1549</v>
      </c>
      <c r="J193" s="4413">
        <f>G193+G194</f>
        <v>11000000</v>
      </c>
      <c r="K193" s="4413">
        <f>(F193+F194)-J193</f>
        <v>0</v>
      </c>
      <c r="L193" s="4599"/>
    </row>
    <row r="194" spans="1:12" ht="30" customHeight="1" x14ac:dyDescent="0.2">
      <c r="A194" s="4460"/>
      <c r="B194" s="4458"/>
      <c r="C194" s="2266" t="s">
        <v>1299</v>
      </c>
      <c r="D194" s="2213">
        <v>124000000</v>
      </c>
      <c r="E194" s="2265">
        <v>4.9000000000000002E-2</v>
      </c>
      <c r="F194" s="2213">
        <v>6000000</v>
      </c>
      <c r="G194" s="2213">
        <v>6000000</v>
      </c>
      <c r="H194" s="2213" t="s">
        <v>4109</v>
      </c>
      <c r="I194" s="52" t="s">
        <v>1549</v>
      </c>
      <c r="J194" s="4415"/>
      <c r="K194" s="4415"/>
      <c r="L194" s="4607"/>
    </row>
    <row r="195" spans="1:12" ht="30" customHeight="1" x14ac:dyDescent="0.2">
      <c r="A195" s="2269">
        <v>136</v>
      </c>
      <c r="B195" s="4457" t="s">
        <v>4003</v>
      </c>
      <c r="C195" s="4620"/>
      <c r="D195" s="4506"/>
      <c r="E195" s="4512"/>
      <c r="F195" s="4506">
        <f t="shared" si="21"/>
        <v>0</v>
      </c>
      <c r="G195" s="2213">
        <v>57000000</v>
      </c>
      <c r="H195" s="2213" t="s">
        <v>3923</v>
      </c>
      <c r="I195" s="24" t="s">
        <v>3969</v>
      </c>
      <c r="J195" s="2213">
        <f>G195</f>
        <v>57000000</v>
      </c>
      <c r="K195" s="2226">
        <f>F195-J195</f>
        <v>-57000000</v>
      </c>
      <c r="L195" s="2220" t="s">
        <v>3162</v>
      </c>
    </row>
    <row r="196" spans="1:12" ht="30" customHeight="1" x14ac:dyDescent="0.2">
      <c r="A196" s="2202"/>
      <c r="B196" s="4488"/>
      <c r="C196" s="4620"/>
      <c r="D196" s="4507"/>
      <c r="E196" s="4513"/>
      <c r="F196" s="4507"/>
      <c r="G196" s="2201">
        <v>140000000</v>
      </c>
      <c r="H196" s="2201" t="s">
        <v>3994</v>
      </c>
      <c r="I196" s="234" t="s">
        <v>3969</v>
      </c>
      <c r="J196" s="2201">
        <f>G196</f>
        <v>140000000</v>
      </c>
      <c r="K196" s="2229"/>
      <c r="L196" s="2292" t="s">
        <v>4754</v>
      </c>
    </row>
    <row r="197" spans="1:12" ht="30" customHeight="1" x14ac:dyDescent="0.2">
      <c r="A197" s="2202"/>
      <c r="B197" s="4458"/>
      <c r="C197" s="4620"/>
      <c r="D197" s="4508"/>
      <c r="E197" s="4514"/>
      <c r="F197" s="4508"/>
      <c r="G197" s="4303" t="s">
        <v>4278</v>
      </c>
      <c r="H197" s="4324"/>
      <c r="I197" s="4324"/>
      <c r="J197" s="4355"/>
      <c r="K197" s="2229"/>
      <c r="L197" s="2292" t="s">
        <v>4197</v>
      </c>
    </row>
    <row r="198" spans="1:12" ht="30" customHeight="1" x14ac:dyDescent="0.2">
      <c r="A198" s="2202"/>
      <c r="B198" s="2205" t="s">
        <v>257</v>
      </c>
      <c r="C198" s="2239"/>
      <c r="D198" s="2213">
        <v>100000000</v>
      </c>
      <c r="E198" s="2265">
        <v>0.05</v>
      </c>
      <c r="F198" s="2213">
        <f>D198*E198</f>
        <v>5000000</v>
      </c>
      <c r="G198" s="2212">
        <v>5000000</v>
      </c>
      <c r="H198" s="2212" t="s">
        <v>3994</v>
      </c>
      <c r="I198" s="1611" t="s">
        <v>4004</v>
      </c>
      <c r="J198" s="2212">
        <f>G198</f>
        <v>5000000</v>
      </c>
      <c r="K198" s="2212">
        <f>F198-J198</f>
        <v>0</v>
      </c>
      <c r="L198" s="2244"/>
    </row>
    <row r="199" spans="1:12" ht="30" customHeight="1" x14ac:dyDescent="0.2">
      <c r="A199" s="4459"/>
      <c r="B199" s="4457" t="s">
        <v>179</v>
      </c>
      <c r="C199" s="4537" t="s">
        <v>1176</v>
      </c>
      <c r="D199" s="2201">
        <v>80000000</v>
      </c>
      <c r="E199" s="2265">
        <v>0.05</v>
      </c>
      <c r="F199" s="2201">
        <f>D199*E199</f>
        <v>4000000</v>
      </c>
      <c r="G199" s="4413">
        <v>6100000</v>
      </c>
      <c r="H199" s="4413" t="s">
        <v>3994</v>
      </c>
      <c r="I199" s="4413" t="s">
        <v>1711</v>
      </c>
      <c r="J199" s="4413">
        <f>G199</f>
        <v>6100000</v>
      </c>
      <c r="K199" s="4413">
        <f>(F199+F200)-J199</f>
        <v>0</v>
      </c>
      <c r="L199" s="4492" t="s">
        <v>3445</v>
      </c>
    </row>
    <row r="200" spans="1:12" ht="30" customHeight="1" x14ac:dyDescent="0.2">
      <c r="A200" s="4460"/>
      <c r="B200" s="4458"/>
      <c r="C200" s="4538"/>
      <c r="D200" s="2211">
        <v>30000000</v>
      </c>
      <c r="E200" s="2208">
        <v>7.0000000000000007E-2</v>
      </c>
      <c r="F200" s="2211">
        <f>D200*E200</f>
        <v>2100000</v>
      </c>
      <c r="G200" s="4415"/>
      <c r="H200" s="4415"/>
      <c r="I200" s="4415"/>
      <c r="J200" s="4415"/>
      <c r="K200" s="4415"/>
      <c r="L200" s="4493"/>
    </row>
    <row r="201" spans="1:12" ht="30" customHeight="1" x14ac:dyDescent="0.2">
      <c r="A201" s="4459">
        <v>138</v>
      </c>
      <c r="B201" s="4457" t="s">
        <v>259</v>
      </c>
      <c r="C201" s="4537" t="s">
        <v>1172</v>
      </c>
      <c r="D201" s="4413">
        <v>1200000000</v>
      </c>
      <c r="E201" s="4476">
        <v>6.5000000000000002E-2</v>
      </c>
      <c r="F201" s="4413">
        <f t="shared" si="21"/>
        <v>78000000</v>
      </c>
      <c r="G201" s="2213">
        <v>50000000</v>
      </c>
      <c r="H201" s="2201" t="s">
        <v>4017</v>
      </c>
      <c r="I201" s="2262" t="s">
        <v>529</v>
      </c>
      <c r="J201" s="4413">
        <f>G201+G202</f>
        <v>78000000</v>
      </c>
      <c r="K201" s="4413">
        <f>F201-J201</f>
        <v>0</v>
      </c>
      <c r="L201" s="4599"/>
    </row>
    <row r="202" spans="1:12" ht="30" customHeight="1" x14ac:dyDescent="0.2">
      <c r="A202" s="4464"/>
      <c r="B202" s="4488"/>
      <c r="C202" s="4540"/>
      <c r="D202" s="4415"/>
      <c r="E202" s="4477"/>
      <c r="F202" s="4415"/>
      <c r="G202" s="2201">
        <v>28000000</v>
      </c>
      <c r="H202" s="2201" t="s">
        <v>4045</v>
      </c>
      <c r="I202" s="2262" t="s">
        <v>529</v>
      </c>
      <c r="J202" s="4415"/>
      <c r="K202" s="4415"/>
      <c r="L202" s="4600"/>
    </row>
    <row r="203" spans="1:12" ht="30" customHeight="1" x14ac:dyDescent="0.2">
      <c r="A203" s="4464"/>
      <c r="B203" s="4488"/>
      <c r="C203" s="4540"/>
      <c r="D203" s="2213">
        <v>150000000</v>
      </c>
      <c r="E203" s="2210">
        <v>6.5000000000000002E-2</v>
      </c>
      <c r="F203" s="2213">
        <f>D203*E203</f>
        <v>9750000</v>
      </c>
      <c r="G203" s="4919" t="s">
        <v>4232</v>
      </c>
      <c r="H203" s="4920"/>
      <c r="I203" s="4920"/>
      <c r="J203" s="4921"/>
      <c r="K203" s="2213"/>
      <c r="L203" s="4684" t="s">
        <v>4234</v>
      </c>
    </row>
    <row r="204" spans="1:12" ht="30" customHeight="1" x14ac:dyDescent="0.2">
      <c r="A204" s="4460"/>
      <c r="B204" s="4458"/>
      <c r="C204" s="4538"/>
      <c r="D204" s="2213">
        <v>79600000</v>
      </c>
      <c r="E204" s="2210">
        <v>6.5000000000000002E-2</v>
      </c>
      <c r="F204" s="2213">
        <f>D204*E204</f>
        <v>5174000</v>
      </c>
      <c r="G204" s="4469" t="s">
        <v>4233</v>
      </c>
      <c r="H204" s="4470"/>
      <c r="I204" s="4470"/>
      <c r="J204" s="4471"/>
      <c r="K204" s="2213"/>
      <c r="L204" s="4493"/>
    </row>
    <row r="205" spans="1:12" ht="30" customHeight="1" x14ac:dyDescent="0.2">
      <c r="A205" s="2269">
        <v>139</v>
      </c>
      <c r="B205" s="19" t="s">
        <v>160</v>
      </c>
      <c r="C205" s="2238" t="s">
        <v>1718</v>
      </c>
      <c r="D205" s="2201">
        <v>110000000</v>
      </c>
      <c r="E205" s="2265">
        <v>0.05</v>
      </c>
      <c r="F205" s="2201">
        <f t="shared" si="21"/>
        <v>5500000</v>
      </c>
      <c r="G205" s="2213">
        <v>5500000</v>
      </c>
      <c r="H205" s="2213" t="s">
        <v>3966</v>
      </c>
      <c r="I205" s="26" t="s">
        <v>3956</v>
      </c>
      <c r="J205" s="2201">
        <f>G205</f>
        <v>5500000</v>
      </c>
      <c r="K205" s="2201">
        <f>F205-J205</f>
        <v>0</v>
      </c>
      <c r="L205" s="19"/>
    </row>
    <row r="206" spans="1:12" ht="30" customHeight="1" x14ac:dyDescent="0.2">
      <c r="A206" s="2269"/>
      <c r="B206" s="19" t="s">
        <v>2270</v>
      </c>
      <c r="C206" s="2238" t="s">
        <v>262</v>
      </c>
      <c r="D206" s="2201">
        <v>50000000</v>
      </c>
      <c r="E206" s="2265">
        <v>0.05</v>
      </c>
      <c r="F206" s="2201">
        <f>D206*E206</f>
        <v>2500000</v>
      </c>
      <c r="G206" s="2213">
        <v>2500000</v>
      </c>
      <c r="H206" s="2213" t="s">
        <v>4062</v>
      </c>
      <c r="I206" s="26" t="s">
        <v>456</v>
      </c>
      <c r="J206" s="2201">
        <f>G206</f>
        <v>2500000</v>
      </c>
      <c r="K206" s="2201">
        <f>F206-J206</f>
        <v>0</v>
      </c>
      <c r="L206" s="19"/>
    </row>
    <row r="207" spans="1:12" ht="30" customHeight="1" x14ac:dyDescent="0.2">
      <c r="A207" s="2269">
        <v>140</v>
      </c>
      <c r="B207" s="2267" t="s">
        <v>533</v>
      </c>
      <c r="C207" s="2238" t="s">
        <v>372</v>
      </c>
      <c r="D207" s="2213">
        <v>150000000</v>
      </c>
      <c r="E207" s="2265">
        <v>0.04</v>
      </c>
      <c r="F207" s="2213">
        <f t="shared" si="21"/>
        <v>6000000</v>
      </c>
      <c r="G207" s="2213">
        <v>6000000</v>
      </c>
      <c r="H207" s="2213" t="s">
        <v>3994</v>
      </c>
      <c r="I207" s="18" t="s">
        <v>2682</v>
      </c>
      <c r="J207" s="2213">
        <f>G207</f>
        <v>6000000</v>
      </c>
      <c r="K207" s="2213">
        <f>F207-J207</f>
        <v>0</v>
      </c>
      <c r="L207" s="2267"/>
    </row>
    <row r="208" spans="1:12" ht="30" customHeight="1" x14ac:dyDescent="0.2">
      <c r="A208" s="4459">
        <v>141</v>
      </c>
      <c r="B208" s="4457" t="s">
        <v>7</v>
      </c>
      <c r="C208" s="4537"/>
      <c r="D208" s="4413">
        <v>30000000</v>
      </c>
      <c r="E208" s="4476">
        <v>0.05</v>
      </c>
      <c r="F208" s="4413">
        <f t="shared" si="21"/>
        <v>1500000</v>
      </c>
      <c r="G208" s="2213">
        <v>1500000</v>
      </c>
      <c r="H208" s="2213" t="s">
        <v>3929</v>
      </c>
      <c r="I208" s="21" t="s">
        <v>535</v>
      </c>
      <c r="J208" s="2213">
        <f>G208</f>
        <v>1500000</v>
      </c>
      <c r="K208" s="2213">
        <f>F208-J208</f>
        <v>0</v>
      </c>
      <c r="L208" s="2220"/>
    </row>
    <row r="209" spans="1:12" ht="30" customHeight="1" x14ac:dyDescent="0.2">
      <c r="A209" s="4460"/>
      <c r="B209" s="4458"/>
      <c r="C209" s="4538"/>
      <c r="D209" s="4415"/>
      <c r="E209" s="4477"/>
      <c r="F209" s="4415"/>
      <c r="G209" s="2226">
        <v>1500000</v>
      </c>
      <c r="H209" s="2226" t="s">
        <v>3966</v>
      </c>
      <c r="I209" s="56" t="s">
        <v>535</v>
      </c>
      <c r="J209" s="2235">
        <f>G209</f>
        <v>1500000</v>
      </c>
      <c r="K209" s="2212">
        <f>F208-J209</f>
        <v>0</v>
      </c>
      <c r="L209" s="2220" t="s">
        <v>4089</v>
      </c>
    </row>
    <row r="210" spans="1:12" ht="30" customHeight="1" x14ac:dyDescent="0.2">
      <c r="A210" s="4459">
        <v>142</v>
      </c>
      <c r="B210" s="4457" t="s">
        <v>8</v>
      </c>
      <c r="C210" s="4537"/>
      <c r="D210" s="4413">
        <v>2000000000</v>
      </c>
      <c r="E210" s="4476">
        <v>0.08</v>
      </c>
      <c r="F210" s="4413">
        <f>D210*E210</f>
        <v>160000000</v>
      </c>
      <c r="G210" s="1856">
        <v>49750000</v>
      </c>
      <c r="H210" s="1856" t="s">
        <v>1846</v>
      </c>
      <c r="I210" s="1856" t="s">
        <v>1937</v>
      </c>
      <c r="J210" s="4322">
        <f>SUM(G210:G214)</f>
        <v>179750000</v>
      </c>
      <c r="K210" s="4322"/>
      <c r="L210" s="4492" t="s">
        <v>3378</v>
      </c>
    </row>
    <row r="211" spans="1:12" ht="30" customHeight="1" x14ac:dyDescent="0.2">
      <c r="A211" s="4464"/>
      <c r="B211" s="4488"/>
      <c r="C211" s="4540"/>
      <c r="D211" s="4414"/>
      <c r="E211" s="4516"/>
      <c r="F211" s="4414"/>
      <c r="G211" s="1856">
        <v>50000000</v>
      </c>
      <c r="H211" s="1856" t="s">
        <v>3966</v>
      </c>
      <c r="I211" s="1856" t="s">
        <v>1937</v>
      </c>
      <c r="J211" s="4322"/>
      <c r="K211" s="4322"/>
      <c r="L211" s="4684"/>
    </row>
    <row r="212" spans="1:12" ht="30" customHeight="1" x14ac:dyDescent="0.2">
      <c r="A212" s="4464"/>
      <c r="B212" s="4488"/>
      <c r="C212" s="4540"/>
      <c r="D212" s="4414"/>
      <c r="E212" s="4516"/>
      <c r="F212" s="4414"/>
      <c r="G212" s="2556">
        <v>30000000</v>
      </c>
      <c r="H212" s="2556" t="s">
        <v>1015</v>
      </c>
      <c r="I212" s="2567" t="s">
        <v>1937</v>
      </c>
      <c r="J212" s="4322"/>
      <c r="K212" s="4322"/>
      <c r="L212" s="4684"/>
    </row>
    <row r="213" spans="1:12" ht="30" customHeight="1" x14ac:dyDescent="0.2">
      <c r="A213" s="4464"/>
      <c r="B213" s="4488"/>
      <c r="C213" s="4540"/>
      <c r="D213" s="4414"/>
      <c r="E213" s="4516"/>
      <c r="F213" s="4414"/>
      <c r="G213" s="2556">
        <v>50000000</v>
      </c>
      <c r="H213" s="2556" t="s">
        <v>4136</v>
      </c>
      <c r="I213" s="2567" t="s">
        <v>1937</v>
      </c>
      <c r="J213" s="4322"/>
      <c r="K213" s="4322"/>
      <c r="L213" s="4684"/>
    </row>
    <row r="214" spans="1:12" ht="30" customHeight="1" x14ac:dyDescent="0.2">
      <c r="A214" s="4460"/>
      <c r="B214" s="4458"/>
      <c r="C214" s="4538"/>
      <c r="D214" s="4415"/>
      <c r="E214" s="4477"/>
      <c r="F214" s="4415"/>
      <c r="G214" s="4469" t="s">
        <v>4723</v>
      </c>
      <c r="H214" s="4470"/>
      <c r="I214" s="4470"/>
      <c r="J214" s="4470"/>
      <c r="K214" s="4471"/>
      <c r="L214" s="4493"/>
    </row>
    <row r="215" spans="1:12" ht="30" customHeight="1" x14ac:dyDescent="0.2">
      <c r="A215" s="2269">
        <v>143</v>
      </c>
      <c r="B215" s="2267" t="s">
        <v>4148</v>
      </c>
      <c r="C215" s="2238"/>
      <c r="D215" s="2213">
        <v>50000000</v>
      </c>
      <c r="E215" s="2265">
        <v>0.04</v>
      </c>
      <c r="F215" s="2213">
        <f t="shared" si="21"/>
        <v>2000000</v>
      </c>
      <c r="G215" s="2213">
        <v>2000000</v>
      </c>
      <c r="H215" s="2213" t="s">
        <v>4190</v>
      </c>
      <c r="I215" s="26" t="s">
        <v>4259</v>
      </c>
      <c r="J215" s="2213">
        <f>G215</f>
        <v>2000000</v>
      </c>
      <c r="K215" s="2213">
        <f>F215-J215</f>
        <v>0</v>
      </c>
      <c r="L215" s="2292" t="s">
        <v>4460</v>
      </c>
    </row>
    <row r="216" spans="1:12" ht="30" customHeight="1" x14ac:dyDescent="0.2">
      <c r="A216" s="2269">
        <v>144</v>
      </c>
      <c r="B216" s="2267" t="s">
        <v>514</v>
      </c>
      <c r="C216" s="2238"/>
      <c r="D216" s="2213">
        <v>5000000</v>
      </c>
      <c r="E216" s="2265">
        <v>0.05</v>
      </c>
      <c r="F216" s="2213">
        <f t="shared" si="21"/>
        <v>250000</v>
      </c>
      <c r="G216" s="2213">
        <v>250000</v>
      </c>
      <c r="H216" s="2213" t="s">
        <v>3923</v>
      </c>
      <c r="I216" s="21" t="s">
        <v>3433</v>
      </c>
      <c r="J216" s="2213">
        <f>G216</f>
        <v>250000</v>
      </c>
      <c r="K216" s="2213">
        <f>F216-J216</f>
        <v>0</v>
      </c>
      <c r="L216" s="2267"/>
    </row>
    <row r="217" spans="1:12" ht="30" customHeight="1" x14ac:dyDescent="0.2">
      <c r="A217" s="2269">
        <v>145</v>
      </c>
      <c r="B217" s="2267" t="s">
        <v>10</v>
      </c>
      <c r="C217" s="2238" t="s">
        <v>1172</v>
      </c>
      <c r="D217" s="2213">
        <v>105000000</v>
      </c>
      <c r="E217" s="2265">
        <v>0.04</v>
      </c>
      <c r="F217" s="2213">
        <f t="shared" si="21"/>
        <v>4200000</v>
      </c>
      <c r="G217" s="2213"/>
      <c r="H217" s="2213"/>
      <c r="I217" s="18" t="s">
        <v>3525</v>
      </c>
      <c r="J217" s="2213">
        <f>G217</f>
        <v>0</v>
      </c>
      <c r="K217" s="2213">
        <f>F217-J217</f>
        <v>4200000</v>
      </c>
      <c r="L217" s="2267"/>
    </row>
    <row r="218" spans="1:12" ht="30" customHeight="1" x14ac:dyDescent="0.2">
      <c r="A218" s="2269">
        <v>146</v>
      </c>
      <c r="B218" s="2267" t="s">
        <v>11</v>
      </c>
      <c r="C218" s="2238"/>
      <c r="D218" s="2213">
        <v>50000000</v>
      </c>
      <c r="E218" s="2265">
        <v>4.4999999999999998E-2</v>
      </c>
      <c r="F218" s="2213">
        <f t="shared" si="21"/>
        <v>2250000</v>
      </c>
      <c r="G218" s="2213"/>
      <c r="H218" s="2213"/>
      <c r="I218" s="21"/>
      <c r="J218" s="2213"/>
      <c r="K218" s="2213">
        <f>F218-J218</f>
        <v>2250000</v>
      </c>
      <c r="L218" s="2267"/>
    </row>
    <row r="219" spans="1:12" ht="30" customHeight="1" x14ac:dyDescent="0.2">
      <c r="A219" s="2269">
        <v>147</v>
      </c>
      <c r="B219" s="2263" t="s">
        <v>12</v>
      </c>
      <c r="C219" s="2237" t="s">
        <v>1295</v>
      </c>
      <c r="D219" s="2213">
        <v>60000000</v>
      </c>
      <c r="E219" s="2265">
        <v>0.05</v>
      </c>
      <c r="F219" s="2213">
        <f t="shared" si="21"/>
        <v>3000000</v>
      </c>
      <c r="G219" s="2201">
        <v>3000000</v>
      </c>
      <c r="H219" s="2201" t="s">
        <v>2015</v>
      </c>
      <c r="I219" s="26" t="s">
        <v>3419</v>
      </c>
      <c r="J219" s="2201">
        <f>G219</f>
        <v>3000000</v>
      </c>
      <c r="K219" s="2201">
        <f>F219-J219</f>
        <v>0</v>
      </c>
      <c r="L219" s="2291"/>
    </row>
    <row r="220" spans="1:12" ht="30" customHeight="1" x14ac:dyDescent="0.2">
      <c r="A220" s="4459">
        <v>148</v>
      </c>
      <c r="B220" s="4457" t="s">
        <v>13</v>
      </c>
      <c r="C220" s="4537" t="s">
        <v>371</v>
      </c>
      <c r="D220" s="2201">
        <v>55000000</v>
      </c>
      <c r="E220" s="2265">
        <v>0.05</v>
      </c>
      <c r="F220" s="2201">
        <f t="shared" si="21"/>
        <v>2750000</v>
      </c>
      <c r="G220" s="2201">
        <v>5000000</v>
      </c>
      <c r="H220" s="2201" t="s">
        <v>3923</v>
      </c>
      <c r="I220" s="2262" t="s">
        <v>3569</v>
      </c>
      <c r="J220" s="2201">
        <f t="shared" ref="J220:J228" si="22">G220</f>
        <v>5000000</v>
      </c>
      <c r="K220" s="2201"/>
      <c r="L220" s="2015" t="s">
        <v>1236</v>
      </c>
    </row>
    <row r="221" spans="1:12" ht="30" customHeight="1" x14ac:dyDescent="0.2">
      <c r="A221" s="4460"/>
      <c r="B221" s="4458"/>
      <c r="C221" s="4538"/>
      <c r="D221" s="2213">
        <v>50000000</v>
      </c>
      <c r="E221" s="2210">
        <v>0.05</v>
      </c>
      <c r="F221" s="2213">
        <f t="shared" si="21"/>
        <v>2500000</v>
      </c>
      <c r="G221" s="2213">
        <v>2500000</v>
      </c>
      <c r="H221" s="2213" t="s">
        <v>4045</v>
      </c>
      <c r="I221" s="2236" t="s">
        <v>3956</v>
      </c>
      <c r="J221" s="2213">
        <f t="shared" si="22"/>
        <v>2500000</v>
      </c>
      <c r="K221" s="2213">
        <f t="shared" ref="K221:K229" si="23">F221-J221</f>
        <v>0</v>
      </c>
      <c r="L221" s="2015"/>
    </row>
    <row r="222" spans="1:12" ht="30" customHeight="1" x14ac:dyDescent="0.2">
      <c r="A222" s="2269">
        <v>149</v>
      </c>
      <c r="B222" s="2267" t="s">
        <v>14</v>
      </c>
      <c r="C222" s="2238" t="s">
        <v>1291</v>
      </c>
      <c r="D222" s="2213">
        <v>80000000</v>
      </c>
      <c r="E222" s="2210">
        <v>0.05</v>
      </c>
      <c r="F222" s="2213">
        <f t="shared" si="21"/>
        <v>4000000</v>
      </c>
      <c r="G222" s="2213">
        <v>4000000</v>
      </c>
      <c r="H222" s="2213" t="s">
        <v>4062</v>
      </c>
      <c r="I222" s="2295" t="s">
        <v>474</v>
      </c>
      <c r="J222" s="2213">
        <f t="shared" si="22"/>
        <v>4000000</v>
      </c>
      <c r="K222" s="2213">
        <f t="shared" si="23"/>
        <v>0</v>
      </c>
      <c r="L222" s="2015" t="s">
        <v>357</v>
      </c>
    </row>
    <row r="223" spans="1:12" ht="30" customHeight="1" x14ac:dyDescent="0.2">
      <c r="A223" s="2269">
        <v>150</v>
      </c>
      <c r="B223" s="2267" t="s">
        <v>15</v>
      </c>
      <c r="C223" s="2238" t="s">
        <v>1294</v>
      </c>
      <c r="D223" s="2213">
        <v>160000000</v>
      </c>
      <c r="E223" s="2265">
        <v>0.04</v>
      </c>
      <c r="F223" s="2213">
        <f t="shared" si="21"/>
        <v>6400000</v>
      </c>
      <c r="G223" s="2213">
        <v>6400000</v>
      </c>
      <c r="H223" s="2213" t="s">
        <v>4076</v>
      </c>
      <c r="I223" s="21" t="s">
        <v>2986</v>
      </c>
      <c r="J223" s="2213">
        <f t="shared" si="22"/>
        <v>6400000</v>
      </c>
      <c r="K223" s="2213">
        <f t="shared" si="23"/>
        <v>0</v>
      </c>
      <c r="L223" s="2220" t="s">
        <v>2987</v>
      </c>
    </row>
    <row r="224" spans="1:12" ht="30" customHeight="1" x14ac:dyDescent="0.2">
      <c r="A224" s="2269">
        <v>151</v>
      </c>
      <c r="B224" s="2267" t="s">
        <v>16</v>
      </c>
      <c r="C224" s="2238" t="s">
        <v>1107</v>
      </c>
      <c r="D224" s="2213">
        <v>180000000</v>
      </c>
      <c r="E224" s="2265">
        <v>0.05</v>
      </c>
      <c r="F224" s="2213">
        <f t="shared" si="21"/>
        <v>9000000</v>
      </c>
      <c r="G224" s="2213">
        <v>9000000</v>
      </c>
      <c r="H224" s="2213" t="s">
        <v>4124</v>
      </c>
      <c r="I224" s="21" t="s">
        <v>2149</v>
      </c>
      <c r="J224" s="2213">
        <f t="shared" si="22"/>
        <v>9000000</v>
      </c>
      <c r="K224" s="2213">
        <f t="shared" si="23"/>
        <v>0</v>
      </c>
      <c r="L224" s="2267"/>
    </row>
    <row r="225" spans="1:16" ht="30" customHeight="1" x14ac:dyDescent="0.2">
      <c r="A225" s="4459">
        <v>152</v>
      </c>
      <c r="B225" s="4457" t="s">
        <v>1115</v>
      </c>
      <c r="C225" s="4537" t="s">
        <v>3007</v>
      </c>
      <c r="D225" s="2213">
        <v>35000000</v>
      </c>
      <c r="E225" s="2265">
        <v>4.7E-2</v>
      </c>
      <c r="F225" s="2213">
        <v>1650000</v>
      </c>
      <c r="G225" s="2201">
        <v>1650000</v>
      </c>
      <c r="H225" s="4413" t="s">
        <v>4076</v>
      </c>
      <c r="I225" s="4478" t="s">
        <v>3703</v>
      </c>
      <c r="J225" s="4413">
        <f>G225+G226</f>
        <v>36650000</v>
      </c>
      <c r="K225" s="4413">
        <f>(D225+F225)-J225</f>
        <v>0</v>
      </c>
      <c r="L225" s="4643" t="s">
        <v>1326</v>
      </c>
    </row>
    <row r="226" spans="1:16" ht="30" customHeight="1" x14ac:dyDescent="0.2">
      <c r="A226" s="4460"/>
      <c r="B226" s="4458"/>
      <c r="C226" s="4538"/>
      <c r="D226" s="2213">
        <v>35000000</v>
      </c>
      <c r="E226" s="4610" t="s">
        <v>4075</v>
      </c>
      <c r="F226" s="4611"/>
      <c r="G226" s="2201">
        <v>35000000</v>
      </c>
      <c r="H226" s="4415"/>
      <c r="I226" s="4479"/>
      <c r="J226" s="4415"/>
      <c r="K226" s="4415"/>
      <c r="L226" s="4644"/>
    </row>
    <row r="227" spans="1:16" ht="30" customHeight="1" x14ac:dyDescent="0.2">
      <c r="A227" s="2269">
        <v>153</v>
      </c>
      <c r="B227" s="2267" t="s">
        <v>17</v>
      </c>
      <c r="C227" s="2238"/>
      <c r="D227" s="2213">
        <v>30000000</v>
      </c>
      <c r="E227" s="2265">
        <v>0.04</v>
      </c>
      <c r="F227" s="2213">
        <f t="shared" si="21"/>
        <v>1200000</v>
      </c>
      <c r="G227" s="2213">
        <v>1200000</v>
      </c>
      <c r="H227" s="2213" t="s">
        <v>4109</v>
      </c>
      <c r="I227" s="21" t="s">
        <v>1143</v>
      </c>
      <c r="J227" s="2213">
        <f t="shared" si="22"/>
        <v>1200000</v>
      </c>
      <c r="K227" s="2213">
        <f t="shared" si="23"/>
        <v>0</v>
      </c>
      <c r="L227" s="2267"/>
    </row>
    <row r="228" spans="1:16" ht="30" customHeight="1" x14ac:dyDescent="0.2">
      <c r="A228" s="2269">
        <v>154</v>
      </c>
      <c r="B228" s="2267" t="s">
        <v>18</v>
      </c>
      <c r="C228" s="2238" t="s">
        <v>1796</v>
      </c>
      <c r="D228" s="2213">
        <v>15000000</v>
      </c>
      <c r="E228" s="2265">
        <v>7.0000000000000007E-2</v>
      </c>
      <c r="F228" s="2213">
        <f t="shared" si="21"/>
        <v>1050000</v>
      </c>
      <c r="G228" s="2213">
        <v>1050000</v>
      </c>
      <c r="H228" s="2213" t="s">
        <v>4146</v>
      </c>
      <c r="I228" s="21" t="s">
        <v>1278</v>
      </c>
      <c r="J228" s="2213">
        <f t="shared" si="22"/>
        <v>1050000</v>
      </c>
      <c r="K228" s="2213">
        <f t="shared" si="23"/>
        <v>0</v>
      </c>
      <c r="L228" s="2267"/>
    </row>
    <row r="229" spans="1:16" ht="30" customHeight="1" x14ac:dyDescent="0.2">
      <c r="A229" s="2269">
        <v>155</v>
      </c>
      <c r="B229" s="2267" t="s">
        <v>19</v>
      </c>
      <c r="C229" s="2238"/>
      <c r="D229" s="2226"/>
      <c r="E229" s="2297"/>
      <c r="F229" s="2226">
        <f t="shared" si="21"/>
        <v>0</v>
      </c>
      <c r="G229" s="2213"/>
      <c r="H229" s="2213"/>
      <c r="I229" s="21"/>
      <c r="J229" s="2213"/>
      <c r="K229" s="2226">
        <f t="shared" si="23"/>
        <v>0</v>
      </c>
      <c r="L229" s="2267"/>
    </row>
    <row r="230" spans="1:16" ht="30" customHeight="1" x14ac:dyDescent="0.2">
      <c r="A230" s="2202">
        <v>156</v>
      </c>
      <c r="B230" s="2263" t="s">
        <v>20</v>
      </c>
      <c r="C230" s="378"/>
      <c r="D230" s="2201">
        <v>50000000</v>
      </c>
      <c r="E230" s="2265">
        <v>0.04</v>
      </c>
      <c r="F230" s="2201">
        <f t="shared" si="21"/>
        <v>2000000</v>
      </c>
      <c r="G230" s="2213">
        <v>2000000</v>
      </c>
      <c r="H230" s="2213" t="s">
        <v>4062</v>
      </c>
      <c r="I230" s="18" t="s">
        <v>3664</v>
      </c>
      <c r="J230" s="2201">
        <f>G230</f>
        <v>2000000</v>
      </c>
      <c r="K230" s="2201">
        <f>F230-500000</f>
        <v>1500000</v>
      </c>
      <c r="L230" s="2220" t="s">
        <v>3665</v>
      </c>
      <c r="M230" s="366"/>
      <c r="N230" s="366"/>
      <c r="O230" s="366"/>
      <c r="P230" s="366"/>
    </row>
    <row r="231" spans="1:16" ht="30" customHeight="1" x14ac:dyDescent="0.2">
      <c r="A231" s="2269">
        <v>157</v>
      </c>
      <c r="B231" s="2267" t="s">
        <v>21</v>
      </c>
      <c r="C231" s="2238" t="s">
        <v>1294</v>
      </c>
      <c r="D231" s="2213">
        <v>20000000</v>
      </c>
      <c r="E231" s="2210">
        <v>0.05</v>
      </c>
      <c r="F231" s="2213">
        <f t="shared" si="21"/>
        <v>1000000</v>
      </c>
      <c r="G231" s="2213">
        <v>1000000</v>
      </c>
      <c r="H231" s="2213" t="s">
        <v>4130</v>
      </c>
      <c r="I231" s="21" t="s">
        <v>4589</v>
      </c>
      <c r="J231" s="2213">
        <f>G231</f>
        <v>1000000</v>
      </c>
      <c r="K231" s="2213">
        <f>F231-J231</f>
        <v>0</v>
      </c>
      <c r="L231" s="2267"/>
      <c r="M231" s="366"/>
      <c r="N231" s="366"/>
      <c r="O231" s="366"/>
      <c r="P231" s="366"/>
    </row>
    <row r="232" spans="1:16" ht="30" customHeight="1" x14ac:dyDescent="0.2">
      <c r="A232" s="4464"/>
      <c r="B232" s="4457" t="s">
        <v>822</v>
      </c>
      <c r="C232" s="2238" t="s">
        <v>1306</v>
      </c>
      <c r="D232" s="2213">
        <v>160000000</v>
      </c>
      <c r="E232" s="2265">
        <v>0.05</v>
      </c>
      <c r="F232" s="2213">
        <f>D232*E232</f>
        <v>8000000</v>
      </c>
      <c r="G232" s="4413">
        <v>9200000</v>
      </c>
      <c r="H232" s="4413" t="s">
        <v>4109</v>
      </c>
      <c r="I232" s="4413" t="s">
        <v>3129</v>
      </c>
      <c r="J232" s="4413">
        <f>G232</f>
        <v>9200000</v>
      </c>
      <c r="K232" s="4413">
        <f>(F232+F233)-J232</f>
        <v>0</v>
      </c>
      <c r="L232" s="233"/>
      <c r="M232" s="233"/>
      <c r="N232" s="233"/>
      <c r="O232" s="233"/>
      <c r="P232" s="233"/>
    </row>
    <row r="233" spans="1:16" ht="30" customHeight="1" x14ac:dyDescent="0.2">
      <c r="A233" s="4460"/>
      <c r="B233" s="4458"/>
      <c r="C233" s="2238" t="s">
        <v>1306</v>
      </c>
      <c r="D233" s="2213">
        <v>22000000</v>
      </c>
      <c r="E233" s="2265">
        <v>5.5E-2</v>
      </c>
      <c r="F233" s="2213">
        <v>1200000</v>
      </c>
      <c r="G233" s="4415"/>
      <c r="H233" s="4415"/>
      <c r="I233" s="4415"/>
      <c r="J233" s="4415"/>
      <c r="K233" s="4415"/>
      <c r="L233" s="2267"/>
      <c r="M233" s="366"/>
      <c r="N233" s="366"/>
      <c r="O233" s="366"/>
      <c r="P233" s="366"/>
    </row>
    <row r="234" spans="1:16" ht="30" customHeight="1" x14ac:dyDescent="0.2">
      <c r="A234" s="2269">
        <v>159</v>
      </c>
      <c r="B234" s="2267" t="s">
        <v>22</v>
      </c>
      <c r="C234" s="2238" t="s">
        <v>1300</v>
      </c>
      <c r="D234" s="2213">
        <v>25000000</v>
      </c>
      <c r="E234" s="2265">
        <v>0.05</v>
      </c>
      <c r="F234" s="2213">
        <f t="shared" si="21"/>
        <v>1250000</v>
      </c>
      <c r="G234" s="2213">
        <v>1250000</v>
      </c>
      <c r="H234" s="2213" t="s">
        <v>3994</v>
      </c>
      <c r="I234" s="21" t="s">
        <v>2192</v>
      </c>
      <c r="J234" s="2213">
        <f>G234</f>
        <v>1250000</v>
      </c>
      <c r="K234" s="2213">
        <f t="shared" ref="K234:K244" si="24">F234-J234</f>
        <v>0</v>
      </c>
      <c r="L234" s="2267"/>
      <c r="M234" s="366"/>
      <c r="N234" s="366"/>
      <c r="O234" s="366"/>
      <c r="P234" s="366"/>
    </row>
    <row r="235" spans="1:16" ht="30" customHeight="1" x14ac:dyDescent="0.2">
      <c r="A235" s="2269">
        <v>160</v>
      </c>
      <c r="B235" s="2267" t="s">
        <v>23</v>
      </c>
      <c r="C235" s="2238"/>
      <c r="D235" s="2213">
        <v>55000000</v>
      </c>
      <c r="E235" s="2265">
        <v>0.05</v>
      </c>
      <c r="F235" s="2213">
        <f t="shared" si="21"/>
        <v>2750000</v>
      </c>
      <c r="G235" s="2213"/>
      <c r="H235" s="2213"/>
      <c r="I235" s="21"/>
      <c r="J235" s="2213">
        <f>G235</f>
        <v>0</v>
      </c>
      <c r="K235" s="2213">
        <f t="shared" si="24"/>
        <v>2750000</v>
      </c>
      <c r="L235" s="2267"/>
      <c r="M235" s="366"/>
      <c r="N235" s="366"/>
      <c r="O235" s="366"/>
      <c r="P235" s="366"/>
    </row>
    <row r="236" spans="1:16" ht="30" customHeight="1" x14ac:dyDescent="0.2">
      <c r="A236" s="2269">
        <v>161</v>
      </c>
      <c r="B236" s="2263" t="s">
        <v>24</v>
      </c>
      <c r="C236" s="2266" t="s">
        <v>1306</v>
      </c>
      <c r="D236" s="2213">
        <v>20000000</v>
      </c>
      <c r="E236" s="2265">
        <v>4.4999999999999998E-2</v>
      </c>
      <c r="F236" s="2213">
        <f t="shared" si="21"/>
        <v>900000</v>
      </c>
      <c r="G236" s="2213">
        <v>900000</v>
      </c>
      <c r="H236" s="2213" t="s">
        <v>4146</v>
      </c>
      <c r="I236" s="21" t="s">
        <v>4155</v>
      </c>
      <c r="J236" s="2213">
        <f>G236</f>
        <v>900000</v>
      </c>
      <c r="K236" s="2213">
        <f t="shared" si="24"/>
        <v>0</v>
      </c>
      <c r="L236" s="2267"/>
      <c r="M236" s="366"/>
      <c r="N236" s="366"/>
      <c r="O236" s="366"/>
      <c r="P236" s="366"/>
    </row>
    <row r="237" spans="1:16" ht="30" customHeight="1" x14ac:dyDescent="0.2">
      <c r="A237" s="2269">
        <v>162</v>
      </c>
      <c r="B237" s="2267" t="s">
        <v>25</v>
      </c>
      <c r="C237" s="2238" t="s">
        <v>1306</v>
      </c>
      <c r="D237" s="2213">
        <v>180000000</v>
      </c>
      <c r="E237" s="2265">
        <v>0.05</v>
      </c>
      <c r="F237" s="2213">
        <f t="shared" si="21"/>
        <v>9000000</v>
      </c>
      <c r="G237" s="2213">
        <v>9000000</v>
      </c>
      <c r="H237" s="2213" t="s">
        <v>4109</v>
      </c>
      <c r="I237" s="21" t="s">
        <v>3132</v>
      </c>
      <c r="J237" s="2213">
        <f>G237</f>
        <v>9000000</v>
      </c>
      <c r="K237" s="2213">
        <f t="shared" si="24"/>
        <v>0</v>
      </c>
      <c r="L237" s="2267"/>
      <c r="M237" s="366"/>
      <c r="N237" s="366"/>
      <c r="O237" s="366"/>
      <c r="P237" s="366"/>
    </row>
    <row r="238" spans="1:16" ht="30" customHeight="1" x14ac:dyDescent="0.2">
      <c r="A238" s="2269">
        <v>163</v>
      </c>
      <c r="B238" s="2267" t="s">
        <v>828</v>
      </c>
      <c r="C238" s="2238"/>
      <c r="D238" s="2213">
        <v>200000000</v>
      </c>
      <c r="E238" s="2265">
        <v>0.05</v>
      </c>
      <c r="F238" s="2213">
        <f t="shared" si="21"/>
        <v>10000000</v>
      </c>
      <c r="G238" s="2213">
        <v>10000000</v>
      </c>
      <c r="H238" s="2213" t="s">
        <v>4121</v>
      </c>
      <c r="I238" s="21" t="s">
        <v>3732</v>
      </c>
      <c r="J238" s="2213">
        <f>G238</f>
        <v>10000000</v>
      </c>
      <c r="K238" s="2213">
        <f t="shared" si="24"/>
        <v>0</v>
      </c>
      <c r="L238" s="2267"/>
      <c r="M238" s="366"/>
      <c r="N238" s="366"/>
      <c r="O238" s="366"/>
      <c r="P238" s="366"/>
    </row>
    <row r="239" spans="1:16" ht="30" customHeight="1" x14ac:dyDescent="0.2">
      <c r="A239" s="2269">
        <v>164</v>
      </c>
      <c r="B239" s="2267" t="s">
        <v>26</v>
      </c>
      <c r="C239" s="2238"/>
      <c r="D239" s="2213">
        <v>50000000</v>
      </c>
      <c r="E239" s="2265">
        <v>0.05</v>
      </c>
      <c r="F239" s="2213">
        <f t="shared" si="21"/>
        <v>2500000</v>
      </c>
      <c r="G239" s="2213">
        <v>2500000</v>
      </c>
      <c r="H239" s="2213" t="s">
        <v>4109</v>
      </c>
      <c r="I239" s="21" t="s">
        <v>741</v>
      </c>
      <c r="J239" s="2213">
        <f t="shared" ref="J239:J247" si="25">G239</f>
        <v>2500000</v>
      </c>
      <c r="K239" s="2213">
        <f t="shared" si="24"/>
        <v>0</v>
      </c>
      <c r="L239" s="2267"/>
      <c r="M239" s="366"/>
      <c r="N239" s="366"/>
      <c r="O239" s="366"/>
      <c r="P239" s="366"/>
    </row>
    <row r="240" spans="1:16" ht="30" customHeight="1" x14ac:dyDescent="0.2">
      <c r="A240" s="2269">
        <v>165</v>
      </c>
      <c r="B240" s="2267" t="s">
        <v>27</v>
      </c>
      <c r="C240" s="2238" t="s">
        <v>681</v>
      </c>
      <c r="D240" s="2213">
        <v>20000000</v>
      </c>
      <c r="E240" s="2265">
        <v>0.04</v>
      </c>
      <c r="F240" s="2213">
        <f t="shared" si="21"/>
        <v>800000</v>
      </c>
      <c r="G240" s="2213">
        <v>800000</v>
      </c>
      <c r="H240" s="2213" t="s">
        <v>4109</v>
      </c>
      <c r="I240" s="21" t="s">
        <v>3740</v>
      </c>
      <c r="J240" s="2213">
        <f t="shared" si="25"/>
        <v>800000</v>
      </c>
      <c r="K240" s="2213">
        <f t="shared" si="24"/>
        <v>0</v>
      </c>
      <c r="L240" s="2267"/>
      <c r="M240" s="366"/>
      <c r="N240" s="366"/>
      <c r="O240" s="366"/>
      <c r="P240" s="366"/>
    </row>
    <row r="241" spans="1:16" ht="30" customHeight="1" x14ac:dyDescent="0.2">
      <c r="A241" s="2269">
        <v>166</v>
      </c>
      <c r="B241" s="2267" t="s">
        <v>28</v>
      </c>
      <c r="C241" s="2238" t="s">
        <v>551</v>
      </c>
      <c r="D241" s="2213">
        <v>100000000</v>
      </c>
      <c r="E241" s="2265">
        <v>0.05</v>
      </c>
      <c r="F241" s="2213">
        <f t="shared" si="21"/>
        <v>5000000</v>
      </c>
      <c r="G241" s="2213">
        <v>5000000</v>
      </c>
      <c r="H241" s="2213" t="s">
        <v>4109</v>
      </c>
      <c r="I241" s="26" t="s">
        <v>4125</v>
      </c>
      <c r="J241" s="2213">
        <f t="shared" si="25"/>
        <v>5000000</v>
      </c>
      <c r="K241" s="2213">
        <f t="shared" si="24"/>
        <v>0</v>
      </c>
      <c r="L241" s="2267"/>
      <c r="M241" s="366"/>
      <c r="N241" s="366"/>
      <c r="O241" s="366"/>
      <c r="P241" s="366"/>
    </row>
    <row r="242" spans="1:16" ht="30" customHeight="1" x14ac:dyDescent="0.2">
      <c r="A242" s="2269">
        <v>167</v>
      </c>
      <c r="B242" s="2267" t="s">
        <v>737</v>
      </c>
      <c r="C242" s="2238" t="s">
        <v>1306</v>
      </c>
      <c r="D242" s="2213">
        <v>50000000</v>
      </c>
      <c r="E242" s="2265">
        <v>0.05</v>
      </c>
      <c r="F242" s="2213">
        <f t="shared" si="21"/>
        <v>2500000</v>
      </c>
      <c r="G242" s="2213">
        <v>2500000</v>
      </c>
      <c r="H242" s="2213" t="s">
        <v>4109</v>
      </c>
      <c r="I242" s="21" t="s">
        <v>739</v>
      </c>
      <c r="J242" s="2213">
        <f t="shared" si="25"/>
        <v>2500000</v>
      </c>
      <c r="K242" s="2213">
        <f t="shared" si="24"/>
        <v>0</v>
      </c>
      <c r="L242" s="2267"/>
      <c r="M242" s="366"/>
      <c r="N242" s="366"/>
      <c r="O242" s="366"/>
      <c r="P242" s="366"/>
    </row>
    <row r="243" spans="1:16" ht="30" customHeight="1" x14ac:dyDescent="0.2">
      <c r="A243" s="2269">
        <v>168</v>
      </c>
      <c r="B243" s="2267" t="s">
        <v>818</v>
      </c>
      <c r="C243" s="2238"/>
      <c r="D243" s="2213">
        <v>50000000</v>
      </c>
      <c r="E243" s="2265">
        <v>7.0000000000000007E-2</v>
      </c>
      <c r="F243" s="2213">
        <f t="shared" si="21"/>
        <v>3500000.0000000005</v>
      </c>
      <c r="G243" s="2213">
        <v>3500000</v>
      </c>
      <c r="H243" s="2213" t="s">
        <v>4109</v>
      </c>
      <c r="I243" s="21" t="s">
        <v>3085</v>
      </c>
      <c r="J243" s="2213">
        <f t="shared" si="25"/>
        <v>3500000</v>
      </c>
      <c r="K243" s="2213">
        <f t="shared" si="24"/>
        <v>0</v>
      </c>
      <c r="L243" s="2267"/>
      <c r="M243" s="366"/>
      <c r="N243" s="366"/>
      <c r="O243" s="366"/>
      <c r="P243" s="366"/>
    </row>
    <row r="244" spans="1:16" ht="30" customHeight="1" x14ac:dyDescent="0.2">
      <c r="A244" s="2282"/>
      <c r="B244" s="2263" t="s">
        <v>29</v>
      </c>
      <c r="C244" s="711"/>
      <c r="D244" s="2213">
        <v>20000000</v>
      </c>
      <c r="E244" s="2265">
        <v>0.05</v>
      </c>
      <c r="F244" s="2213">
        <f>D244*E244</f>
        <v>1000000</v>
      </c>
      <c r="G244" s="2213">
        <v>1000000</v>
      </c>
      <c r="H244" s="2213" t="s">
        <v>4109</v>
      </c>
      <c r="I244" s="2213" t="s">
        <v>848</v>
      </c>
      <c r="J244" s="2213">
        <f t="shared" si="25"/>
        <v>1000000</v>
      </c>
      <c r="K244" s="2213">
        <f t="shared" si="24"/>
        <v>0</v>
      </c>
      <c r="L244" s="4469"/>
      <c r="M244" s="4470"/>
      <c r="N244" s="4470"/>
      <c r="O244" s="4470"/>
      <c r="P244" s="4471"/>
    </row>
    <row r="245" spans="1:16" ht="30" customHeight="1" x14ac:dyDescent="0.2">
      <c r="A245" s="2269">
        <v>170</v>
      </c>
      <c r="B245" s="2267" t="s">
        <v>30</v>
      </c>
      <c r="C245" s="2238" t="s">
        <v>1107</v>
      </c>
      <c r="D245" s="2213">
        <v>70000000</v>
      </c>
      <c r="E245" s="2265">
        <v>0.05</v>
      </c>
      <c r="F245" s="2213">
        <f t="shared" si="21"/>
        <v>3500000</v>
      </c>
      <c r="G245" s="2213">
        <v>3500000</v>
      </c>
      <c r="H245" s="2213" t="s">
        <v>4136</v>
      </c>
      <c r="I245" s="21" t="s">
        <v>4140</v>
      </c>
      <c r="J245" s="2213">
        <f t="shared" si="25"/>
        <v>3500000</v>
      </c>
      <c r="K245" s="2213">
        <f>F245-J245</f>
        <v>0</v>
      </c>
      <c r="L245" s="2267"/>
      <c r="M245" s="366"/>
      <c r="N245" s="366"/>
      <c r="O245" s="366"/>
      <c r="P245" s="366"/>
    </row>
    <row r="246" spans="1:16" ht="30" customHeight="1" x14ac:dyDescent="0.2">
      <c r="A246" s="2269">
        <v>171</v>
      </c>
      <c r="B246" s="2267" t="s">
        <v>31</v>
      </c>
      <c r="C246" s="2238" t="s">
        <v>1293</v>
      </c>
      <c r="D246" s="2213">
        <v>10000000</v>
      </c>
      <c r="E246" s="2265">
        <v>0.04</v>
      </c>
      <c r="F246" s="2213">
        <f>D246*E246</f>
        <v>400000</v>
      </c>
      <c r="G246" s="2213">
        <v>400000</v>
      </c>
      <c r="H246" s="2213" t="s">
        <v>3966</v>
      </c>
      <c r="I246" s="21" t="s">
        <v>670</v>
      </c>
      <c r="J246" s="2213">
        <f t="shared" si="25"/>
        <v>400000</v>
      </c>
      <c r="K246" s="2213">
        <f>F246-J246</f>
        <v>0</v>
      </c>
      <c r="L246" s="2292"/>
    </row>
    <row r="247" spans="1:16" ht="30" customHeight="1" x14ac:dyDescent="0.2">
      <c r="A247" s="2202">
        <v>172</v>
      </c>
      <c r="B247" s="2263" t="s">
        <v>32</v>
      </c>
      <c r="C247" s="378"/>
      <c r="D247" s="2213">
        <v>5000000</v>
      </c>
      <c r="E247" s="2265">
        <v>0.06</v>
      </c>
      <c r="F247" s="2213">
        <f t="shared" si="21"/>
        <v>300000</v>
      </c>
      <c r="G247" s="2213">
        <v>300000</v>
      </c>
      <c r="H247" s="2213" t="s">
        <v>4146</v>
      </c>
      <c r="I247" s="21" t="s">
        <v>632</v>
      </c>
      <c r="J247" s="2213">
        <f t="shared" si="25"/>
        <v>300000</v>
      </c>
      <c r="K247" s="2213">
        <f>F247-J247</f>
        <v>0</v>
      </c>
      <c r="L247" s="388" t="s">
        <v>3258</v>
      </c>
    </row>
    <row r="248" spans="1:16" ht="30" customHeight="1" x14ac:dyDescent="0.2">
      <c r="A248" s="2269">
        <v>173</v>
      </c>
      <c r="B248" s="2267" t="s">
        <v>33</v>
      </c>
      <c r="C248" s="2238"/>
      <c r="D248" s="2213">
        <v>40000000</v>
      </c>
      <c r="E248" s="2265">
        <v>0.05</v>
      </c>
      <c r="F248" s="2213">
        <f t="shared" si="21"/>
        <v>2000000</v>
      </c>
      <c r="G248" s="2213">
        <v>2000000</v>
      </c>
      <c r="H248" s="2213" t="s">
        <v>4136</v>
      </c>
      <c r="I248" s="21" t="s">
        <v>838</v>
      </c>
      <c r="J248" s="2213">
        <f>G248</f>
        <v>2000000</v>
      </c>
      <c r="K248" s="2213">
        <f>F248-J248</f>
        <v>0</v>
      </c>
      <c r="L248" s="2267"/>
    </row>
    <row r="249" spans="1:16" ht="30" customHeight="1" x14ac:dyDescent="0.2">
      <c r="A249" s="4614"/>
      <c r="B249" s="4615" t="s">
        <v>4268</v>
      </c>
      <c r="C249" s="4620" t="s">
        <v>1287</v>
      </c>
      <c r="D249" s="4322">
        <v>5000000000</v>
      </c>
      <c r="E249" s="4608">
        <v>0.08</v>
      </c>
      <c r="F249" s="4322">
        <f>D249*E249</f>
        <v>400000000</v>
      </c>
      <c r="G249" s="2213"/>
      <c r="H249" s="2213"/>
      <c r="I249" s="21"/>
      <c r="J249" s="4413"/>
      <c r="K249" s="4413"/>
      <c r="L249" s="388" t="s">
        <v>2888</v>
      </c>
    </row>
    <row r="250" spans="1:16" ht="30" customHeight="1" x14ac:dyDescent="0.2">
      <c r="A250" s="4614"/>
      <c r="B250" s="4615"/>
      <c r="C250" s="4620"/>
      <c r="D250" s="4322"/>
      <c r="E250" s="4608"/>
      <c r="F250" s="4322"/>
      <c r="G250" s="233"/>
      <c r="H250" s="233"/>
      <c r="I250" s="233"/>
      <c r="J250" s="4414"/>
      <c r="K250" s="4414"/>
      <c r="L250" s="1662" t="s">
        <v>2324</v>
      </c>
    </row>
    <row r="251" spans="1:16" ht="30" customHeight="1" x14ac:dyDescent="0.2">
      <c r="A251" s="4614"/>
      <c r="B251" s="4615"/>
      <c r="C251" s="4620"/>
      <c r="D251" s="4322"/>
      <c r="E251" s="4608"/>
      <c r="F251" s="4322"/>
      <c r="G251" s="233"/>
      <c r="H251" s="233"/>
      <c r="I251" s="233"/>
      <c r="J251" s="4414"/>
      <c r="K251" s="4414"/>
      <c r="L251" s="388" t="s">
        <v>2886</v>
      </c>
    </row>
    <row r="252" spans="1:16" ht="30" customHeight="1" x14ac:dyDescent="0.2">
      <c r="A252" s="4614"/>
      <c r="B252" s="4615"/>
      <c r="C252" s="4620"/>
      <c r="D252" s="4322"/>
      <c r="E252" s="4608"/>
      <c r="F252" s="4322"/>
      <c r="G252" s="233"/>
      <c r="H252" s="233"/>
      <c r="I252" s="233"/>
      <c r="J252" s="4414"/>
      <c r="K252" s="4414"/>
      <c r="L252" s="4457"/>
    </row>
    <row r="253" spans="1:16" ht="30" customHeight="1" x14ac:dyDescent="0.2">
      <c r="A253" s="4614"/>
      <c r="B253" s="4615"/>
      <c r="C253" s="4620"/>
      <c r="D253" s="4322"/>
      <c r="E253" s="4608"/>
      <c r="F253" s="4322"/>
      <c r="G253" s="233"/>
      <c r="H253" s="233"/>
      <c r="I253" s="233"/>
      <c r="J253" s="4415"/>
      <c r="K253" s="4415"/>
      <c r="L253" s="4458"/>
    </row>
    <row r="254" spans="1:16" ht="30" customHeight="1" x14ac:dyDescent="0.2">
      <c r="A254" s="4459">
        <v>175</v>
      </c>
      <c r="B254" s="4457" t="s">
        <v>36</v>
      </c>
      <c r="C254" s="4537" t="s">
        <v>1306</v>
      </c>
      <c r="D254" s="4413">
        <v>200000000</v>
      </c>
      <c r="E254" s="4476">
        <v>0.05</v>
      </c>
      <c r="F254" s="4413">
        <f t="shared" si="21"/>
        <v>10000000</v>
      </c>
      <c r="G254" s="2213">
        <v>10000000</v>
      </c>
      <c r="H254" s="2213" t="s">
        <v>4146</v>
      </c>
      <c r="I254" s="21" t="s">
        <v>3738</v>
      </c>
      <c r="J254" s="2213">
        <f t="shared" ref="J254:J262" si="26">G254</f>
        <v>10000000</v>
      </c>
      <c r="K254" s="2213">
        <f t="shared" ref="K254:K260" si="27">F254-J254</f>
        <v>0</v>
      </c>
      <c r="L254" s="388" t="s">
        <v>3778</v>
      </c>
    </row>
    <row r="255" spans="1:16" ht="30" customHeight="1" x14ac:dyDescent="0.2">
      <c r="A255" s="4460"/>
      <c r="B255" s="4458"/>
      <c r="C255" s="4538"/>
      <c r="D255" s="4415"/>
      <c r="E255" s="4477"/>
      <c r="F255" s="4415"/>
      <c r="G255" s="2498">
        <v>10000000</v>
      </c>
      <c r="H255" s="2498" t="s">
        <v>4130</v>
      </c>
      <c r="I255" s="21" t="s">
        <v>3738</v>
      </c>
      <c r="J255" s="2498">
        <f>G255</f>
        <v>10000000</v>
      </c>
      <c r="K255" s="2498">
        <f>F254-J255</f>
        <v>0</v>
      </c>
      <c r="L255" s="388" t="s">
        <v>4582</v>
      </c>
    </row>
    <row r="256" spans="1:16" ht="30" customHeight="1" x14ac:dyDescent="0.2">
      <c r="A256" s="2269">
        <v>176</v>
      </c>
      <c r="B256" s="2267" t="s">
        <v>37</v>
      </c>
      <c r="C256" s="2238" t="s">
        <v>1107</v>
      </c>
      <c r="D256" s="2213">
        <v>150000000</v>
      </c>
      <c r="E256" s="2265">
        <v>7.0000000000000007E-2</v>
      </c>
      <c r="F256" s="2213">
        <f t="shared" si="21"/>
        <v>10500000.000000002</v>
      </c>
      <c r="G256" s="2213">
        <v>10500000</v>
      </c>
      <c r="H256" s="2213" t="s">
        <v>4130</v>
      </c>
      <c r="I256" s="21" t="s">
        <v>3223</v>
      </c>
      <c r="J256" s="2213">
        <f t="shared" si="26"/>
        <v>10500000</v>
      </c>
      <c r="K256" s="2213">
        <f t="shared" si="27"/>
        <v>0</v>
      </c>
      <c r="L256" s="2267"/>
    </row>
    <row r="257" spans="1:12" ht="30" customHeight="1" x14ac:dyDescent="0.2">
      <c r="A257" s="2269">
        <v>177</v>
      </c>
      <c r="B257" s="2267" t="s">
        <v>38</v>
      </c>
      <c r="C257" s="2238" t="s">
        <v>1299</v>
      </c>
      <c r="D257" s="2213">
        <v>25000000</v>
      </c>
      <c r="E257" s="2265">
        <v>0.04</v>
      </c>
      <c r="F257" s="2213">
        <f t="shared" si="21"/>
        <v>1000000</v>
      </c>
      <c r="G257" s="2213">
        <v>1000000</v>
      </c>
      <c r="H257" s="2213" t="s">
        <v>4109</v>
      </c>
      <c r="I257" s="18" t="s">
        <v>746</v>
      </c>
      <c r="J257" s="2213">
        <f t="shared" si="26"/>
        <v>1000000</v>
      </c>
      <c r="K257" s="2213">
        <f t="shared" si="27"/>
        <v>0</v>
      </c>
      <c r="L257" s="2267"/>
    </row>
    <row r="258" spans="1:12" ht="30" customHeight="1" x14ac:dyDescent="0.2">
      <c r="A258" s="2269">
        <v>178</v>
      </c>
      <c r="B258" s="2267" t="s">
        <v>39</v>
      </c>
      <c r="C258" s="2238" t="s">
        <v>1299</v>
      </c>
      <c r="D258" s="2213">
        <v>90000000</v>
      </c>
      <c r="E258" s="2265">
        <v>4.4999999999999998E-2</v>
      </c>
      <c r="F258" s="2213">
        <v>4000000</v>
      </c>
      <c r="G258" s="2213">
        <v>4000000</v>
      </c>
      <c r="H258" s="2213" t="s">
        <v>4109</v>
      </c>
      <c r="I258" s="21" t="s">
        <v>2164</v>
      </c>
      <c r="J258" s="2213">
        <f t="shared" si="26"/>
        <v>4000000</v>
      </c>
      <c r="K258" s="2213">
        <f t="shared" si="27"/>
        <v>0</v>
      </c>
      <c r="L258" s="2267"/>
    </row>
    <row r="259" spans="1:12" ht="30" customHeight="1" x14ac:dyDescent="0.2">
      <c r="A259" s="2281">
        <v>179</v>
      </c>
      <c r="B259" s="2263" t="s">
        <v>40</v>
      </c>
      <c r="C259" s="2237"/>
      <c r="D259" s="2211">
        <v>320000000</v>
      </c>
      <c r="E259" s="2208">
        <v>0.05</v>
      </c>
      <c r="F259" s="2211">
        <f t="shared" si="21"/>
        <v>16000000</v>
      </c>
      <c r="G259" s="2213">
        <v>16000000</v>
      </c>
      <c r="H259" s="2213" t="s">
        <v>4109</v>
      </c>
      <c r="I259" s="21" t="s">
        <v>1090</v>
      </c>
      <c r="J259" s="2211">
        <f t="shared" si="26"/>
        <v>16000000</v>
      </c>
      <c r="K259" s="2211">
        <f t="shared" si="27"/>
        <v>0</v>
      </c>
      <c r="L259" s="2234"/>
    </row>
    <row r="260" spans="1:12" ht="30" customHeight="1" x14ac:dyDescent="0.2">
      <c r="A260" s="2202">
        <v>180</v>
      </c>
      <c r="B260" s="19" t="s">
        <v>41</v>
      </c>
      <c r="C260" s="48" t="s">
        <v>2403</v>
      </c>
      <c r="D260" s="2201">
        <v>300000000</v>
      </c>
      <c r="E260" s="2265">
        <v>5.7000000000000002E-2</v>
      </c>
      <c r="F260" s="2201">
        <v>17000000</v>
      </c>
      <c r="G260" s="2201">
        <v>17000000</v>
      </c>
      <c r="H260" s="2201" t="s">
        <v>4109</v>
      </c>
      <c r="I260" s="2262" t="s">
        <v>2260</v>
      </c>
      <c r="J260" s="2201">
        <f t="shared" si="26"/>
        <v>17000000</v>
      </c>
      <c r="K260" s="2201">
        <f t="shared" si="27"/>
        <v>0</v>
      </c>
      <c r="L260" s="2278"/>
    </row>
    <row r="261" spans="1:12" ht="30" customHeight="1" x14ac:dyDescent="0.2">
      <c r="A261" s="2269">
        <v>181</v>
      </c>
      <c r="B261" s="2206" t="s">
        <v>42</v>
      </c>
      <c r="C261" s="2238" t="s">
        <v>989</v>
      </c>
      <c r="D261" s="2213">
        <v>50000000</v>
      </c>
      <c r="E261" s="2210">
        <v>0.05</v>
      </c>
      <c r="F261" s="2213">
        <f t="shared" si="21"/>
        <v>2500000</v>
      </c>
      <c r="G261" s="2213">
        <v>2500000</v>
      </c>
      <c r="H261" s="2213" t="s">
        <v>4130</v>
      </c>
      <c r="I261" s="21" t="s">
        <v>1076</v>
      </c>
      <c r="J261" s="2213">
        <f t="shared" si="26"/>
        <v>2500000</v>
      </c>
      <c r="K261" s="2213">
        <f>F261-J261</f>
        <v>0</v>
      </c>
      <c r="L261" s="2206"/>
    </row>
    <row r="262" spans="1:12" ht="30" customHeight="1" x14ac:dyDescent="0.2">
      <c r="A262" s="4464"/>
      <c r="B262" s="4457" t="s">
        <v>43</v>
      </c>
      <c r="C262" s="4537" t="s">
        <v>989</v>
      </c>
      <c r="D262" s="4413">
        <v>125000000</v>
      </c>
      <c r="E262" s="4476">
        <v>0.05</v>
      </c>
      <c r="F262" s="4413">
        <f>D262*E262</f>
        <v>6250000</v>
      </c>
      <c r="G262" s="4413">
        <v>6250000</v>
      </c>
      <c r="H262" s="4413" t="s">
        <v>4062</v>
      </c>
      <c r="I262" s="4413" t="s">
        <v>3716</v>
      </c>
      <c r="J262" s="4413">
        <f t="shared" si="26"/>
        <v>6250000</v>
      </c>
      <c r="K262" s="4413">
        <f>F262-J262</f>
        <v>0</v>
      </c>
      <c r="L262" s="388" t="s">
        <v>2765</v>
      </c>
    </row>
    <row r="263" spans="1:12" ht="30" customHeight="1" x14ac:dyDescent="0.2">
      <c r="A263" s="4460"/>
      <c r="B263" s="4458"/>
      <c r="C263" s="4538"/>
      <c r="D263" s="4415"/>
      <c r="E263" s="4477"/>
      <c r="F263" s="4415"/>
      <c r="G263" s="4415"/>
      <c r="H263" s="4415"/>
      <c r="I263" s="4415"/>
      <c r="J263" s="4415"/>
      <c r="K263" s="4415"/>
      <c r="L263" s="388" t="s">
        <v>3167</v>
      </c>
    </row>
    <row r="264" spans="1:12" ht="30" customHeight="1" x14ac:dyDescent="0.2">
      <c r="A264" s="2269">
        <v>183</v>
      </c>
      <c r="B264" s="2267" t="s">
        <v>4150</v>
      </c>
      <c r="C264" s="2238" t="s">
        <v>1100</v>
      </c>
      <c r="D264" s="2213">
        <v>100000000</v>
      </c>
      <c r="E264" s="2265">
        <v>0.05</v>
      </c>
      <c r="F264" s="2213">
        <f t="shared" si="21"/>
        <v>5000000</v>
      </c>
      <c r="G264" s="2213">
        <v>5000000</v>
      </c>
      <c r="H264" s="2213" t="s">
        <v>4146</v>
      </c>
      <c r="I264" s="21" t="s">
        <v>4151</v>
      </c>
      <c r="J264" s="2213">
        <f>G264</f>
        <v>5000000</v>
      </c>
      <c r="K264" s="2213">
        <f t="shared" ref="K264:K270" si="28">F264-J264</f>
        <v>0</v>
      </c>
      <c r="L264" s="2015"/>
    </row>
    <row r="265" spans="1:12" ht="30" customHeight="1" x14ac:dyDescent="0.2">
      <c r="A265" s="2269">
        <v>184</v>
      </c>
      <c r="B265" s="2267" t="s">
        <v>45</v>
      </c>
      <c r="C265" s="2238" t="s">
        <v>989</v>
      </c>
      <c r="D265" s="2213">
        <v>20000000</v>
      </c>
      <c r="E265" s="2265">
        <v>0.05</v>
      </c>
      <c r="F265" s="2213">
        <f t="shared" si="21"/>
        <v>1000000</v>
      </c>
      <c r="G265" s="2213">
        <v>1000000</v>
      </c>
      <c r="H265" s="2213" t="s">
        <v>4146</v>
      </c>
      <c r="I265" s="21" t="s">
        <v>1094</v>
      </c>
      <c r="J265" s="2213">
        <f>G265</f>
        <v>1000000</v>
      </c>
      <c r="K265" s="2213">
        <f t="shared" si="28"/>
        <v>0</v>
      </c>
      <c r="L265" s="2267"/>
    </row>
    <row r="266" spans="1:12" ht="30" customHeight="1" x14ac:dyDescent="0.2">
      <c r="A266" s="2269">
        <v>185</v>
      </c>
      <c r="B266" s="2267" t="s">
        <v>46</v>
      </c>
      <c r="C266" s="2238" t="s">
        <v>990</v>
      </c>
      <c r="D266" s="2213">
        <v>70000000</v>
      </c>
      <c r="E266" s="2265">
        <v>0.05</v>
      </c>
      <c r="F266" s="2213">
        <f t="shared" si="21"/>
        <v>3500000</v>
      </c>
      <c r="G266" s="2213"/>
      <c r="H266" s="2213"/>
      <c r="I266" s="21"/>
      <c r="J266" s="2213">
        <f>G266</f>
        <v>0</v>
      </c>
      <c r="K266" s="2213">
        <f t="shared" si="28"/>
        <v>3500000</v>
      </c>
      <c r="L266" s="180" t="s">
        <v>3744</v>
      </c>
    </row>
    <row r="267" spans="1:12" ht="30" customHeight="1" x14ac:dyDescent="0.2">
      <c r="A267" s="2269">
        <v>186</v>
      </c>
      <c r="B267" s="2267" t="s">
        <v>47</v>
      </c>
      <c r="C267" s="2238"/>
      <c r="D267" s="2213">
        <v>8000000</v>
      </c>
      <c r="E267" s="2265">
        <v>0.04</v>
      </c>
      <c r="F267" s="2213">
        <f t="shared" si="21"/>
        <v>320000</v>
      </c>
      <c r="G267" s="2213">
        <v>320000</v>
      </c>
      <c r="H267" s="2213" t="s">
        <v>4136</v>
      </c>
      <c r="I267" s="21" t="s">
        <v>836</v>
      </c>
      <c r="J267" s="2213">
        <f>G267</f>
        <v>320000</v>
      </c>
      <c r="K267" s="2213">
        <f t="shared" si="28"/>
        <v>0</v>
      </c>
      <c r="L267" s="2267"/>
    </row>
    <row r="268" spans="1:12" ht="30" customHeight="1" x14ac:dyDescent="0.2">
      <c r="A268" s="2202">
        <v>187</v>
      </c>
      <c r="B268" s="2267" t="s">
        <v>2470</v>
      </c>
      <c r="C268" s="2266" t="s">
        <v>1138</v>
      </c>
      <c r="D268" s="2201">
        <v>200000000</v>
      </c>
      <c r="E268" s="2265">
        <v>0.05</v>
      </c>
      <c r="F268" s="2201">
        <f t="shared" si="21"/>
        <v>10000000</v>
      </c>
      <c r="G268" s="2213"/>
      <c r="H268" s="2213"/>
      <c r="I268" s="21"/>
      <c r="J268" s="2213"/>
      <c r="K268" s="2213">
        <f t="shared" si="28"/>
        <v>10000000</v>
      </c>
      <c r="L268" s="2292"/>
    </row>
    <row r="269" spans="1:12" ht="30" customHeight="1" x14ac:dyDescent="0.2">
      <c r="A269" s="2269">
        <v>188</v>
      </c>
      <c r="B269" s="2206" t="s">
        <v>49</v>
      </c>
      <c r="C269" s="2238"/>
      <c r="D269" s="2213">
        <v>200000000</v>
      </c>
      <c r="E269" s="2210">
        <v>0.05</v>
      </c>
      <c r="F269" s="2213">
        <f t="shared" si="21"/>
        <v>10000000</v>
      </c>
      <c r="G269" s="2213">
        <v>10000000</v>
      </c>
      <c r="H269" s="2213" t="s">
        <v>4136</v>
      </c>
      <c r="I269" s="21" t="s">
        <v>1810</v>
      </c>
      <c r="J269" s="2213">
        <f>G269</f>
        <v>10000000</v>
      </c>
      <c r="K269" s="2213">
        <f t="shared" si="28"/>
        <v>0</v>
      </c>
      <c r="L269" s="2267"/>
    </row>
    <row r="270" spans="1:12" ht="30" customHeight="1" x14ac:dyDescent="0.2">
      <c r="A270" s="2269">
        <v>189</v>
      </c>
      <c r="B270" s="2267" t="s">
        <v>50</v>
      </c>
      <c r="C270" s="2238" t="s">
        <v>681</v>
      </c>
      <c r="D270" s="2213">
        <v>15000000</v>
      </c>
      <c r="E270" s="2265">
        <v>0.05</v>
      </c>
      <c r="F270" s="2213">
        <f t="shared" si="21"/>
        <v>750000</v>
      </c>
      <c r="G270" s="2213">
        <v>750000</v>
      </c>
      <c r="H270" s="2213" t="s">
        <v>4109</v>
      </c>
      <c r="I270" s="21" t="s">
        <v>834</v>
      </c>
      <c r="J270" s="2213">
        <f>G270</f>
        <v>750000</v>
      </c>
      <c r="K270" s="2213">
        <f t="shared" si="28"/>
        <v>0</v>
      </c>
      <c r="L270" s="2267"/>
    </row>
    <row r="271" spans="1:12" ht="30" customHeight="1" x14ac:dyDescent="0.2">
      <c r="A271" s="4459">
        <v>190</v>
      </c>
      <c r="B271" s="4457" t="s">
        <v>51</v>
      </c>
      <c r="C271" s="2238" t="s">
        <v>1100</v>
      </c>
      <c r="D271" s="2213">
        <v>80000000</v>
      </c>
      <c r="E271" s="2265">
        <v>0.05</v>
      </c>
      <c r="F271" s="2213">
        <f t="shared" si="21"/>
        <v>4000000</v>
      </c>
      <c r="G271" s="4413">
        <v>14000000</v>
      </c>
      <c r="H271" s="4413" t="s">
        <v>4146</v>
      </c>
      <c r="I271" s="4478" t="s">
        <v>2967</v>
      </c>
      <c r="J271" s="4413">
        <f>G271</f>
        <v>14000000</v>
      </c>
      <c r="K271" s="4413">
        <f>(F271+F272)-J271</f>
        <v>0</v>
      </c>
      <c r="L271" s="4599"/>
    </row>
    <row r="272" spans="1:12" ht="30" customHeight="1" x14ac:dyDescent="0.2">
      <c r="A272" s="4464"/>
      <c r="B272" s="4488"/>
      <c r="C272" s="2238" t="s">
        <v>1100</v>
      </c>
      <c r="D272" s="2213">
        <v>200000000</v>
      </c>
      <c r="E272" s="2265">
        <v>0.05</v>
      </c>
      <c r="F272" s="2213">
        <f t="shared" si="21"/>
        <v>10000000</v>
      </c>
      <c r="G272" s="4415"/>
      <c r="H272" s="4415"/>
      <c r="I272" s="4479"/>
      <c r="J272" s="4415"/>
      <c r="K272" s="4415"/>
      <c r="L272" s="4607"/>
    </row>
    <row r="273" spans="1:16" ht="30" customHeight="1" x14ac:dyDescent="0.2">
      <c r="A273" s="4460"/>
      <c r="B273" s="4458"/>
      <c r="C273" s="2239" t="s">
        <v>262</v>
      </c>
      <c r="D273" s="2212">
        <v>220000000</v>
      </c>
      <c r="E273" s="2208">
        <v>0.05</v>
      </c>
      <c r="F273" s="2212">
        <f t="shared" si="21"/>
        <v>11000000</v>
      </c>
      <c r="G273" s="2213">
        <v>11000000</v>
      </c>
      <c r="H273" s="2213" t="s">
        <v>4045</v>
      </c>
      <c r="I273" s="21" t="s">
        <v>2967</v>
      </c>
      <c r="J273" s="2212">
        <f>G273</f>
        <v>11000000</v>
      </c>
      <c r="K273" s="2212">
        <f>F273-J273</f>
        <v>0</v>
      </c>
      <c r="L273" s="2258"/>
    </row>
    <row r="274" spans="1:16" ht="30" customHeight="1" x14ac:dyDescent="0.2">
      <c r="A274" s="4459">
        <v>191</v>
      </c>
      <c r="B274" s="4457" t="s">
        <v>52</v>
      </c>
      <c r="C274" s="4537" t="s">
        <v>262</v>
      </c>
      <c r="D274" s="4413">
        <v>700000000</v>
      </c>
      <c r="E274" s="4476">
        <v>7.6999999999999999E-2</v>
      </c>
      <c r="F274" s="4413">
        <v>54000000</v>
      </c>
      <c r="G274" s="2213">
        <v>34000000</v>
      </c>
      <c r="H274" s="2213" t="s">
        <v>4045</v>
      </c>
      <c r="I274" s="21" t="s">
        <v>678</v>
      </c>
      <c r="J274" s="4413">
        <f>G274+G275</f>
        <v>54000000</v>
      </c>
      <c r="K274" s="4413">
        <f>F274-J274</f>
        <v>0</v>
      </c>
      <c r="L274" s="2256"/>
    </row>
    <row r="275" spans="1:16" ht="30" customHeight="1" x14ac:dyDescent="0.2">
      <c r="A275" s="4460"/>
      <c r="B275" s="4458"/>
      <c r="C275" s="4538"/>
      <c r="D275" s="4415"/>
      <c r="E275" s="4477"/>
      <c r="F275" s="4415"/>
      <c r="G275" s="2213">
        <v>20000000</v>
      </c>
      <c r="H275" s="2213" t="s">
        <v>4062</v>
      </c>
      <c r="I275" s="21" t="s">
        <v>678</v>
      </c>
      <c r="J275" s="4415"/>
      <c r="K275" s="4415"/>
      <c r="L275" s="2261"/>
    </row>
    <row r="276" spans="1:16" ht="30" customHeight="1" x14ac:dyDescent="0.2">
      <c r="A276" s="4459">
        <v>192</v>
      </c>
      <c r="B276" s="4457" t="s">
        <v>53</v>
      </c>
      <c r="C276" s="4537" t="s">
        <v>1287</v>
      </c>
      <c r="D276" s="4413">
        <v>1400000000</v>
      </c>
      <c r="E276" s="4476">
        <v>7.0000000000000007E-2</v>
      </c>
      <c r="F276" s="4413">
        <f>D276*E276</f>
        <v>98000000.000000015</v>
      </c>
      <c r="G276" s="2201">
        <v>82000000</v>
      </c>
      <c r="H276" s="2201" t="s">
        <v>4076</v>
      </c>
      <c r="I276" s="2201" t="s">
        <v>861</v>
      </c>
      <c r="J276" s="4413">
        <f>G277+G276</f>
        <v>82000000</v>
      </c>
      <c r="K276" s="4413">
        <f>38000000-J276</f>
        <v>-44000000</v>
      </c>
      <c r="L276" s="180" t="s">
        <v>4099</v>
      </c>
    </row>
    <row r="277" spans="1:16" ht="30" customHeight="1" x14ac:dyDescent="0.2">
      <c r="A277" s="4464"/>
      <c r="B277" s="4488"/>
      <c r="C277" s="4540"/>
      <c r="D277" s="4414"/>
      <c r="E277" s="4516"/>
      <c r="F277" s="4414"/>
      <c r="G277" s="2201"/>
      <c r="H277" s="2201"/>
      <c r="I277" s="2201" t="s">
        <v>861</v>
      </c>
      <c r="J277" s="4415"/>
      <c r="K277" s="4415"/>
      <c r="L277" s="180" t="s">
        <v>1992</v>
      </c>
    </row>
    <row r="278" spans="1:16" ht="30" customHeight="1" x14ac:dyDescent="0.2">
      <c r="A278" s="4464"/>
      <c r="B278" s="4488"/>
      <c r="C278" s="4540"/>
      <c r="D278" s="4414"/>
      <c r="E278" s="4516"/>
      <c r="F278" s="4414"/>
      <c r="G278" s="233"/>
      <c r="H278" s="233"/>
      <c r="I278" s="233"/>
      <c r="J278" s="2213"/>
      <c r="K278" s="2213"/>
      <c r="L278" s="180" t="s">
        <v>2287</v>
      </c>
    </row>
    <row r="279" spans="1:16" ht="30" customHeight="1" x14ac:dyDescent="0.2">
      <c r="A279" s="4464"/>
      <c r="B279" s="4488"/>
      <c r="C279" s="4540"/>
      <c r="D279" s="4414"/>
      <c r="E279" s="4516"/>
      <c r="F279" s="4414"/>
      <c r="G279" s="233"/>
      <c r="H279" s="233"/>
      <c r="I279" s="233"/>
      <c r="J279" s="2213"/>
      <c r="K279" s="2213"/>
      <c r="L279" s="180" t="s">
        <v>2915</v>
      </c>
    </row>
    <row r="280" spans="1:16" ht="30" customHeight="1" x14ac:dyDescent="0.2">
      <c r="A280" s="4464"/>
      <c r="B280" s="4488"/>
      <c r="C280" s="4540"/>
      <c r="D280" s="4414"/>
      <c r="E280" s="4516"/>
      <c r="F280" s="4414"/>
      <c r="G280" s="2201"/>
      <c r="H280" s="2201"/>
      <c r="I280" s="2201"/>
      <c r="J280" s="2213"/>
      <c r="K280" s="2213"/>
      <c r="L280" s="180" t="s">
        <v>2914</v>
      </c>
    </row>
    <row r="281" spans="1:16" ht="30" customHeight="1" x14ac:dyDescent="0.2">
      <c r="A281" s="4460"/>
      <c r="B281" s="4458"/>
      <c r="C281" s="4538"/>
      <c r="D281" s="4415"/>
      <c r="E281" s="4477"/>
      <c r="F281" s="4415"/>
      <c r="G281" s="2201"/>
      <c r="H281" s="2201"/>
      <c r="I281" s="2201"/>
      <c r="J281" s="2213"/>
      <c r="K281" s="2213"/>
      <c r="L281" s="180" t="s">
        <v>2913</v>
      </c>
    </row>
    <row r="282" spans="1:16" ht="30" customHeight="1" x14ac:dyDescent="0.2">
      <c r="A282" s="2269">
        <v>193</v>
      </c>
      <c r="B282" s="2267" t="s">
        <v>54</v>
      </c>
      <c r="C282" s="2238" t="s">
        <v>1306</v>
      </c>
      <c r="D282" s="2213">
        <v>45000000</v>
      </c>
      <c r="E282" s="2265">
        <v>0.04</v>
      </c>
      <c r="F282" s="2213">
        <f t="shared" ref="F282:F367" si="29">D282*E282</f>
        <v>1800000</v>
      </c>
      <c r="G282" s="2213">
        <v>1800000</v>
      </c>
      <c r="H282" s="2213" t="s">
        <v>4136</v>
      </c>
      <c r="I282" s="2201" t="s">
        <v>4138</v>
      </c>
      <c r="J282" s="2213">
        <f t="shared" ref="J282:J297" si="30">G282</f>
        <v>1800000</v>
      </c>
      <c r="K282" s="2213">
        <f t="shared" ref="K282:K296" si="31">F282-J282</f>
        <v>0</v>
      </c>
      <c r="L282" s="2267"/>
    </row>
    <row r="283" spans="1:16" ht="30" customHeight="1" x14ac:dyDescent="0.2">
      <c r="A283" s="2202">
        <v>194</v>
      </c>
      <c r="B283" s="19" t="s">
        <v>55</v>
      </c>
      <c r="C283" s="378"/>
      <c r="D283" s="2229"/>
      <c r="E283" s="1026"/>
      <c r="F283" s="2229">
        <f t="shared" si="29"/>
        <v>0</v>
      </c>
      <c r="G283" s="2201">
        <v>6500000</v>
      </c>
      <c r="H283" s="2201" t="s">
        <v>4190</v>
      </c>
      <c r="I283" s="2262" t="s">
        <v>3184</v>
      </c>
      <c r="J283" s="2201">
        <f t="shared" si="30"/>
        <v>6500000</v>
      </c>
      <c r="K283" s="2229">
        <f t="shared" si="31"/>
        <v>-6500000</v>
      </c>
      <c r="L283" s="2234"/>
    </row>
    <row r="284" spans="1:16" ht="30" customHeight="1" x14ac:dyDescent="0.2">
      <c r="A284" s="2269">
        <v>195</v>
      </c>
      <c r="B284" s="2206" t="s">
        <v>56</v>
      </c>
      <c r="C284" s="2238" t="s">
        <v>990</v>
      </c>
      <c r="D284" s="2213">
        <v>10000000</v>
      </c>
      <c r="E284" s="2210">
        <v>0.05</v>
      </c>
      <c r="F284" s="2213">
        <f t="shared" si="29"/>
        <v>500000</v>
      </c>
      <c r="G284" s="2213">
        <v>500000</v>
      </c>
      <c r="H284" s="2213" t="s">
        <v>4190</v>
      </c>
      <c r="I284" s="21" t="s">
        <v>1121</v>
      </c>
      <c r="J284" s="2213">
        <f t="shared" si="30"/>
        <v>500000</v>
      </c>
      <c r="K284" s="2213">
        <f t="shared" si="31"/>
        <v>0</v>
      </c>
      <c r="L284" s="2267"/>
    </row>
    <row r="285" spans="1:16" ht="30" customHeight="1" x14ac:dyDescent="0.2">
      <c r="A285" s="4459">
        <v>196</v>
      </c>
      <c r="B285" s="4457" t="s">
        <v>57</v>
      </c>
      <c r="C285" s="4537" t="s">
        <v>1107</v>
      </c>
      <c r="D285" s="2213">
        <v>20000000</v>
      </c>
      <c r="E285" s="2265">
        <v>0.04</v>
      </c>
      <c r="F285" s="2213">
        <f t="shared" si="29"/>
        <v>800000</v>
      </c>
      <c r="G285" s="4413">
        <v>2300000</v>
      </c>
      <c r="H285" s="4413" t="s">
        <v>4146</v>
      </c>
      <c r="I285" s="4478" t="s">
        <v>3761</v>
      </c>
      <c r="J285" s="4413">
        <f t="shared" si="30"/>
        <v>2300000</v>
      </c>
      <c r="K285" s="4413">
        <f>(F285+F286)-J285</f>
        <v>0</v>
      </c>
      <c r="L285" s="4827" t="s">
        <v>3763</v>
      </c>
    </row>
    <row r="286" spans="1:16" ht="30" customHeight="1" x14ac:dyDescent="0.2">
      <c r="A286" s="4464"/>
      <c r="B286" s="4488"/>
      <c r="C286" s="4538"/>
      <c r="D286" s="2213">
        <v>30000000</v>
      </c>
      <c r="E286" s="2265">
        <v>0.05</v>
      </c>
      <c r="F286" s="2213">
        <f t="shared" si="29"/>
        <v>1500000</v>
      </c>
      <c r="G286" s="4415"/>
      <c r="H286" s="4415"/>
      <c r="I286" s="4479"/>
      <c r="J286" s="4415"/>
      <c r="K286" s="4415"/>
      <c r="L286" s="4827"/>
    </row>
    <row r="287" spans="1:16" ht="30" customHeight="1" x14ac:dyDescent="0.2">
      <c r="A287" s="4459">
        <v>197</v>
      </c>
      <c r="B287" s="4457" t="s">
        <v>4153</v>
      </c>
      <c r="C287" s="4537" t="s">
        <v>1134</v>
      </c>
      <c r="D287" s="2213">
        <v>150000000</v>
      </c>
      <c r="E287" s="2265">
        <v>0.04</v>
      </c>
      <c r="F287" s="2213">
        <f t="shared" si="29"/>
        <v>6000000</v>
      </c>
      <c r="G287" s="2470">
        <v>6000000</v>
      </c>
      <c r="H287" s="2470" t="s">
        <v>3994</v>
      </c>
      <c r="I287" s="2471" t="s">
        <v>2321</v>
      </c>
      <c r="J287" s="2470">
        <f t="shared" si="30"/>
        <v>6000000</v>
      </c>
      <c r="K287" s="2470">
        <f t="shared" si="31"/>
        <v>0</v>
      </c>
      <c r="L287" s="180" t="s">
        <v>4013</v>
      </c>
      <c r="M287" s="366"/>
      <c r="N287" s="366"/>
      <c r="O287" s="366"/>
      <c r="P287" s="366"/>
    </row>
    <row r="288" spans="1:16" ht="30" customHeight="1" x14ac:dyDescent="0.2">
      <c r="A288" s="4460"/>
      <c r="B288" s="4458"/>
      <c r="C288" s="4538"/>
      <c r="D288" s="2213">
        <v>100000000</v>
      </c>
      <c r="E288" s="2265">
        <v>0.05</v>
      </c>
      <c r="F288" s="2213">
        <f t="shared" si="29"/>
        <v>5000000</v>
      </c>
      <c r="G288" s="2213">
        <v>5000000</v>
      </c>
      <c r="H288" s="2213" t="s">
        <v>4146</v>
      </c>
      <c r="I288" s="2201" t="s">
        <v>4154</v>
      </c>
      <c r="J288" s="2213">
        <f>G288</f>
        <v>5000000</v>
      </c>
      <c r="K288" s="2213">
        <f t="shared" si="31"/>
        <v>0</v>
      </c>
      <c r="L288" s="180"/>
      <c r="M288" s="366"/>
      <c r="N288" s="366"/>
      <c r="O288" s="366"/>
      <c r="P288" s="366"/>
    </row>
    <row r="289" spans="1:16" ht="30" customHeight="1" x14ac:dyDescent="0.2">
      <c r="A289" s="2269">
        <v>198</v>
      </c>
      <c r="B289" s="2267" t="s">
        <v>59</v>
      </c>
      <c r="C289" s="2238" t="s">
        <v>1134</v>
      </c>
      <c r="D289" s="2213">
        <v>30000000</v>
      </c>
      <c r="E289" s="2265">
        <v>8.5000000000000006E-2</v>
      </c>
      <c r="F289" s="2213">
        <v>2500000</v>
      </c>
      <c r="G289" s="2213">
        <v>2500000</v>
      </c>
      <c r="H289" s="2213" t="s">
        <v>4136</v>
      </c>
      <c r="I289" s="2201" t="s">
        <v>4139</v>
      </c>
      <c r="J289" s="2213">
        <f t="shared" si="30"/>
        <v>2500000</v>
      </c>
      <c r="K289" s="2213">
        <f t="shared" si="31"/>
        <v>0</v>
      </c>
      <c r="L289" s="2267"/>
      <c r="M289" s="366"/>
      <c r="N289" s="366"/>
      <c r="O289" s="366"/>
      <c r="P289" s="366"/>
    </row>
    <row r="290" spans="1:16" ht="30" customHeight="1" x14ac:dyDescent="0.2">
      <c r="A290" s="2269">
        <v>199</v>
      </c>
      <c r="B290" s="2267" t="s">
        <v>60</v>
      </c>
      <c r="C290" s="2238" t="s">
        <v>1100</v>
      </c>
      <c r="D290" s="2213">
        <v>50000000</v>
      </c>
      <c r="E290" s="2265">
        <v>0.05</v>
      </c>
      <c r="F290" s="2213">
        <f t="shared" si="29"/>
        <v>2500000</v>
      </c>
      <c r="G290" s="2213">
        <v>2500000</v>
      </c>
      <c r="H290" s="2213" t="s">
        <v>4146</v>
      </c>
      <c r="I290" s="2201" t="s">
        <v>1137</v>
      </c>
      <c r="J290" s="2213">
        <f t="shared" si="30"/>
        <v>2500000</v>
      </c>
      <c r="K290" s="2213">
        <f t="shared" si="31"/>
        <v>0</v>
      </c>
      <c r="L290" s="2267"/>
      <c r="M290" s="366"/>
      <c r="N290" s="366"/>
      <c r="O290" s="366"/>
      <c r="P290" s="366"/>
    </row>
    <row r="291" spans="1:16" ht="30" customHeight="1" x14ac:dyDescent="0.2">
      <c r="A291" s="2269">
        <v>200</v>
      </c>
      <c r="B291" s="2267" t="s">
        <v>61</v>
      </c>
      <c r="C291" s="2238" t="s">
        <v>1081</v>
      </c>
      <c r="D291" s="2213">
        <v>350000000</v>
      </c>
      <c r="E291" s="2265">
        <v>7.0000000000000007E-2</v>
      </c>
      <c r="F291" s="2213">
        <f t="shared" si="29"/>
        <v>24500000.000000004</v>
      </c>
      <c r="G291" s="2213">
        <v>24500000</v>
      </c>
      <c r="H291" s="2213" t="s">
        <v>4190</v>
      </c>
      <c r="I291" s="21" t="s">
        <v>1574</v>
      </c>
      <c r="J291" s="2213">
        <f>G291</f>
        <v>24500000</v>
      </c>
      <c r="K291" s="2213">
        <f t="shared" si="31"/>
        <v>0</v>
      </c>
      <c r="L291" s="2267"/>
      <c r="M291" s="366"/>
      <c r="N291" s="366"/>
      <c r="O291" s="366"/>
      <c r="P291" s="366"/>
    </row>
    <row r="292" spans="1:16" ht="30" customHeight="1" x14ac:dyDescent="0.2">
      <c r="A292" s="2269">
        <v>201</v>
      </c>
      <c r="B292" s="2267" t="s">
        <v>62</v>
      </c>
      <c r="C292" s="2238"/>
      <c r="D292" s="2213">
        <v>60000000</v>
      </c>
      <c r="E292" s="2265">
        <v>6.5000000000000002E-2</v>
      </c>
      <c r="F292" s="2213">
        <v>4500000</v>
      </c>
      <c r="G292" s="2213">
        <v>4500000</v>
      </c>
      <c r="H292" s="2213" t="s">
        <v>4190</v>
      </c>
      <c r="I292" s="2274" t="s">
        <v>3900</v>
      </c>
      <c r="J292" s="2213">
        <f t="shared" si="30"/>
        <v>4500000</v>
      </c>
      <c r="K292" s="2213">
        <f t="shared" si="31"/>
        <v>0</v>
      </c>
      <c r="L292" s="2267"/>
      <c r="M292" s="366"/>
      <c r="N292" s="366"/>
      <c r="O292" s="366"/>
      <c r="P292" s="366"/>
    </row>
    <row r="293" spans="1:16" ht="30" customHeight="1" x14ac:dyDescent="0.2">
      <c r="A293" s="2270">
        <v>202</v>
      </c>
      <c r="B293" s="2267" t="s">
        <v>63</v>
      </c>
      <c r="C293" s="2266" t="s">
        <v>1081</v>
      </c>
      <c r="D293" s="2201">
        <v>100000000</v>
      </c>
      <c r="E293" s="2265">
        <v>4.4999999999999998E-2</v>
      </c>
      <c r="F293" s="2201">
        <f t="shared" si="29"/>
        <v>4500000</v>
      </c>
      <c r="G293" s="2201">
        <v>4500000</v>
      </c>
      <c r="H293" s="2213" t="s">
        <v>4190</v>
      </c>
      <c r="I293" s="21" t="s">
        <v>3889</v>
      </c>
      <c r="J293" s="2213">
        <f t="shared" si="30"/>
        <v>4500000</v>
      </c>
      <c r="K293" s="2213">
        <f t="shared" si="31"/>
        <v>0</v>
      </c>
      <c r="L293" s="2292"/>
      <c r="M293" s="366"/>
      <c r="N293" s="366"/>
      <c r="O293" s="366"/>
      <c r="P293" s="366"/>
    </row>
    <row r="294" spans="1:16" ht="30" customHeight="1" x14ac:dyDescent="0.2">
      <c r="A294" s="2269">
        <v>203</v>
      </c>
      <c r="B294" s="2206" t="s">
        <v>1244</v>
      </c>
      <c r="C294" s="2238" t="s">
        <v>1081</v>
      </c>
      <c r="D294" s="2213">
        <v>60000000</v>
      </c>
      <c r="E294" s="2210">
        <v>0.05</v>
      </c>
      <c r="F294" s="2213">
        <f t="shared" si="29"/>
        <v>3000000</v>
      </c>
      <c r="G294" s="2213">
        <v>3000000</v>
      </c>
      <c r="H294" s="2213" t="s">
        <v>4190</v>
      </c>
      <c r="I294" s="21" t="s">
        <v>1693</v>
      </c>
      <c r="J294" s="2213">
        <f t="shared" si="30"/>
        <v>3000000</v>
      </c>
      <c r="K294" s="2213">
        <f t="shared" si="31"/>
        <v>0</v>
      </c>
      <c r="L294" s="2267"/>
    </row>
    <row r="295" spans="1:16" ht="30" customHeight="1" x14ac:dyDescent="0.2">
      <c r="A295" s="2269">
        <v>205</v>
      </c>
      <c r="B295" s="2267" t="s">
        <v>65</v>
      </c>
      <c r="C295" s="2238" t="s">
        <v>3245</v>
      </c>
      <c r="D295" s="2213">
        <v>15000000</v>
      </c>
      <c r="E295" s="2265">
        <v>0.04</v>
      </c>
      <c r="F295" s="2213">
        <f t="shared" si="29"/>
        <v>600000</v>
      </c>
      <c r="G295" s="2213">
        <v>600000</v>
      </c>
      <c r="H295" s="2213" t="s">
        <v>4136</v>
      </c>
      <c r="I295" s="21" t="s">
        <v>3244</v>
      </c>
      <c r="J295" s="2213">
        <f t="shared" si="30"/>
        <v>600000</v>
      </c>
      <c r="K295" s="2213">
        <f t="shared" si="31"/>
        <v>0</v>
      </c>
      <c r="L295" s="2267"/>
    </row>
    <row r="296" spans="1:16" ht="30" customHeight="1" x14ac:dyDescent="0.2">
      <c r="A296" s="2269">
        <v>206</v>
      </c>
      <c r="B296" s="2267" t="s">
        <v>2401</v>
      </c>
      <c r="C296" s="2238" t="s">
        <v>990</v>
      </c>
      <c r="D296" s="2213">
        <v>150000000</v>
      </c>
      <c r="E296" s="2265">
        <v>0.05</v>
      </c>
      <c r="F296" s="2213">
        <f t="shared" si="29"/>
        <v>7500000</v>
      </c>
      <c r="G296" s="2213">
        <v>7500000</v>
      </c>
      <c r="H296" s="2240" t="s">
        <v>4146</v>
      </c>
      <c r="I296" s="65" t="s">
        <v>3775</v>
      </c>
      <c r="J296" s="2213">
        <f t="shared" si="30"/>
        <v>7500000</v>
      </c>
      <c r="K296" s="2213">
        <f t="shared" si="31"/>
        <v>0</v>
      </c>
      <c r="L296" s="2015" t="s">
        <v>1326</v>
      </c>
    </row>
    <row r="297" spans="1:16" ht="30" customHeight="1" x14ac:dyDescent="0.2">
      <c r="A297" s="4459">
        <v>207</v>
      </c>
      <c r="B297" s="4615" t="s">
        <v>2676</v>
      </c>
      <c r="C297" s="4620" t="s">
        <v>681</v>
      </c>
      <c r="D297" s="2213">
        <v>45000000</v>
      </c>
      <c r="E297" s="2265">
        <v>0.04</v>
      </c>
      <c r="F297" s="2213">
        <f t="shared" si="29"/>
        <v>1800000</v>
      </c>
      <c r="G297" s="4413">
        <v>3800000</v>
      </c>
      <c r="H297" s="4413" t="s">
        <v>4136</v>
      </c>
      <c r="I297" s="4478" t="s">
        <v>3739</v>
      </c>
      <c r="J297" s="4413">
        <f t="shared" si="30"/>
        <v>3800000</v>
      </c>
      <c r="K297" s="4413">
        <f>(F297+F298)-J297</f>
        <v>0</v>
      </c>
      <c r="L297" s="4492"/>
    </row>
    <row r="298" spans="1:16" ht="30" customHeight="1" x14ac:dyDescent="0.2">
      <c r="A298" s="4464"/>
      <c r="B298" s="4615"/>
      <c r="C298" s="4620"/>
      <c r="D298" s="2213">
        <v>50000000</v>
      </c>
      <c r="E298" s="2265">
        <v>0.04</v>
      </c>
      <c r="F298" s="2213">
        <f t="shared" si="29"/>
        <v>2000000</v>
      </c>
      <c r="G298" s="4415"/>
      <c r="H298" s="4415"/>
      <c r="I298" s="4479"/>
      <c r="J298" s="4415"/>
      <c r="K298" s="4415"/>
      <c r="L298" s="4493"/>
    </row>
    <row r="299" spans="1:16" ht="30" customHeight="1" x14ac:dyDescent="0.2">
      <c r="A299" s="2202">
        <v>208</v>
      </c>
      <c r="B299" s="19" t="s">
        <v>69</v>
      </c>
      <c r="C299" s="378" t="s">
        <v>1100</v>
      </c>
      <c r="D299" s="2201">
        <v>15000000</v>
      </c>
      <c r="E299" s="2265">
        <v>0.04</v>
      </c>
      <c r="F299" s="2201">
        <f t="shared" si="29"/>
        <v>600000</v>
      </c>
      <c r="G299" s="2201">
        <v>600000</v>
      </c>
      <c r="H299" s="2201" t="s">
        <v>4190</v>
      </c>
      <c r="I299" s="2262" t="s">
        <v>1099</v>
      </c>
      <c r="J299" s="2201">
        <f t="shared" ref="J299:J309" si="32">G299</f>
        <v>600000</v>
      </c>
      <c r="K299" s="2201">
        <f t="shared" ref="K299:K312" si="33">F299-J299</f>
        <v>0</v>
      </c>
      <c r="L299" s="2015" t="s">
        <v>3953</v>
      </c>
    </row>
    <row r="300" spans="1:16" ht="30" customHeight="1" x14ac:dyDescent="0.2">
      <c r="A300" s="2269">
        <v>209</v>
      </c>
      <c r="B300" s="2206" t="s">
        <v>70</v>
      </c>
      <c r="C300" s="2238" t="s">
        <v>3323</v>
      </c>
      <c r="D300" s="2213">
        <v>10000000</v>
      </c>
      <c r="E300" s="2210">
        <v>0.05</v>
      </c>
      <c r="F300" s="2213">
        <f t="shared" si="29"/>
        <v>500000</v>
      </c>
      <c r="G300" s="2213"/>
      <c r="H300" s="2213"/>
      <c r="I300" s="2243" t="s">
        <v>3905</v>
      </c>
      <c r="J300" s="2213">
        <f t="shared" si="32"/>
        <v>0</v>
      </c>
      <c r="K300" s="2213">
        <f t="shared" si="33"/>
        <v>500000</v>
      </c>
      <c r="L300" s="2267"/>
    </row>
    <row r="301" spans="1:16" ht="30" customHeight="1" x14ac:dyDescent="0.2">
      <c r="A301" s="2269">
        <v>210</v>
      </c>
      <c r="B301" s="2267" t="s">
        <v>72</v>
      </c>
      <c r="C301" s="2238"/>
      <c r="D301" s="2213">
        <v>50000000</v>
      </c>
      <c r="E301" s="2265">
        <v>7.0000000000000007E-2</v>
      </c>
      <c r="F301" s="2213">
        <f t="shared" si="29"/>
        <v>3500000.0000000005</v>
      </c>
      <c r="G301" s="2213">
        <v>3500000</v>
      </c>
      <c r="H301" s="2213" t="s">
        <v>3966</v>
      </c>
      <c r="I301" s="21" t="s">
        <v>3984</v>
      </c>
      <c r="J301" s="2213">
        <f t="shared" si="32"/>
        <v>3500000</v>
      </c>
      <c r="K301" s="2213">
        <f t="shared" si="33"/>
        <v>0</v>
      </c>
      <c r="L301" s="2267"/>
    </row>
    <row r="302" spans="1:16" ht="30" customHeight="1" x14ac:dyDescent="0.2">
      <c r="A302" s="2269">
        <v>211</v>
      </c>
      <c r="B302" s="2267" t="s">
        <v>73</v>
      </c>
      <c r="C302" s="2238" t="s">
        <v>1295</v>
      </c>
      <c r="D302" s="2213">
        <v>100000000</v>
      </c>
      <c r="E302" s="2265">
        <v>0.05</v>
      </c>
      <c r="F302" s="2213">
        <f t="shared" si="29"/>
        <v>5000000</v>
      </c>
      <c r="G302" s="2213">
        <v>5000000</v>
      </c>
      <c r="H302" s="2213" t="s">
        <v>3994</v>
      </c>
      <c r="I302" s="21" t="s">
        <v>4002</v>
      </c>
      <c r="J302" s="2213">
        <f t="shared" si="32"/>
        <v>5000000</v>
      </c>
      <c r="K302" s="2213">
        <f t="shared" si="33"/>
        <v>0</v>
      </c>
      <c r="L302" s="2267"/>
    </row>
    <row r="303" spans="1:16" ht="30" customHeight="1" x14ac:dyDescent="0.2">
      <c r="A303" s="2269">
        <v>212</v>
      </c>
      <c r="B303" s="2267" t="s">
        <v>74</v>
      </c>
      <c r="C303" s="2238" t="s">
        <v>889</v>
      </c>
      <c r="D303" s="2213">
        <v>30000000</v>
      </c>
      <c r="E303" s="2265">
        <v>0.05</v>
      </c>
      <c r="F303" s="2213">
        <f t="shared" si="29"/>
        <v>1500000</v>
      </c>
      <c r="G303" s="2213"/>
      <c r="H303" s="2213"/>
      <c r="I303" s="21" t="s">
        <v>1275</v>
      </c>
      <c r="J303" s="2213">
        <f t="shared" si="32"/>
        <v>0</v>
      </c>
      <c r="K303" s="2213">
        <f t="shared" si="33"/>
        <v>1500000</v>
      </c>
      <c r="L303" s="2267"/>
    </row>
    <row r="304" spans="1:16" ht="30" customHeight="1" x14ac:dyDescent="0.2">
      <c r="A304" s="2269">
        <v>213</v>
      </c>
      <c r="B304" s="2267" t="s">
        <v>75</v>
      </c>
      <c r="C304" s="2238" t="s">
        <v>889</v>
      </c>
      <c r="D304" s="2213">
        <v>15000000</v>
      </c>
      <c r="E304" s="2265">
        <v>4.7E-2</v>
      </c>
      <c r="F304" s="2213">
        <v>700000</v>
      </c>
      <c r="G304" s="2213">
        <v>700000</v>
      </c>
      <c r="H304" s="2213" t="s">
        <v>2015</v>
      </c>
      <c r="I304" s="21" t="s">
        <v>3406</v>
      </c>
      <c r="J304" s="2213">
        <f t="shared" si="32"/>
        <v>700000</v>
      </c>
      <c r="K304" s="2213">
        <f t="shared" si="33"/>
        <v>0</v>
      </c>
      <c r="L304" s="2267"/>
    </row>
    <row r="305" spans="1:12" ht="30" customHeight="1" x14ac:dyDescent="0.2">
      <c r="A305" s="2269">
        <v>214</v>
      </c>
      <c r="B305" s="2267" t="s">
        <v>937</v>
      </c>
      <c r="C305" s="2238"/>
      <c r="D305" s="2213">
        <v>200000000</v>
      </c>
      <c r="E305" s="2265">
        <v>5.5E-2</v>
      </c>
      <c r="F305" s="2213">
        <f t="shared" si="29"/>
        <v>11000000</v>
      </c>
      <c r="G305" s="2213">
        <v>11000000</v>
      </c>
      <c r="H305" s="2213" t="s">
        <v>3920</v>
      </c>
      <c r="I305" s="21" t="s">
        <v>3975</v>
      </c>
      <c r="J305" s="2213">
        <f t="shared" si="32"/>
        <v>11000000</v>
      </c>
      <c r="K305" s="2213">
        <f t="shared" si="33"/>
        <v>0</v>
      </c>
      <c r="L305" s="2267"/>
    </row>
    <row r="306" spans="1:12" ht="30" customHeight="1" x14ac:dyDescent="0.2">
      <c r="A306" s="2269">
        <v>216</v>
      </c>
      <c r="B306" s="2267" t="s">
        <v>77</v>
      </c>
      <c r="C306" s="2238" t="s">
        <v>889</v>
      </c>
      <c r="D306" s="2213">
        <v>250000000</v>
      </c>
      <c r="E306" s="2265">
        <v>0.05</v>
      </c>
      <c r="F306" s="2213">
        <f t="shared" si="29"/>
        <v>12500000</v>
      </c>
      <c r="G306" s="2213">
        <v>12500000</v>
      </c>
      <c r="H306" s="2213" t="s">
        <v>3923</v>
      </c>
      <c r="I306" s="18" t="s">
        <v>3401</v>
      </c>
      <c r="J306" s="2213">
        <f t="shared" si="32"/>
        <v>12500000</v>
      </c>
      <c r="K306" s="2213">
        <f t="shared" si="33"/>
        <v>0</v>
      </c>
      <c r="L306" s="2267"/>
    </row>
    <row r="307" spans="1:12" ht="30" customHeight="1" x14ac:dyDescent="0.2">
      <c r="A307" s="2202">
        <v>217</v>
      </c>
      <c r="B307" s="2267" t="s">
        <v>79</v>
      </c>
      <c r="C307" s="2266"/>
      <c r="D307" s="2201">
        <v>160000000</v>
      </c>
      <c r="E307" s="2265">
        <v>0.05</v>
      </c>
      <c r="F307" s="2201">
        <f t="shared" si="29"/>
        <v>8000000</v>
      </c>
      <c r="G307" s="2201"/>
      <c r="H307" s="2201"/>
      <c r="I307" s="2274"/>
      <c r="J307" s="2201">
        <f t="shared" si="32"/>
        <v>0</v>
      </c>
      <c r="K307" s="2201">
        <f t="shared" si="33"/>
        <v>8000000</v>
      </c>
      <c r="L307" s="2220"/>
    </row>
    <row r="308" spans="1:12" ht="30" customHeight="1" x14ac:dyDescent="0.2">
      <c r="A308" s="4459">
        <v>218</v>
      </c>
      <c r="B308" s="4457" t="s">
        <v>80</v>
      </c>
      <c r="C308" s="4537"/>
      <c r="D308" s="4413">
        <v>45000000</v>
      </c>
      <c r="E308" s="4476">
        <v>0.04</v>
      </c>
      <c r="F308" s="4413">
        <f t="shared" si="29"/>
        <v>1800000</v>
      </c>
      <c r="G308" s="2213"/>
      <c r="H308" s="2213"/>
      <c r="I308" s="65" t="s">
        <v>1695</v>
      </c>
      <c r="J308" s="2213">
        <f t="shared" si="32"/>
        <v>0</v>
      </c>
      <c r="K308" s="2213">
        <f t="shared" si="33"/>
        <v>1800000</v>
      </c>
      <c r="L308" s="2267"/>
    </row>
    <row r="309" spans="1:12" ht="30" customHeight="1" x14ac:dyDescent="0.2">
      <c r="A309" s="4460"/>
      <c r="B309" s="4458"/>
      <c r="C309" s="4538"/>
      <c r="D309" s="4415"/>
      <c r="E309" s="4477"/>
      <c r="F309" s="4415"/>
      <c r="G309" s="2213"/>
      <c r="H309" s="2213"/>
      <c r="I309" s="65" t="s">
        <v>3561</v>
      </c>
      <c r="J309" s="2213">
        <f t="shared" si="32"/>
        <v>0</v>
      </c>
      <c r="K309" s="2213"/>
      <c r="L309" s="2015" t="s">
        <v>3562</v>
      </c>
    </row>
    <row r="310" spans="1:12" ht="30" customHeight="1" x14ac:dyDescent="0.2">
      <c r="A310" s="2269">
        <v>219</v>
      </c>
      <c r="B310" s="2267" t="s">
        <v>1791</v>
      </c>
      <c r="C310" s="2238"/>
      <c r="D310" s="2226"/>
      <c r="E310" s="2297"/>
      <c r="F310" s="2226">
        <f t="shared" si="29"/>
        <v>0</v>
      </c>
      <c r="G310" s="2213"/>
      <c r="H310" s="2213"/>
      <c r="I310" s="21"/>
      <c r="J310" s="2213"/>
      <c r="K310" s="2226">
        <f t="shared" si="33"/>
        <v>0</v>
      </c>
      <c r="L310" s="2267"/>
    </row>
    <row r="311" spans="1:12" ht="30" customHeight="1" x14ac:dyDescent="0.2">
      <c r="A311" s="2269">
        <v>220</v>
      </c>
      <c r="B311" s="2263" t="s">
        <v>81</v>
      </c>
      <c r="C311" s="345"/>
      <c r="D311" s="2211">
        <v>203000000</v>
      </c>
      <c r="E311" s="2208">
        <v>0.05</v>
      </c>
      <c r="F311" s="2211">
        <f t="shared" si="29"/>
        <v>10150000</v>
      </c>
      <c r="G311" s="2213">
        <v>10150000</v>
      </c>
      <c r="H311" s="2213" t="s">
        <v>1846</v>
      </c>
      <c r="I311" s="21" t="s">
        <v>3409</v>
      </c>
      <c r="J311" s="2211">
        <f>G311</f>
        <v>10150000</v>
      </c>
      <c r="K311" s="2211">
        <f t="shared" si="33"/>
        <v>0</v>
      </c>
      <c r="L311" s="2267"/>
    </row>
    <row r="312" spans="1:12" ht="30" customHeight="1" x14ac:dyDescent="0.2">
      <c r="A312" s="2269">
        <v>221</v>
      </c>
      <c r="B312" s="2263" t="s">
        <v>326</v>
      </c>
      <c r="C312" s="2237" t="s">
        <v>1652</v>
      </c>
      <c r="D312" s="2211">
        <v>275000000</v>
      </c>
      <c r="E312" s="2208">
        <v>4.2000000000000003E-2</v>
      </c>
      <c r="F312" s="2211">
        <f>D312*E312</f>
        <v>11550000</v>
      </c>
      <c r="G312" s="2212">
        <v>11550000</v>
      </c>
      <c r="H312" s="2212" t="s">
        <v>3994</v>
      </c>
      <c r="I312" s="384" t="s">
        <v>1654</v>
      </c>
      <c r="J312" s="2211">
        <f>G312</f>
        <v>11550000</v>
      </c>
      <c r="K312" s="2211">
        <f t="shared" si="33"/>
        <v>0</v>
      </c>
      <c r="L312" s="2234"/>
    </row>
    <row r="313" spans="1:12" ht="30" customHeight="1" x14ac:dyDescent="0.2">
      <c r="A313" s="4614">
        <v>222</v>
      </c>
      <c r="B313" s="4457" t="s">
        <v>1818</v>
      </c>
      <c r="C313" s="4537" t="s">
        <v>1287</v>
      </c>
      <c r="D313" s="4413">
        <v>700000000</v>
      </c>
      <c r="E313" s="4476">
        <v>0.06</v>
      </c>
      <c r="F313" s="4413">
        <f>D313*E313</f>
        <v>42000000</v>
      </c>
      <c r="G313" s="4413">
        <v>42000000</v>
      </c>
      <c r="H313" s="4413" t="s">
        <v>4045</v>
      </c>
      <c r="I313" s="4478" t="s">
        <v>3724</v>
      </c>
      <c r="J313" s="4413">
        <f>G313</f>
        <v>42000000</v>
      </c>
      <c r="K313" s="4413">
        <f>F313-J313</f>
        <v>0</v>
      </c>
      <c r="L313" s="2256"/>
    </row>
    <row r="314" spans="1:12" ht="30" customHeight="1" x14ac:dyDescent="0.2">
      <c r="A314" s="4614"/>
      <c r="B314" s="4488"/>
      <c r="C314" s="4540"/>
      <c r="D314" s="4414"/>
      <c r="E314" s="4516"/>
      <c r="F314" s="4414"/>
      <c r="G314" s="4414"/>
      <c r="H314" s="4414"/>
      <c r="I314" s="4520"/>
      <c r="J314" s="4414"/>
      <c r="K314" s="4414"/>
      <c r="L314" s="2261" t="s">
        <v>3693</v>
      </c>
    </row>
    <row r="315" spans="1:12" ht="30" customHeight="1" x14ac:dyDescent="0.2">
      <c r="A315" s="4614"/>
      <c r="B315" s="4458"/>
      <c r="C315" s="4538"/>
      <c r="D315" s="4415"/>
      <c r="E315" s="4477"/>
      <c r="F315" s="4415"/>
      <c r="G315" s="4415"/>
      <c r="H315" s="4415"/>
      <c r="I315" s="4479"/>
      <c r="J315" s="4415"/>
      <c r="K315" s="4415"/>
      <c r="L315" s="2257"/>
    </row>
    <row r="316" spans="1:12" ht="30" customHeight="1" x14ac:dyDescent="0.2">
      <c r="A316" s="2204">
        <v>223</v>
      </c>
      <c r="B316" s="2206" t="s">
        <v>83</v>
      </c>
      <c r="C316" s="2238" t="s">
        <v>1652</v>
      </c>
      <c r="D316" s="2213">
        <v>100000000</v>
      </c>
      <c r="E316" s="2210">
        <v>0.05</v>
      </c>
      <c r="F316" s="2213">
        <f t="shared" si="29"/>
        <v>5000000</v>
      </c>
      <c r="G316" s="2213">
        <v>5000000</v>
      </c>
      <c r="H316" s="2213" t="s">
        <v>3994</v>
      </c>
      <c r="I316" s="21" t="s">
        <v>3491</v>
      </c>
      <c r="J316" s="2213">
        <f t="shared" ref="J316:J322" si="34">G316</f>
        <v>5000000</v>
      </c>
      <c r="K316" s="2213">
        <f t="shared" ref="K316:K322" si="35">F316-J316</f>
        <v>0</v>
      </c>
      <c r="L316" s="2267"/>
    </row>
    <row r="317" spans="1:12" ht="30" customHeight="1" x14ac:dyDescent="0.2">
      <c r="A317" s="4459">
        <v>224</v>
      </c>
      <c r="B317" s="4457" t="s">
        <v>2623</v>
      </c>
      <c r="C317" s="4537"/>
      <c r="D317" s="4413">
        <v>10000000</v>
      </c>
      <c r="E317" s="4476">
        <v>0.05</v>
      </c>
      <c r="F317" s="4413">
        <f t="shared" si="29"/>
        <v>500000</v>
      </c>
      <c r="G317" s="2213">
        <v>500000</v>
      </c>
      <c r="H317" s="2213" t="s">
        <v>3929</v>
      </c>
      <c r="I317" s="21" t="s">
        <v>3934</v>
      </c>
      <c r="J317" s="2213">
        <f t="shared" si="34"/>
        <v>500000</v>
      </c>
      <c r="K317" s="2213">
        <f t="shared" si="35"/>
        <v>0</v>
      </c>
      <c r="L317" s="2267"/>
    </row>
    <row r="318" spans="1:12" ht="30" customHeight="1" x14ac:dyDescent="0.2">
      <c r="A318" s="4460"/>
      <c r="B318" s="4458"/>
      <c r="C318" s="4538"/>
      <c r="D318" s="4415"/>
      <c r="E318" s="4477"/>
      <c r="F318" s="4415"/>
      <c r="G318" s="2226">
        <v>1000000</v>
      </c>
      <c r="H318" s="2226" t="s">
        <v>4045</v>
      </c>
      <c r="I318" s="56" t="s">
        <v>3934</v>
      </c>
      <c r="J318" s="2226">
        <f t="shared" si="34"/>
        <v>1000000</v>
      </c>
      <c r="K318" s="2226"/>
      <c r="L318" s="2206"/>
    </row>
    <row r="319" spans="1:12" ht="30" customHeight="1" x14ac:dyDescent="0.2">
      <c r="A319" s="2204">
        <v>226</v>
      </c>
      <c r="B319" s="2264" t="s">
        <v>86</v>
      </c>
      <c r="C319" s="2238" t="s">
        <v>889</v>
      </c>
      <c r="D319" s="2201">
        <v>410000000</v>
      </c>
      <c r="E319" s="2265">
        <v>0.06</v>
      </c>
      <c r="F319" s="2201">
        <f>D319*E319</f>
        <v>24600000</v>
      </c>
      <c r="G319" s="2201">
        <v>24600000</v>
      </c>
      <c r="H319" s="2201" t="s">
        <v>1846</v>
      </c>
      <c r="I319" s="2201" t="s">
        <v>2391</v>
      </c>
      <c r="J319" s="2201">
        <f t="shared" si="34"/>
        <v>24600000</v>
      </c>
      <c r="K319" s="2213">
        <f t="shared" si="35"/>
        <v>0</v>
      </c>
      <c r="L319" s="2221"/>
    </row>
    <row r="320" spans="1:12" ht="30" customHeight="1" x14ac:dyDescent="0.2">
      <c r="A320" s="2269">
        <v>227</v>
      </c>
      <c r="B320" s="2267" t="s">
        <v>87</v>
      </c>
      <c r="C320" s="2238" t="s">
        <v>889</v>
      </c>
      <c r="D320" s="2213">
        <v>20000000</v>
      </c>
      <c r="E320" s="2265">
        <v>0.05</v>
      </c>
      <c r="F320" s="2213">
        <f>D320*E320</f>
        <v>1000000</v>
      </c>
      <c r="G320" s="2213">
        <v>1000000</v>
      </c>
      <c r="H320" s="2213" t="s">
        <v>3966</v>
      </c>
      <c r="I320" s="18" t="s">
        <v>361</v>
      </c>
      <c r="J320" s="2213">
        <f t="shared" si="34"/>
        <v>1000000</v>
      </c>
      <c r="K320" s="2213">
        <f t="shared" si="35"/>
        <v>0</v>
      </c>
      <c r="L320" s="2267"/>
    </row>
    <row r="321" spans="1:12" ht="30" customHeight="1" x14ac:dyDescent="0.2">
      <c r="A321" s="2269">
        <v>228</v>
      </c>
      <c r="B321" s="2267" t="s">
        <v>88</v>
      </c>
      <c r="C321" s="2238" t="s">
        <v>1176</v>
      </c>
      <c r="D321" s="2213">
        <v>10000000</v>
      </c>
      <c r="E321" s="2265">
        <v>0.04</v>
      </c>
      <c r="F321" s="2213">
        <f t="shared" si="29"/>
        <v>400000</v>
      </c>
      <c r="G321" s="2213">
        <v>400000</v>
      </c>
      <c r="H321" s="2213" t="s">
        <v>4045</v>
      </c>
      <c r="I321" s="26" t="s">
        <v>417</v>
      </c>
      <c r="J321" s="2213">
        <f t="shared" si="34"/>
        <v>400000</v>
      </c>
      <c r="K321" s="2213">
        <f t="shared" si="35"/>
        <v>0</v>
      </c>
      <c r="L321" s="2267"/>
    </row>
    <row r="322" spans="1:12" ht="30" customHeight="1" x14ac:dyDescent="0.2">
      <c r="A322" s="2202">
        <v>229</v>
      </c>
      <c r="B322" s="2205" t="s">
        <v>89</v>
      </c>
      <c r="C322" s="2238" t="s">
        <v>889</v>
      </c>
      <c r="D322" s="2213">
        <v>52000000</v>
      </c>
      <c r="E322" s="2265">
        <v>0.05</v>
      </c>
      <c r="F322" s="2213">
        <f t="shared" si="29"/>
        <v>2600000</v>
      </c>
      <c r="G322" s="2213">
        <v>2600000</v>
      </c>
      <c r="H322" s="2213" t="s">
        <v>3923</v>
      </c>
      <c r="I322" s="21" t="s">
        <v>3970</v>
      </c>
      <c r="J322" s="2213">
        <f t="shared" si="34"/>
        <v>2600000</v>
      </c>
      <c r="K322" s="2213">
        <f t="shared" si="35"/>
        <v>0</v>
      </c>
      <c r="L322" s="2267"/>
    </row>
    <row r="323" spans="1:12" ht="30" customHeight="1" x14ac:dyDescent="0.2">
      <c r="A323" s="4459"/>
      <c r="B323" s="4457" t="s">
        <v>90</v>
      </c>
      <c r="C323" s="4537" t="s">
        <v>1718</v>
      </c>
      <c r="D323" s="2201">
        <v>20000000</v>
      </c>
      <c r="E323" s="2265">
        <v>0.05</v>
      </c>
      <c r="F323" s="2201">
        <f t="shared" si="29"/>
        <v>1000000</v>
      </c>
      <c r="G323" s="2201">
        <v>750000</v>
      </c>
      <c r="H323" s="2201" t="s">
        <v>3994</v>
      </c>
      <c r="I323" s="2201" t="s">
        <v>449</v>
      </c>
      <c r="J323" s="2201">
        <f>G323</f>
        <v>750000</v>
      </c>
      <c r="K323" s="4413">
        <v>0</v>
      </c>
      <c r="L323" s="1662" t="s">
        <v>3488</v>
      </c>
    </row>
    <row r="324" spans="1:12" ht="30" customHeight="1" x14ac:dyDescent="0.2">
      <c r="A324" s="4464"/>
      <c r="B324" s="4488"/>
      <c r="C324" s="4540"/>
      <c r="D324" s="2201">
        <v>5000000</v>
      </c>
      <c r="E324" s="2265">
        <v>0.05</v>
      </c>
      <c r="F324" s="2201">
        <f t="shared" si="29"/>
        <v>250000</v>
      </c>
      <c r="G324" s="4413">
        <v>1538000</v>
      </c>
      <c r="H324" s="4413" t="s">
        <v>3994</v>
      </c>
      <c r="I324" s="4413" t="s">
        <v>449</v>
      </c>
      <c r="J324" s="4413">
        <f>G324</f>
        <v>1538000</v>
      </c>
      <c r="K324" s="4414"/>
      <c r="L324" s="1337" t="s">
        <v>4007</v>
      </c>
    </row>
    <row r="325" spans="1:12" ht="30" customHeight="1" x14ac:dyDescent="0.2">
      <c r="A325" s="4464"/>
      <c r="B325" s="4488"/>
      <c r="C325" s="4540"/>
      <c r="D325" s="2213">
        <v>5000000</v>
      </c>
      <c r="E325" s="2265">
        <v>0.05</v>
      </c>
      <c r="F325" s="2201">
        <f t="shared" si="29"/>
        <v>250000</v>
      </c>
      <c r="G325" s="4414"/>
      <c r="H325" s="4414"/>
      <c r="I325" s="4414"/>
      <c r="J325" s="4414"/>
      <c r="K325" s="4414"/>
      <c r="L325" s="1337" t="s">
        <v>4006</v>
      </c>
    </row>
    <row r="326" spans="1:12" ht="30" customHeight="1" x14ac:dyDescent="0.2">
      <c r="A326" s="4460"/>
      <c r="B326" s="4458"/>
      <c r="C326" s="4538"/>
      <c r="D326" s="2213">
        <v>5000000</v>
      </c>
      <c r="E326" s="2265">
        <v>0.05</v>
      </c>
      <c r="F326" s="2201">
        <f t="shared" si="29"/>
        <v>250000</v>
      </c>
      <c r="G326" s="4415"/>
      <c r="H326" s="4415"/>
      <c r="I326" s="4415"/>
      <c r="J326" s="4415"/>
      <c r="K326" s="4415"/>
      <c r="L326" s="1337" t="s">
        <v>4008</v>
      </c>
    </row>
    <row r="327" spans="1:12" ht="30" customHeight="1" x14ac:dyDescent="0.2">
      <c r="A327" s="4459">
        <v>231</v>
      </c>
      <c r="B327" s="4457" t="s">
        <v>91</v>
      </c>
      <c r="C327" s="4537" t="s">
        <v>1080</v>
      </c>
      <c r="D327" s="2213">
        <v>30000000</v>
      </c>
      <c r="E327" s="2210">
        <v>4.4999999999999998E-2</v>
      </c>
      <c r="F327" s="2213">
        <f t="shared" si="29"/>
        <v>1350000</v>
      </c>
      <c r="G327" s="2213">
        <v>1350000</v>
      </c>
      <c r="H327" s="2213" t="s">
        <v>2015</v>
      </c>
      <c r="I327" s="2295" t="s">
        <v>298</v>
      </c>
      <c r="J327" s="2213">
        <f t="shared" ref="J327:J344" si="36">G327</f>
        <v>1350000</v>
      </c>
      <c r="K327" s="2213">
        <f t="shared" ref="K327:K343" si="37">F327-J327</f>
        <v>0</v>
      </c>
      <c r="L327" s="2267"/>
    </row>
    <row r="328" spans="1:12" ht="30" customHeight="1" x14ac:dyDescent="0.2">
      <c r="A328" s="4460"/>
      <c r="B328" s="4458"/>
      <c r="C328" s="4538"/>
      <c r="D328" s="896">
        <v>20000000</v>
      </c>
      <c r="E328" s="2210">
        <v>4.4999999999999998E-2</v>
      </c>
      <c r="F328" s="2213">
        <f t="shared" si="29"/>
        <v>900000</v>
      </c>
      <c r="G328" s="2213"/>
      <c r="H328" s="2213"/>
      <c r="I328" s="52"/>
      <c r="J328" s="2213"/>
      <c r="K328" s="2213"/>
      <c r="L328" s="2015" t="s">
        <v>4219</v>
      </c>
    </row>
    <row r="329" spans="1:12" ht="30" customHeight="1" x14ac:dyDescent="0.2">
      <c r="A329" s="2269">
        <v>232</v>
      </c>
      <c r="B329" s="2267" t="s">
        <v>1602</v>
      </c>
      <c r="C329" s="2238" t="s">
        <v>1172</v>
      </c>
      <c r="D329" s="2213">
        <v>55000000</v>
      </c>
      <c r="E329" s="2265">
        <v>0.04</v>
      </c>
      <c r="F329" s="2213">
        <f t="shared" si="29"/>
        <v>2200000</v>
      </c>
      <c r="G329" s="2213">
        <v>2200000</v>
      </c>
      <c r="H329" s="2213" t="s">
        <v>3923</v>
      </c>
      <c r="I329" s="21" t="s">
        <v>1604</v>
      </c>
      <c r="J329" s="2213">
        <f t="shared" si="36"/>
        <v>2200000</v>
      </c>
      <c r="K329" s="2213">
        <f t="shared" si="37"/>
        <v>0</v>
      </c>
      <c r="L329" s="2267"/>
    </row>
    <row r="330" spans="1:12" ht="30" customHeight="1" x14ac:dyDescent="0.2">
      <c r="A330" s="2269">
        <v>233</v>
      </c>
      <c r="B330" s="2267" t="s">
        <v>275</v>
      </c>
      <c r="C330" s="2238" t="s">
        <v>372</v>
      </c>
      <c r="D330" s="2213">
        <v>50000000</v>
      </c>
      <c r="E330" s="2265">
        <v>0.05</v>
      </c>
      <c r="F330" s="2213">
        <f t="shared" si="29"/>
        <v>2500000</v>
      </c>
      <c r="G330" s="4469" t="s">
        <v>5099</v>
      </c>
      <c r="H330" s="4470"/>
      <c r="I330" s="4470"/>
      <c r="J330" s="4471"/>
      <c r="K330" s="2213"/>
      <c r="L330" s="2015"/>
    </row>
    <row r="331" spans="1:12" ht="30" customHeight="1" x14ac:dyDescent="0.2">
      <c r="A331" s="2269">
        <v>234</v>
      </c>
      <c r="B331" s="2263" t="s">
        <v>93</v>
      </c>
      <c r="C331" s="2266" t="s">
        <v>1293</v>
      </c>
      <c r="D331" s="2201">
        <v>400000000</v>
      </c>
      <c r="E331" s="2265">
        <f>F331/D331</f>
        <v>5.2499999999999998E-2</v>
      </c>
      <c r="F331" s="2201">
        <v>21000000</v>
      </c>
      <c r="G331" s="2201">
        <v>21000000</v>
      </c>
      <c r="H331" s="2201" t="s">
        <v>3966</v>
      </c>
      <c r="I331" s="2262" t="s">
        <v>506</v>
      </c>
      <c r="J331" s="2201">
        <f t="shared" si="36"/>
        <v>21000000</v>
      </c>
      <c r="K331" s="2213">
        <f t="shared" si="37"/>
        <v>0</v>
      </c>
      <c r="L331" s="2256"/>
    </row>
    <row r="332" spans="1:12" ht="30" customHeight="1" x14ac:dyDescent="0.2">
      <c r="A332" s="4459">
        <v>235</v>
      </c>
      <c r="B332" s="4457" t="s">
        <v>94</v>
      </c>
      <c r="C332" s="4620" t="s">
        <v>1172</v>
      </c>
      <c r="D332" s="4413">
        <v>60000000</v>
      </c>
      <c r="E332" s="4476">
        <v>0.05</v>
      </c>
      <c r="F332" s="4413">
        <f t="shared" si="29"/>
        <v>3000000</v>
      </c>
      <c r="G332" s="4322">
        <v>3000000</v>
      </c>
      <c r="H332" s="4322" t="s">
        <v>3966</v>
      </c>
      <c r="I332" s="4828" t="s">
        <v>1857</v>
      </c>
      <c r="J332" s="4413">
        <f t="shared" si="36"/>
        <v>3000000</v>
      </c>
      <c r="K332" s="4413">
        <f t="shared" si="37"/>
        <v>0</v>
      </c>
      <c r="L332" s="638" t="s">
        <v>3572</v>
      </c>
    </row>
    <row r="333" spans="1:12" ht="30" customHeight="1" x14ac:dyDescent="0.2">
      <c r="A333" s="4464"/>
      <c r="B333" s="4458"/>
      <c r="C333" s="4620"/>
      <c r="D333" s="4415"/>
      <c r="E333" s="4477"/>
      <c r="F333" s="4415"/>
      <c r="G333" s="4322"/>
      <c r="H333" s="4322"/>
      <c r="I333" s="4829"/>
      <c r="J333" s="4415"/>
      <c r="K333" s="4415"/>
      <c r="L333" s="2257" t="s">
        <v>3383</v>
      </c>
    </row>
    <row r="334" spans="1:12" ht="30" customHeight="1" x14ac:dyDescent="0.2">
      <c r="A334" s="2269">
        <v>236</v>
      </c>
      <c r="B334" s="2267" t="s">
        <v>95</v>
      </c>
      <c r="C334" s="2238"/>
      <c r="D334" s="2213">
        <v>20000000</v>
      </c>
      <c r="E334" s="2265">
        <v>0.05</v>
      </c>
      <c r="F334" s="2213">
        <f>D334*E334</f>
        <v>1000000</v>
      </c>
      <c r="G334" s="2213">
        <v>1000000</v>
      </c>
      <c r="H334" s="2213" t="s">
        <v>4076</v>
      </c>
      <c r="I334" s="2242" t="s">
        <v>334</v>
      </c>
      <c r="J334" s="2213">
        <f t="shared" si="36"/>
        <v>1000000</v>
      </c>
      <c r="K334" s="2213">
        <f t="shared" si="37"/>
        <v>0</v>
      </c>
      <c r="L334" s="2015" t="s">
        <v>2685</v>
      </c>
    </row>
    <row r="335" spans="1:12" ht="30" customHeight="1" x14ac:dyDescent="0.2">
      <c r="A335" s="4459">
        <v>237</v>
      </c>
      <c r="B335" s="4457" t="s">
        <v>96</v>
      </c>
      <c r="C335" s="4537" t="s">
        <v>1718</v>
      </c>
      <c r="D335" s="2213">
        <v>62500000</v>
      </c>
      <c r="E335" s="2265">
        <v>4.8000000000000001E-2</v>
      </c>
      <c r="F335" s="2213">
        <f t="shared" si="29"/>
        <v>3000000</v>
      </c>
      <c r="G335" s="2213">
        <v>3000000</v>
      </c>
      <c r="H335" s="2213" t="s">
        <v>3966</v>
      </c>
      <c r="I335" s="21" t="s">
        <v>3473</v>
      </c>
      <c r="J335" s="2213">
        <f t="shared" si="36"/>
        <v>3000000</v>
      </c>
      <c r="K335" s="2213">
        <f t="shared" si="37"/>
        <v>0</v>
      </c>
      <c r="L335" s="2257"/>
    </row>
    <row r="336" spans="1:12" ht="30" customHeight="1" x14ac:dyDescent="0.2">
      <c r="A336" s="4464"/>
      <c r="B336" s="4488"/>
      <c r="C336" s="4540"/>
      <c r="D336" s="2213">
        <v>5000000</v>
      </c>
      <c r="E336" s="2265">
        <v>0.05</v>
      </c>
      <c r="F336" s="2213">
        <f>D336*E336</f>
        <v>250000</v>
      </c>
      <c r="G336" s="4469" t="s">
        <v>4344</v>
      </c>
      <c r="H336" s="4470"/>
      <c r="I336" s="4470"/>
      <c r="J336" s="4471"/>
      <c r="K336" s="2213"/>
      <c r="L336" s="2257" t="s">
        <v>4010</v>
      </c>
    </row>
    <row r="337" spans="1:14" ht="30" customHeight="1" x14ac:dyDescent="0.2">
      <c r="A337" s="4460"/>
      <c r="B337" s="4458"/>
      <c r="C337" s="4538"/>
      <c r="D337" s="2213">
        <v>10500000</v>
      </c>
      <c r="E337" s="2265">
        <v>0.05</v>
      </c>
      <c r="F337" s="2213">
        <f>D337*E337</f>
        <v>525000</v>
      </c>
      <c r="G337" s="4469" t="s">
        <v>4345</v>
      </c>
      <c r="H337" s="4470"/>
      <c r="I337" s="4470"/>
      <c r="J337" s="4471"/>
      <c r="K337" s="2213"/>
      <c r="L337" s="2222" t="s">
        <v>4012</v>
      </c>
    </row>
    <row r="338" spans="1:14" ht="30" customHeight="1" x14ac:dyDescent="0.2">
      <c r="A338" s="4459"/>
      <c r="B338" s="2206" t="s">
        <v>96</v>
      </c>
      <c r="C338" s="4537" t="s">
        <v>1718</v>
      </c>
      <c r="D338" s="2213">
        <v>55000000</v>
      </c>
      <c r="E338" s="2265">
        <v>0.05</v>
      </c>
      <c r="F338" s="2213">
        <f>D338*E338</f>
        <v>2750000</v>
      </c>
      <c r="G338" s="2283"/>
      <c r="H338" s="2283"/>
      <c r="I338" s="2283"/>
      <c r="J338" s="2283"/>
      <c r="K338" s="2213"/>
      <c r="L338" s="2221" t="s">
        <v>3882</v>
      </c>
    </row>
    <row r="339" spans="1:14" ht="30" customHeight="1" x14ac:dyDescent="0.2">
      <c r="A339" s="4460"/>
      <c r="B339" s="2206" t="s">
        <v>2011</v>
      </c>
      <c r="C339" s="4538"/>
      <c r="D339" s="2213">
        <v>50000000</v>
      </c>
      <c r="E339" s="2265">
        <v>0.05</v>
      </c>
      <c r="F339" s="2213">
        <f>D339*E339</f>
        <v>2500000</v>
      </c>
      <c r="G339" s="2283"/>
      <c r="H339" s="2283"/>
      <c r="I339" s="2283"/>
      <c r="J339" s="2283"/>
      <c r="K339" s="2213"/>
      <c r="L339" s="2221" t="s">
        <v>3882</v>
      </c>
    </row>
    <row r="340" spans="1:14" ht="30" customHeight="1" x14ac:dyDescent="0.2">
      <c r="A340" s="2204"/>
      <c r="B340" s="2206" t="s">
        <v>4009</v>
      </c>
      <c r="C340" s="2238" t="s">
        <v>262</v>
      </c>
      <c r="D340" s="2213">
        <v>10000000</v>
      </c>
      <c r="E340" s="2265">
        <v>0.05</v>
      </c>
      <c r="F340" s="2213">
        <f>D340*E340</f>
        <v>500000</v>
      </c>
      <c r="G340" s="4469" t="s">
        <v>4346</v>
      </c>
      <c r="H340" s="4470"/>
      <c r="I340" s="4470"/>
      <c r="J340" s="4471"/>
      <c r="K340" s="2213"/>
      <c r="L340" s="2221" t="s">
        <v>4011</v>
      </c>
    </row>
    <row r="341" spans="1:14" ht="30" customHeight="1" x14ac:dyDescent="0.2">
      <c r="A341" s="2269">
        <v>238</v>
      </c>
      <c r="B341" s="2267" t="s">
        <v>97</v>
      </c>
      <c r="C341" s="2238" t="s">
        <v>1176</v>
      </c>
      <c r="D341" s="2213">
        <v>100000000</v>
      </c>
      <c r="E341" s="2265">
        <v>0.05</v>
      </c>
      <c r="F341" s="2213">
        <f t="shared" si="29"/>
        <v>5000000</v>
      </c>
      <c r="G341" s="2213">
        <v>5000000</v>
      </c>
      <c r="H341" s="2213" t="s">
        <v>3966</v>
      </c>
      <c r="I341" s="18" t="s">
        <v>3492</v>
      </c>
      <c r="J341" s="2213">
        <f t="shared" si="36"/>
        <v>5000000</v>
      </c>
      <c r="K341" s="2213">
        <f t="shared" si="37"/>
        <v>0</v>
      </c>
      <c r="L341" s="2267"/>
    </row>
    <row r="342" spans="1:14" ht="30" customHeight="1" x14ac:dyDescent="0.2">
      <c r="A342" s="2269">
        <v>239</v>
      </c>
      <c r="B342" s="2267" t="s">
        <v>98</v>
      </c>
      <c r="C342" s="2238" t="s">
        <v>372</v>
      </c>
      <c r="D342" s="2213">
        <v>50000000</v>
      </c>
      <c r="E342" s="2265">
        <v>0.05</v>
      </c>
      <c r="F342" s="2213">
        <f t="shared" si="29"/>
        <v>2500000</v>
      </c>
      <c r="G342" s="2213">
        <v>2500000</v>
      </c>
      <c r="H342" s="2213" t="s">
        <v>4045</v>
      </c>
      <c r="I342" s="21" t="s">
        <v>1876</v>
      </c>
      <c r="J342" s="2213">
        <f t="shared" si="36"/>
        <v>2500000</v>
      </c>
      <c r="K342" s="2213">
        <f t="shared" si="37"/>
        <v>0</v>
      </c>
      <c r="L342" s="2267"/>
    </row>
    <row r="343" spans="1:14" ht="30" customHeight="1" x14ac:dyDescent="0.2">
      <c r="A343" s="2202">
        <v>240</v>
      </c>
      <c r="B343" s="2263" t="s">
        <v>2274</v>
      </c>
      <c r="C343" s="345" t="s">
        <v>990</v>
      </c>
      <c r="D343" s="2211">
        <v>100000000</v>
      </c>
      <c r="E343" s="2208">
        <v>0.04</v>
      </c>
      <c r="F343" s="2211">
        <f t="shared" si="29"/>
        <v>4000000</v>
      </c>
      <c r="G343" s="2213">
        <v>4000000</v>
      </c>
      <c r="H343" s="2213" t="s">
        <v>4136</v>
      </c>
      <c r="I343" s="21" t="s">
        <v>3776</v>
      </c>
      <c r="J343" s="2213">
        <f t="shared" si="36"/>
        <v>4000000</v>
      </c>
      <c r="K343" s="2213">
        <f t="shared" si="37"/>
        <v>0</v>
      </c>
      <c r="L343" s="2292"/>
    </row>
    <row r="344" spans="1:14" ht="30" customHeight="1" x14ac:dyDescent="0.2">
      <c r="A344" s="4614">
        <v>241</v>
      </c>
      <c r="B344" s="4615" t="s">
        <v>559</v>
      </c>
      <c r="C344" s="4620" t="s">
        <v>1796</v>
      </c>
      <c r="D344" s="2201">
        <v>20000000</v>
      </c>
      <c r="E344" s="2265">
        <v>7.0000000000000007E-2</v>
      </c>
      <c r="F344" s="2201">
        <f>D344*E344</f>
        <v>1400000.0000000002</v>
      </c>
      <c r="G344" s="4413"/>
      <c r="H344" s="4413"/>
      <c r="I344" s="4553" t="s">
        <v>557</v>
      </c>
      <c r="J344" s="4413">
        <f t="shared" si="36"/>
        <v>0</v>
      </c>
      <c r="K344" s="4413">
        <f>(F344+F345)-J344</f>
        <v>2300000</v>
      </c>
      <c r="L344" s="4520"/>
    </row>
    <row r="345" spans="1:14" ht="30" customHeight="1" x14ac:dyDescent="0.2">
      <c r="A345" s="4614"/>
      <c r="B345" s="4615"/>
      <c r="C345" s="4620"/>
      <c r="D345" s="2201">
        <v>10000000</v>
      </c>
      <c r="E345" s="2265">
        <v>0.09</v>
      </c>
      <c r="F345" s="2201">
        <f>D345*E345</f>
        <v>900000</v>
      </c>
      <c r="G345" s="4415"/>
      <c r="H345" s="4415"/>
      <c r="I345" s="4554"/>
      <c r="J345" s="4415"/>
      <c r="K345" s="4415"/>
      <c r="L345" s="4479"/>
    </row>
    <row r="346" spans="1:14" ht="30" customHeight="1" x14ac:dyDescent="0.2">
      <c r="A346" s="2269">
        <v>242</v>
      </c>
      <c r="B346" s="2267" t="s">
        <v>100</v>
      </c>
      <c r="C346" s="2238" t="s">
        <v>1652</v>
      </c>
      <c r="D346" s="2213">
        <v>140000000</v>
      </c>
      <c r="E346" s="2210">
        <v>4.4999999999999998E-2</v>
      </c>
      <c r="F346" s="2213">
        <f t="shared" si="29"/>
        <v>6300000</v>
      </c>
      <c r="G346" s="2213">
        <v>6300000</v>
      </c>
      <c r="H346" s="2213" t="s">
        <v>3966</v>
      </c>
      <c r="I346" s="21" t="s">
        <v>3493</v>
      </c>
      <c r="J346" s="2213">
        <f>G346</f>
        <v>6300000</v>
      </c>
      <c r="K346" s="2213">
        <f t="shared" ref="K346:K358" si="38">F346-J346</f>
        <v>0</v>
      </c>
      <c r="L346" s="2292"/>
    </row>
    <row r="347" spans="1:14" ht="30" customHeight="1" x14ac:dyDescent="0.2">
      <c r="A347" s="2269">
        <v>243</v>
      </c>
      <c r="B347" s="19" t="s">
        <v>507</v>
      </c>
      <c r="C347" s="2266" t="s">
        <v>262</v>
      </c>
      <c r="D347" s="2201">
        <v>20000000</v>
      </c>
      <c r="E347" s="2265">
        <v>0.04</v>
      </c>
      <c r="F347" s="2201">
        <f>D347*E347</f>
        <v>800000</v>
      </c>
      <c r="G347" s="2201">
        <v>800000</v>
      </c>
      <c r="H347" s="2201" t="s">
        <v>3994</v>
      </c>
      <c r="I347" s="2201" t="s">
        <v>3564</v>
      </c>
      <c r="J347" s="2201">
        <f>G347</f>
        <v>800000</v>
      </c>
      <c r="K347" s="2201">
        <f t="shared" si="38"/>
        <v>0</v>
      </c>
      <c r="L347" s="2292"/>
      <c r="M347" s="248"/>
      <c r="N347" s="248"/>
    </row>
    <row r="348" spans="1:14" ht="30" customHeight="1" x14ac:dyDescent="0.2">
      <c r="A348" s="2269">
        <v>244</v>
      </c>
      <c r="B348" s="2206" t="s">
        <v>101</v>
      </c>
      <c r="C348" s="2238" t="s">
        <v>372</v>
      </c>
      <c r="D348" s="2213">
        <v>50000000</v>
      </c>
      <c r="E348" s="2265">
        <v>0.05</v>
      </c>
      <c r="F348" s="2213">
        <f t="shared" si="29"/>
        <v>2500000</v>
      </c>
      <c r="G348" s="2213">
        <v>2500000</v>
      </c>
      <c r="H348" s="2213" t="s">
        <v>3994</v>
      </c>
      <c r="I348" s="21" t="s">
        <v>3530</v>
      </c>
      <c r="J348" s="2213">
        <f>G348</f>
        <v>2500000</v>
      </c>
      <c r="K348" s="2213">
        <f t="shared" si="38"/>
        <v>0</v>
      </c>
      <c r="L348" s="2267"/>
    </row>
    <row r="349" spans="1:14" ht="30" customHeight="1" x14ac:dyDescent="0.2">
      <c r="A349" s="2269">
        <v>245</v>
      </c>
      <c r="B349" s="2267" t="s">
        <v>4060</v>
      </c>
      <c r="C349" s="2238" t="s">
        <v>262</v>
      </c>
      <c r="D349" s="2213">
        <v>70000000</v>
      </c>
      <c r="E349" s="2265">
        <v>0.05</v>
      </c>
      <c r="F349" s="2213">
        <f t="shared" si="29"/>
        <v>3500000</v>
      </c>
      <c r="G349" s="2213">
        <v>3500000</v>
      </c>
      <c r="H349" s="2213" t="s">
        <v>4062</v>
      </c>
      <c r="I349" s="2241" t="s">
        <v>4066</v>
      </c>
      <c r="J349" s="2213">
        <f>G349</f>
        <v>3500000</v>
      </c>
      <c r="K349" s="2213">
        <f t="shared" si="38"/>
        <v>0</v>
      </c>
      <c r="L349" s="2271" t="s">
        <v>4058</v>
      </c>
    </row>
    <row r="350" spans="1:14" ht="30" customHeight="1" x14ac:dyDescent="0.2">
      <c r="A350" s="2269">
        <v>246</v>
      </c>
      <c r="B350" s="2267" t="s">
        <v>103</v>
      </c>
      <c r="C350" s="2238" t="s">
        <v>262</v>
      </c>
      <c r="D350" s="2213">
        <v>85000000</v>
      </c>
      <c r="E350" s="2265">
        <v>5.0999999999999997E-2</v>
      </c>
      <c r="F350" s="2213">
        <v>4300000</v>
      </c>
      <c r="G350" s="2213">
        <v>4300000</v>
      </c>
      <c r="H350" s="2213" t="s">
        <v>4045</v>
      </c>
      <c r="I350" s="27" t="s">
        <v>2864</v>
      </c>
      <c r="J350" s="2213">
        <f t="shared" ref="J350:J359" si="39">G350</f>
        <v>4300000</v>
      </c>
      <c r="K350" s="2213">
        <f t="shared" si="38"/>
        <v>0</v>
      </c>
      <c r="L350" s="2267"/>
    </row>
    <row r="351" spans="1:14" ht="30" customHeight="1" x14ac:dyDescent="0.2">
      <c r="A351" s="2269">
        <v>247</v>
      </c>
      <c r="B351" s="2267" t="s">
        <v>104</v>
      </c>
      <c r="C351" s="2238" t="s">
        <v>262</v>
      </c>
      <c r="D351" s="2213">
        <v>220000000</v>
      </c>
      <c r="E351" s="2265">
        <v>7.0000000000000007E-2</v>
      </c>
      <c r="F351" s="2213">
        <f t="shared" si="29"/>
        <v>15400000.000000002</v>
      </c>
      <c r="G351" s="2213">
        <v>15400000</v>
      </c>
      <c r="H351" s="2213" t="s">
        <v>4045</v>
      </c>
      <c r="I351" s="21" t="s">
        <v>4092</v>
      </c>
      <c r="J351" s="2213">
        <f t="shared" si="39"/>
        <v>15400000</v>
      </c>
      <c r="K351" s="2213">
        <f t="shared" si="38"/>
        <v>0</v>
      </c>
      <c r="L351" s="2292" t="s">
        <v>340</v>
      </c>
      <c r="M351" s="859"/>
      <c r="N351" s="860"/>
    </row>
    <row r="352" spans="1:14" ht="30" customHeight="1" x14ac:dyDescent="0.2">
      <c r="A352" s="4459">
        <v>250</v>
      </c>
      <c r="B352" s="4457" t="s">
        <v>107</v>
      </c>
      <c r="C352" s="4537"/>
      <c r="D352" s="2213">
        <v>200000000</v>
      </c>
      <c r="E352" s="2265">
        <v>0.04</v>
      </c>
      <c r="F352" s="2213">
        <f t="shared" si="29"/>
        <v>8000000</v>
      </c>
      <c r="G352" s="4930" t="s">
        <v>2889</v>
      </c>
      <c r="H352" s="4931"/>
      <c r="I352" s="4931"/>
      <c r="J352" s="4932"/>
      <c r="K352" s="2213">
        <f t="shared" si="38"/>
        <v>8000000</v>
      </c>
      <c r="L352" s="2267"/>
    </row>
    <row r="353" spans="1:15" ht="30" customHeight="1" x14ac:dyDescent="0.2">
      <c r="A353" s="4464"/>
      <c r="B353" s="4488"/>
      <c r="C353" s="4540"/>
      <c r="D353" s="2213">
        <v>110000000</v>
      </c>
      <c r="E353" s="2265">
        <v>0.05</v>
      </c>
      <c r="F353" s="2213">
        <f t="shared" si="29"/>
        <v>5500000</v>
      </c>
      <c r="G353" s="4469" t="s">
        <v>3687</v>
      </c>
      <c r="H353" s="4470"/>
      <c r="I353" s="4470"/>
      <c r="J353" s="4471"/>
      <c r="K353" s="2213">
        <f t="shared" si="38"/>
        <v>5500000</v>
      </c>
      <c r="L353" s="2283"/>
    </row>
    <row r="354" spans="1:15" ht="30" customHeight="1" x14ac:dyDescent="0.2">
      <c r="A354" s="4464"/>
      <c r="B354" s="4488"/>
      <c r="C354" s="4540"/>
      <c r="D354" s="2213">
        <v>26500000</v>
      </c>
      <c r="E354" s="2265"/>
      <c r="F354" s="2213"/>
      <c r="G354" s="4469" t="s">
        <v>4361</v>
      </c>
      <c r="H354" s="4470"/>
      <c r="I354" s="4470"/>
      <c r="J354" s="4471"/>
      <c r="K354" s="2213"/>
      <c r="L354" s="2283"/>
    </row>
    <row r="355" spans="1:15" ht="30" customHeight="1" x14ac:dyDescent="0.2">
      <c r="A355" s="4460"/>
      <c r="B355" s="4458"/>
      <c r="C355" s="4538"/>
      <c r="D355" s="2213">
        <v>100000000</v>
      </c>
      <c r="E355" s="2265"/>
      <c r="F355" s="2213"/>
      <c r="G355" s="4469" t="s">
        <v>4362</v>
      </c>
      <c r="H355" s="4470"/>
      <c r="I355" s="4470"/>
      <c r="J355" s="4471"/>
      <c r="K355" s="2213"/>
      <c r="L355" s="2283"/>
    </row>
    <row r="356" spans="1:15" ht="30" customHeight="1" x14ac:dyDescent="0.2">
      <c r="A356" s="4459">
        <v>251</v>
      </c>
      <c r="B356" s="4599" t="s">
        <v>1830</v>
      </c>
      <c r="C356" s="4537" t="s">
        <v>371</v>
      </c>
      <c r="D356" s="2597">
        <v>90000000</v>
      </c>
      <c r="E356" s="2608">
        <v>0.06</v>
      </c>
      <c r="F356" s="2597">
        <f t="shared" si="29"/>
        <v>5400000</v>
      </c>
      <c r="G356" s="2597">
        <v>5400000</v>
      </c>
      <c r="H356" s="2597" t="s">
        <v>4038</v>
      </c>
      <c r="I356" s="21" t="s">
        <v>2838</v>
      </c>
      <c r="J356" s="2599">
        <f t="shared" si="39"/>
        <v>5400000</v>
      </c>
      <c r="K356" s="2599">
        <f t="shared" si="38"/>
        <v>0</v>
      </c>
      <c r="L356" s="2283"/>
    </row>
    <row r="357" spans="1:15" ht="30" customHeight="1" x14ac:dyDescent="0.2">
      <c r="A357" s="4460"/>
      <c r="B357" s="4607"/>
      <c r="C357" s="4538"/>
      <c r="D357" s="2599">
        <v>100000000</v>
      </c>
      <c r="E357" s="2600">
        <v>7.0000000000000007E-2</v>
      </c>
      <c r="F357" s="2599">
        <f>D357*E357</f>
        <v>7000000.0000000009</v>
      </c>
      <c r="G357" s="4469" t="s">
        <v>4646</v>
      </c>
      <c r="H357" s="4470"/>
      <c r="I357" s="4470"/>
      <c r="J357" s="4471"/>
      <c r="K357" s="2599"/>
      <c r="L357" s="2604"/>
    </row>
    <row r="358" spans="1:15" ht="30" customHeight="1" x14ac:dyDescent="0.2">
      <c r="A358" s="2269">
        <v>252</v>
      </c>
      <c r="B358" s="2206" t="s">
        <v>109</v>
      </c>
      <c r="C358" s="2238" t="s">
        <v>262</v>
      </c>
      <c r="D358" s="2213">
        <v>270000000</v>
      </c>
      <c r="E358" s="2210">
        <v>0.05</v>
      </c>
      <c r="F358" s="2213">
        <f>D358*E358</f>
        <v>13500000</v>
      </c>
      <c r="G358" s="2213">
        <v>13500000</v>
      </c>
      <c r="H358" s="2213" t="s">
        <v>4017</v>
      </c>
      <c r="I358" s="21" t="s">
        <v>1810</v>
      </c>
      <c r="J358" s="2213">
        <f t="shared" si="39"/>
        <v>13500000</v>
      </c>
      <c r="K358" s="2213">
        <f t="shared" si="38"/>
        <v>0</v>
      </c>
      <c r="L358" s="2205"/>
    </row>
    <row r="359" spans="1:15" ht="30" customHeight="1" x14ac:dyDescent="0.2">
      <c r="A359" s="4459">
        <v>253</v>
      </c>
      <c r="B359" s="4457" t="s">
        <v>110</v>
      </c>
      <c r="C359" s="4537" t="s">
        <v>262</v>
      </c>
      <c r="D359" s="2213">
        <v>20000000</v>
      </c>
      <c r="E359" s="2265">
        <v>0.05</v>
      </c>
      <c r="F359" s="2213">
        <f t="shared" si="29"/>
        <v>1000000</v>
      </c>
      <c r="G359" s="4413">
        <v>2000000</v>
      </c>
      <c r="H359" s="4413" t="s">
        <v>4017</v>
      </c>
      <c r="I359" s="4558" t="s">
        <v>3538</v>
      </c>
      <c r="J359" s="4413">
        <f t="shared" si="39"/>
        <v>2000000</v>
      </c>
      <c r="K359" s="4413">
        <f>(F359+F360)-J359</f>
        <v>0</v>
      </c>
      <c r="L359" s="2283" t="s">
        <v>1855</v>
      </c>
      <c r="M359" s="1176"/>
      <c r="N359" s="1176"/>
      <c r="O359" s="1176"/>
    </row>
    <row r="360" spans="1:15" ht="30" customHeight="1" x14ac:dyDescent="0.2">
      <c r="A360" s="4460"/>
      <c r="B360" s="4458"/>
      <c r="C360" s="4538"/>
      <c r="D360" s="2213">
        <v>20000000</v>
      </c>
      <c r="E360" s="2265">
        <v>0.05</v>
      </c>
      <c r="F360" s="2213">
        <f t="shared" si="29"/>
        <v>1000000</v>
      </c>
      <c r="G360" s="4415"/>
      <c r="H360" s="4415"/>
      <c r="I360" s="4560"/>
      <c r="J360" s="4415"/>
      <c r="K360" s="4415"/>
      <c r="L360" s="2283" t="s">
        <v>1869</v>
      </c>
      <c r="M360" s="248"/>
      <c r="N360" s="248"/>
      <c r="O360" s="248"/>
    </row>
    <row r="361" spans="1:15" ht="30" customHeight="1" x14ac:dyDescent="0.2">
      <c r="A361" s="2202">
        <v>254</v>
      </c>
      <c r="B361" s="2263" t="s">
        <v>1893</v>
      </c>
      <c r="C361" s="2266" t="s">
        <v>371</v>
      </c>
      <c r="D361" s="2213">
        <v>175000000</v>
      </c>
      <c r="E361" s="2265">
        <v>0.05</v>
      </c>
      <c r="F361" s="2213">
        <f t="shared" si="29"/>
        <v>8750000</v>
      </c>
      <c r="G361" s="2201">
        <v>8960000</v>
      </c>
      <c r="H361" s="2201" t="s">
        <v>4076</v>
      </c>
      <c r="I361" s="2201" t="s">
        <v>2946</v>
      </c>
      <c r="J361" s="2213">
        <f>G361</f>
        <v>8960000</v>
      </c>
      <c r="K361" s="2213">
        <f>F361-J361</f>
        <v>-210000</v>
      </c>
      <c r="L361" s="2283" t="s">
        <v>3953</v>
      </c>
      <c r="M361" s="1663"/>
      <c r="N361" s="1663"/>
      <c r="O361" s="1663"/>
    </row>
    <row r="362" spans="1:15" ht="30" customHeight="1" x14ac:dyDescent="0.2">
      <c r="A362" s="2269">
        <v>255</v>
      </c>
      <c r="B362" s="2267" t="s">
        <v>112</v>
      </c>
      <c r="C362" s="2238" t="s">
        <v>262</v>
      </c>
      <c r="D362" s="2213">
        <v>40000000</v>
      </c>
      <c r="E362" s="2265">
        <v>0.05</v>
      </c>
      <c r="F362" s="2213">
        <f t="shared" si="29"/>
        <v>2000000</v>
      </c>
      <c r="G362" s="2213">
        <v>2000000</v>
      </c>
      <c r="H362" s="2213" t="s">
        <v>4076</v>
      </c>
      <c r="I362" s="18" t="s">
        <v>3539</v>
      </c>
      <c r="J362" s="2213">
        <f>G362</f>
        <v>2000000</v>
      </c>
      <c r="K362" s="2213">
        <f>F362-J362</f>
        <v>0</v>
      </c>
      <c r="L362" s="2267"/>
    </row>
    <row r="363" spans="1:15" ht="30" customHeight="1" x14ac:dyDescent="0.2">
      <c r="A363" s="2269">
        <v>256</v>
      </c>
      <c r="B363" s="2267" t="s">
        <v>113</v>
      </c>
      <c r="C363" s="2238" t="s">
        <v>371</v>
      </c>
      <c r="D363" s="2213">
        <v>100000000</v>
      </c>
      <c r="E363" s="2265">
        <v>0.05</v>
      </c>
      <c r="F363" s="2213">
        <f t="shared" si="29"/>
        <v>5000000</v>
      </c>
      <c r="G363" s="2213">
        <v>5000000</v>
      </c>
      <c r="H363" s="2213" t="s">
        <v>4017</v>
      </c>
      <c r="I363" s="18" t="s">
        <v>331</v>
      </c>
      <c r="J363" s="2213">
        <f>G363</f>
        <v>5000000</v>
      </c>
      <c r="K363" s="2213">
        <f>F363-J363</f>
        <v>0</v>
      </c>
      <c r="L363" s="2267"/>
    </row>
    <row r="364" spans="1:15" ht="30" customHeight="1" x14ac:dyDescent="0.2">
      <c r="A364" s="2269">
        <v>257</v>
      </c>
      <c r="B364" s="2267" t="s">
        <v>114</v>
      </c>
      <c r="C364" s="2238" t="s">
        <v>1292</v>
      </c>
      <c r="D364" s="2213">
        <v>30000000</v>
      </c>
      <c r="E364" s="2265">
        <v>0.05</v>
      </c>
      <c r="F364" s="2213">
        <f t="shared" si="29"/>
        <v>1500000</v>
      </c>
      <c r="G364" s="2213">
        <v>1500000</v>
      </c>
      <c r="H364" s="2213" t="s">
        <v>4062</v>
      </c>
      <c r="I364" s="21" t="s">
        <v>482</v>
      </c>
      <c r="J364" s="2213">
        <f>G364</f>
        <v>1500000</v>
      </c>
      <c r="K364" s="2213">
        <f>F364-J364</f>
        <v>0</v>
      </c>
      <c r="L364" s="2267"/>
    </row>
    <row r="365" spans="1:15" ht="30" customHeight="1" x14ac:dyDescent="0.2">
      <c r="A365" s="2269">
        <v>258</v>
      </c>
      <c r="B365" s="2267" t="s">
        <v>849</v>
      </c>
      <c r="C365" s="2238" t="s">
        <v>262</v>
      </c>
      <c r="D365" s="2213">
        <v>12000000</v>
      </c>
      <c r="E365" s="2265">
        <v>0.05</v>
      </c>
      <c r="F365" s="2213">
        <f t="shared" si="29"/>
        <v>600000</v>
      </c>
      <c r="G365" s="4413">
        <v>1600000</v>
      </c>
      <c r="H365" s="4413" t="s">
        <v>4076</v>
      </c>
      <c r="I365" s="4553" t="s">
        <v>475</v>
      </c>
      <c r="J365" s="4413">
        <f>G365</f>
        <v>1600000</v>
      </c>
      <c r="K365" s="4413">
        <f>(F365+F366)-J365</f>
        <v>0</v>
      </c>
      <c r="L365" s="4599"/>
    </row>
    <row r="366" spans="1:15" ht="30" customHeight="1" x14ac:dyDescent="0.2">
      <c r="A366" s="2269">
        <v>259</v>
      </c>
      <c r="B366" s="2267" t="s">
        <v>156</v>
      </c>
      <c r="C366" s="2238" t="s">
        <v>262</v>
      </c>
      <c r="D366" s="2213">
        <v>20000000</v>
      </c>
      <c r="E366" s="2265">
        <v>0.05</v>
      </c>
      <c r="F366" s="2213">
        <f>D366*E366</f>
        <v>1000000</v>
      </c>
      <c r="G366" s="4415"/>
      <c r="H366" s="4415"/>
      <c r="I366" s="4554"/>
      <c r="J366" s="4415"/>
      <c r="K366" s="4415"/>
      <c r="L366" s="4607"/>
    </row>
    <row r="367" spans="1:15" ht="30" customHeight="1" x14ac:dyDescent="0.2">
      <c r="A367" s="4459">
        <v>261</v>
      </c>
      <c r="B367" s="4457" t="s">
        <v>117</v>
      </c>
      <c r="C367" s="2238" t="s">
        <v>1300</v>
      </c>
      <c r="D367" s="2213">
        <v>10500000</v>
      </c>
      <c r="E367" s="2265">
        <v>0.05</v>
      </c>
      <c r="F367" s="2213">
        <f t="shared" si="29"/>
        <v>525000</v>
      </c>
      <c r="G367" s="2201"/>
      <c r="H367" s="2201"/>
      <c r="I367" s="18" t="s">
        <v>3671</v>
      </c>
      <c r="J367" s="2201">
        <f t="shared" ref="J367:J372" si="40">G367</f>
        <v>0</v>
      </c>
      <c r="K367" s="2213">
        <f>F367-J367</f>
        <v>525000</v>
      </c>
      <c r="L367" s="2283"/>
    </row>
    <row r="368" spans="1:15" ht="30" customHeight="1" x14ac:dyDescent="0.2">
      <c r="A368" s="4464"/>
      <c r="B368" s="4488"/>
      <c r="C368" s="2238" t="s">
        <v>3323</v>
      </c>
      <c r="D368" s="2213">
        <v>10000000</v>
      </c>
      <c r="E368" s="2265">
        <v>7.0000000000000007E-2</v>
      </c>
      <c r="F368" s="2213">
        <f>D368*E368</f>
        <v>700000.00000000012</v>
      </c>
      <c r="G368" s="2201"/>
      <c r="H368" s="2201"/>
      <c r="I368" s="18" t="s">
        <v>414</v>
      </c>
      <c r="J368" s="2201">
        <f t="shared" si="40"/>
        <v>0</v>
      </c>
      <c r="K368" s="2213"/>
      <c r="L368" s="2250"/>
    </row>
    <row r="369" spans="1:15" ht="30" customHeight="1" x14ac:dyDescent="0.2">
      <c r="A369" s="4464"/>
      <c r="B369" s="4488"/>
      <c r="C369" s="2238" t="s">
        <v>262</v>
      </c>
      <c r="D369" s="2213">
        <v>5000000</v>
      </c>
      <c r="E369" s="2265">
        <v>7.0000000000000007E-2</v>
      </c>
      <c r="F369" s="2213">
        <f>D369*E369</f>
        <v>350000.00000000006</v>
      </c>
      <c r="G369" s="2201"/>
      <c r="H369" s="2201"/>
      <c r="I369" s="18" t="s">
        <v>414</v>
      </c>
      <c r="J369" s="2201">
        <f t="shared" si="40"/>
        <v>0</v>
      </c>
      <c r="K369" s="2213">
        <f>F369-J369</f>
        <v>350000.00000000006</v>
      </c>
      <c r="L369" s="2250"/>
    </row>
    <row r="370" spans="1:15" ht="30" customHeight="1" x14ac:dyDescent="0.2">
      <c r="A370" s="4460"/>
      <c r="B370" s="4458"/>
      <c r="C370" s="2238"/>
      <c r="D370" s="2213"/>
      <c r="E370" s="2265"/>
      <c r="F370" s="2213"/>
      <c r="G370" s="2201"/>
      <c r="H370" s="2201"/>
      <c r="I370" s="18" t="s">
        <v>3671</v>
      </c>
      <c r="J370" s="2201">
        <f t="shared" si="40"/>
        <v>0</v>
      </c>
      <c r="K370" s="2213"/>
      <c r="L370" s="2250"/>
    </row>
    <row r="371" spans="1:15" ht="30" customHeight="1" x14ac:dyDescent="0.2">
      <c r="A371" s="2269">
        <v>263</v>
      </c>
      <c r="B371" s="19" t="s">
        <v>572</v>
      </c>
      <c r="C371" s="2266"/>
      <c r="D371" s="2201">
        <v>105000000</v>
      </c>
      <c r="E371" s="2265">
        <v>5.8000000000000003E-2</v>
      </c>
      <c r="F371" s="2201">
        <v>6000000</v>
      </c>
      <c r="G371" s="2201">
        <v>6000000</v>
      </c>
      <c r="H371" s="2201" t="s">
        <v>4045</v>
      </c>
      <c r="I371" s="2201" t="s">
        <v>451</v>
      </c>
      <c r="J371" s="2201">
        <f t="shared" si="40"/>
        <v>6000000</v>
      </c>
      <c r="K371" s="2201">
        <f>F371-J371</f>
        <v>0</v>
      </c>
      <c r="L371" s="2247" t="s">
        <v>3478</v>
      </c>
    </row>
    <row r="372" spans="1:15" ht="30" customHeight="1" x14ac:dyDescent="0.2">
      <c r="A372" s="2204">
        <v>264</v>
      </c>
      <c r="B372" s="2206" t="s">
        <v>119</v>
      </c>
      <c r="C372" s="2238" t="s">
        <v>262</v>
      </c>
      <c r="D372" s="2213">
        <v>50000000</v>
      </c>
      <c r="E372" s="2210">
        <f>F372/D372</f>
        <v>0.06</v>
      </c>
      <c r="F372" s="2213">
        <v>3000000</v>
      </c>
      <c r="G372" s="2213">
        <v>3000000</v>
      </c>
      <c r="H372" s="2229" t="s">
        <v>4017</v>
      </c>
      <c r="I372" s="24" t="s">
        <v>3563</v>
      </c>
      <c r="J372" s="2213">
        <f t="shared" si="40"/>
        <v>3000000</v>
      </c>
      <c r="K372" s="2213">
        <f>F372-J372</f>
        <v>0</v>
      </c>
      <c r="L372" s="2283" t="s">
        <v>3860</v>
      </c>
    </row>
    <row r="373" spans="1:15" ht="30" customHeight="1" x14ac:dyDescent="0.2">
      <c r="A373" s="4459">
        <v>265</v>
      </c>
      <c r="B373" s="4615" t="s">
        <v>121</v>
      </c>
      <c r="C373" s="4620" t="s">
        <v>262</v>
      </c>
      <c r="D373" s="4413">
        <v>1000000000</v>
      </c>
      <c r="E373" s="4476">
        <v>7.0000000000000007E-2</v>
      </c>
      <c r="F373" s="4413">
        <f>D373*E373</f>
        <v>70000000</v>
      </c>
      <c r="G373" s="2201">
        <v>30000000</v>
      </c>
      <c r="H373" s="2201" t="s">
        <v>3966</v>
      </c>
      <c r="I373" s="2201" t="s">
        <v>3290</v>
      </c>
      <c r="J373" s="4413">
        <f>G373+G374</f>
        <v>70000000</v>
      </c>
      <c r="K373" s="4413">
        <f>F373-J373</f>
        <v>0</v>
      </c>
      <c r="L373" s="2247" t="s">
        <v>3283</v>
      </c>
    </row>
    <row r="374" spans="1:15" ht="30" customHeight="1" x14ac:dyDescent="0.2">
      <c r="A374" s="4464"/>
      <c r="B374" s="4615"/>
      <c r="C374" s="4620"/>
      <c r="D374" s="4415"/>
      <c r="E374" s="4477"/>
      <c r="F374" s="4415"/>
      <c r="G374" s="2201">
        <v>40000000</v>
      </c>
      <c r="H374" s="2201" t="s">
        <v>4017</v>
      </c>
      <c r="I374" s="2201" t="s">
        <v>3290</v>
      </c>
      <c r="J374" s="4415"/>
      <c r="K374" s="4415"/>
      <c r="L374" s="1541"/>
    </row>
    <row r="375" spans="1:15" ht="30" customHeight="1" x14ac:dyDescent="0.2">
      <c r="A375" s="2269">
        <v>266</v>
      </c>
      <c r="B375" s="2206" t="s">
        <v>1918</v>
      </c>
      <c r="C375" s="2238"/>
      <c r="D375" s="2213">
        <v>80000000</v>
      </c>
      <c r="E375" s="2210">
        <v>4.4999999999999998E-2</v>
      </c>
      <c r="F375" s="2213">
        <f t="shared" ref="F375:F441" si="41">D375*E375</f>
        <v>3600000</v>
      </c>
      <c r="G375" s="2213">
        <v>3600000</v>
      </c>
      <c r="H375" s="2213" t="s">
        <v>4062</v>
      </c>
      <c r="I375" s="18" t="s">
        <v>4067</v>
      </c>
      <c r="J375" s="2213">
        <f>G375</f>
        <v>3600000</v>
      </c>
      <c r="K375" s="2213">
        <f>F375-J375</f>
        <v>0</v>
      </c>
      <c r="L375" s="2267"/>
    </row>
    <row r="376" spans="1:15" ht="30" customHeight="1" x14ac:dyDescent="0.2">
      <c r="A376" s="4459">
        <v>267</v>
      </c>
      <c r="B376" s="4457" t="s">
        <v>497</v>
      </c>
      <c r="C376" s="4537" t="s">
        <v>371</v>
      </c>
      <c r="D376" s="4413">
        <v>300000000</v>
      </c>
      <c r="E376" s="4476">
        <v>0.04</v>
      </c>
      <c r="F376" s="4413">
        <f>D376*E376</f>
        <v>12000000</v>
      </c>
      <c r="G376" s="4413">
        <v>12000000</v>
      </c>
      <c r="H376" s="4413" t="s">
        <v>4045</v>
      </c>
      <c r="I376" s="4413" t="s">
        <v>3579</v>
      </c>
      <c r="J376" s="4413">
        <f>G376</f>
        <v>12000000</v>
      </c>
      <c r="K376" s="4413">
        <f>F376-J376</f>
        <v>0</v>
      </c>
      <c r="L376" s="2247" t="s">
        <v>2891</v>
      </c>
    </row>
    <row r="377" spans="1:15" ht="30" customHeight="1" x14ac:dyDescent="0.2">
      <c r="A377" s="4460"/>
      <c r="B377" s="4458"/>
      <c r="C377" s="4538"/>
      <c r="D377" s="4415"/>
      <c r="E377" s="4477"/>
      <c r="F377" s="4415"/>
      <c r="G377" s="4415"/>
      <c r="H377" s="4415"/>
      <c r="I377" s="4415"/>
      <c r="J377" s="4415"/>
      <c r="K377" s="4415"/>
      <c r="L377" s="2247" t="s">
        <v>3380</v>
      </c>
    </row>
    <row r="378" spans="1:15" ht="30" customHeight="1" x14ac:dyDescent="0.2">
      <c r="A378" s="2269">
        <v>268</v>
      </c>
      <c r="B378" s="2267" t="s">
        <v>391</v>
      </c>
      <c r="C378" s="2238" t="s">
        <v>392</v>
      </c>
      <c r="D378" s="2213">
        <v>130000000</v>
      </c>
      <c r="E378" s="2265">
        <v>4.4999999999999998E-2</v>
      </c>
      <c r="F378" s="2213">
        <f t="shared" si="41"/>
        <v>5850000</v>
      </c>
      <c r="G378" s="2213">
        <v>5850000</v>
      </c>
      <c r="H378" s="2213" t="s">
        <v>4045</v>
      </c>
      <c r="I378" s="18" t="s">
        <v>3518</v>
      </c>
      <c r="J378" s="2213">
        <f>G378</f>
        <v>5850000</v>
      </c>
      <c r="K378" s="2213">
        <f>F378-J378</f>
        <v>0</v>
      </c>
      <c r="L378" s="2267"/>
    </row>
    <row r="379" spans="1:15" ht="30" customHeight="1" x14ac:dyDescent="0.2">
      <c r="A379" s="2269">
        <v>269</v>
      </c>
      <c r="B379" s="2267" t="s">
        <v>123</v>
      </c>
      <c r="C379" s="2238" t="s">
        <v>262</v>
      </c>
      <c r="D379" s="2213">
        <v>300000000</v>
      </c>
      <c r="E379" s="2265">
        <v>0.05</v>
      </c>
      <c r="F379" s="2213">
        <f t="shared" si="41"/>
        <v>15000000</v>
      </c>
      <c r="G379" s="2213">
        <v>15000000</v>
      </c>
      <c r="H379" s="2213" t="s">
        <v>4017</v>
      </c>
      <c r="I379" s="21" t="s">
        <v>3546</v>
      </c>
      <c r="J379" s="2213">
        <f>G379</f>
        <v>15000000</v>
      </c>
      <c r="K379" s="2213">
        <f>F379-J379</f>
        <v>0</v>
      </c>
      <c r="L379" s="2267"/>
    </row>
    <row r="380" spans="1:15" ht="30" customHeight="1" x14ac:dyDescent="0.2">
      <c r="A380" s="2269">
        <v>270</v>
      </c>
      <c r="B380" s="2267" t="s">
        <v>124</v>
      </c>
      <c r="C380" s="2238"/>
      <c r="D380" s="2213">
        <v>20000000</v>
      </c>
      <c r="E380" s="2265">
        <v>5.5E-2</v>
      </c>
      <c r="F380" s="2213">
        <f t="shared" si="41"/>
        <v>1100000</v>
      </c>
      <c r="G380" s="2213">
        <v>1000000</v>
      </c>
      <c r="H380" s="2213" t="s">
        <v>4076</v>
      </c>
      <c r="I380" s="21" t="s">
        <v>492</v>
      </c>
      <c r="J380" s="2213">
        <f>G380</f>
        <v>1000000</v>
      </c>
      <c r="K380" s="2213">
        <f>F380-J380</f>
        <v>100000</v>
      </c>
      <c r="L380" s="2292" t="s">
        <v>4083</v>
      </c>
    </row>
    <row r="381" spans="1:15" ht="30" customHeight="1" x14ac:dyDescent="0.2">
      <c r="A381" s="4459">
        <v>271</v>
      </c>
      <c r="B381" s="4457" t="s">
        <v>125</v>
      </c>
      <c r="C381" s="2266" t="s">
        <v>359</v>
      </c>
      <c r="D381" s="2201">
        <v>40000000</v>
      </c>
      <c r="E381" s="2265">
        <v>5.5E-2</v>
      </c>
      <c r="F381" s="2201">
        <f t="shared" si="41"/>
        <v>2200000</v>
      </c>
      <c r="G381" s="2201">
        <v>2200000</v>
      </c>
      <c r="H381" s="2201" t="s">
        <v>4062</v>
      </c>
      <c r="I381" s="18" t="s">
        <v>3573</v>
      </c>
      <c r="J381" s="2201">
        <f>G381</f>
        <v>2200000</v>
      </c>
      <c r="K381" s="2201">
        <f>F381-J381</f>
        <v>0</v>
      </c>
      <c r="L381" s="2267"/>
    </row>
    <row r="382" spans="1:15" ht="30" customHeight="1" x14ac:dyDescent="0.2">
      <c r="A382" s="4464"/>
      <c r="B382" s="4488"/>
      <c r="C382" s="4537" t="s">
        <v>1796</v>
      </c>
      <c r="D382" s="2213">
        <v>10000000</v>
      </c>
      <c r="E382" s="2210">
        <v>0.04</v>
      </c>
      <c r="F382" s="2213">
        <f t="shared" si="41"/>
        <v>400000</v>
      </c>
      <c r="G382" s="4413">
        <v>900000</v>
      </c>
      <c r="H382" s="4413" t="s">
        <v>4190</v>
      </c>
      <c r="I382" s="4413" t="s">
        <v>503</v>
      </c>
      <c r="J382" s="4413">
        <f>G382</f>
        <v>900000</v>
      </c>
      <c r="K382" s="4413">
        <f>(F382+F383)-J382</f>
        <v>0</v>
      </c>
      <c r="L382" s="4838" t="s">
        <v>4263</v>
      </c>
      <c r="M382" s="2060"/>
      <c r="N382" s="2060"/>
      <c r="O382" s="2060"/>
    </row>
    <row r="383" spans="1:15" ht="30" customHeight="1" x14ac:dyDescent="0.2">
      <c r="A383" s="4460"/>
      <c r="B383" s="4458"/>
      <c r="C383" s="4538"/>
      <c r="D383" s="2213">
        <v>10000000</v>
      </c>
      <c r="E383" s="2210">
        <v>0.05</v>
      </c>
      <c r="F383" s="2213">
        <f t="shared" si="41"/>
        <v>500000</v>
      </c>
      <c r="G383" s="4415"/>
      <c r="H383" s="4415"/>
      <c r="I383" s="4415"/>
      <c r="J383" s="4415"/>
      <c r="K383" s="4415"/>
      <c r="L383" s="4838"/>
      <c r="M383" s="248"/>
      <c r="N383" s="248"/>
      <c r="O383" s="248"/>
    </row>
    <row r="384" spans="1:15" ht="30" customHeight="1" x14ac:dyDescent="0.2">
      <c r="A384" s="4459"/>
      <c r="B384" s="4615" t="s">
        <v>2524</v>
      </c>
      <c r="C384" s="4537" t="s">
        <v>1287</v>
      </c>
      <c r="D384" s="2284">
        <v>495000000</v>
      </c>
      <c r="E384" s="2294">
        <v>5.5E-2</v>
      </c>
      <c r="F384" s="2284">
        <f>D384*E384</f>
        <v>27225000</v>
      </c>
      <c r="G384" s="4864" t="s">
        <v>3673</v>
      </c>
      <c r="H384" s="4864"/>
      <c r="I384" s="4864"/>
      <c r="J384" s="4864"/>
      <c r="K384" s="4413">
        <f>F388-J388</f>
        <v>-15000</v>
      </c>
      <c r="L384" s="4643" t="s">
        <v>3953</v>
      </c>
    </row>
    <row r="385" spans="1:12" ht="30" customHeight="1" x14ac:dyDescent="0.2">
      <c r="A385" s="4464"/>
      <c r="B385" s="4615"/>
      <c r="C385" s="4540"/>
      <c r="D385" s="2284">
        <v>65000000</v>
      </c>
      <c r="E385" s="2294">
        <v>0.06</v>
      </c>
      <c r="F385" s="2284">
        <f>D385*E385</f>
        <v>3900000</v>
      </c>
      <c r="G385" s="4864"/>
      <c r="H385" s="4864"/>
      <c r="I385" s="4864"/>
      <c r="J385" s="4864"/>
      <c r="K385" s="4414"/>
      <c r="L385" s="4647"/>
    </row>
    <row r="386" spans="1:12" ht="30" customHeight="1" x14ac:dyDescent="0.2">
      <c r="A386" s="4464"/>
      <c r="B386" s="4615"/>
      <c r="C386" s="4540"/>
      <c r="D386" s="2284">
        <v>246000000</v>
      </c>
      <c r="E386" s="2294">
        <v>0.06</v>
      </c>
      <c r="F386" s="2284">
        <f>D386*E386</f>
        <v>14760000</v>
      </c>
      <c r="G386" s="4864"/>
      <c r="H386" s="4864"/>
      <c r="I386" s="4864"/>
      <c r="J386" s="4864"/>
      <c r="K386" s="4414"/>
      <c r="L386" s="4647"/>
    </row>
    <row r="387" spans="1:12" ht="30" customHeight="1" x14ac:dyDescent="0.2">
      <c r="A387" s="4464"/>
      <c r="B387" s="4615"/>
      <c r="C387" s="4540"/>
      <c r="D387" s="4822" t="s">
        <v>1787</v>
      </c>
      <c r="E387" s="4823"/>
      <c r="F387" s="2284">
        <v>1300000</v>
      </c>
      <c r="G387" s="4864"/>
      <c r="H387" s="4864"/>
      <c r="I387" s="4864"/>
      <c r="J387" s="4864"/>
      <c r="K387" s="4414"/>
      <c r="L387" s="4647"/>
    </row>
    <row r="388" spans="1:12" ht="30" customHeight="1" x14ac:dyDescent="0.2">
      <c r="A388" s="4464"/>
      <c r="B388" s="4615"/>
      <c r="C388" s="4540"/>
      <c r="D388" s="4832">
        <f>D384+D385+D386</f>
        <v>806000000</v>
      </c>
      <c r="E388" s="4834"/>
      <c r="F388" s="4504">
        <f>F384+F385+F386+F387</f>
        <v>47185000</v>
      </c>
      <c r="G388" s="18">
        <v>20000000</v>
      </c>
      <c r="H388" s="18" t="s">
        <v>4045</v>
      </c>
      <c r="I388" s="18" t="s">
        <v>4051</v>
      </c>
      <c r="J388" s="4553">
        <f>G388+G389</f>
        <v>47200000</v>
      </c>
      <c r="K388" s="4414"/>
      <c r="L388" s="4647"/>
    </row>
    <row r="389" spans="1:12" ht="30" customHeight="1" x14ac:dyDescent="0.2">
      <c r="A389" s="4464"/>
      <c r="B389" s="4615"/>
      <c r="C389" s="4540"/>
      <c r="D389" s="4835"/>
      <c r="E389" s="4837"/>
      <c r="F389" s="4505"/>
      <c r="G389" s="18">
        <v>27200000</v>
      </c>
      <c r="H389" s="18" t="s">
        <v>4076</v>
      </c>
      <c r="I389" s="18" t="s">
        <v>815</v>
      </c>
      <c r="J389" s="4554"/>
      <c r="K389" s="4415"/>
      <c r="L389" s="4644"/>
    </row>
    <row r="390" spans="1:12" ht="30" customHeight="1" x14ac:dyDescent="0.2">
      <c r="A390" s="2269">
        <v>273</v>
      </c>
      <c r="B390" s="2267" t="s">
        <v>127</v>
      </c>
      <c r="C390" s="2266" t="s">
        <v>1291</v>
      </c>
      <c r="D390" s="2213">
        <v>20000000</v>
      </c>
      <c r="E390" s="2265">
        <v>0.05</v>
      </c>
      <c r="F390" s="2213">
        <f t="shared" si="41"/>
        <v>1000000</v>
      </c>
      <c r="G390" s="2213">
        <v>1000000</v>
      </c>
      <c r="H390" s="2213" t="s">
        <v>4062</v>
      </c>
      <c r="I390" s="21" t="s">
        <v>3663</v>
      </c>
      <c r="J390" s="2213">
        <f>G390</f>
        <v>1000000</v>
      </c>
      <c r="K390" s="2213">
        <f>F390-J390</f>
        <v>0</v>
      </c>
      <c r="L390" s="2267"/>
    </row>
    <row r="391" spans="1:12" ht="30" customHeight="1" x14ac:dyDescent="0.2">
      <c r="A391" s="4459">
        <v>274</v>
      </c>
      <c r="B391" s="2263" t="s">
        <v>128</v>
      </c>
      <c r="C391" s="345"/>
      <c r="D391" s="2213">
        <v>50000000</v>
      </c>
      <c r="E391" s="2265">
        <v>0.05</v>
      </c>
      <c r="F391" s="2213">
        <f>D391*E391</f>
        <v>2500000</v>
      </c>
      <c r="G391" s="4725" t="s">
        <v>5041</v>
      </c>
      <c r="H391" s="4726"/>
      <c r="I391" s="4726"/>
      <c r="J391" s="4727"/>
      <c r="K391" s="2213">
        <f>F391-J391</f>
        <v>2500000</v>
      </c>
      <c r="L391" s="162"/>
    </row>
    <row r="392" spans="1:12" ht="30" customHeight="1" x14ac:dyDescent="0.2">
      <c r="A392" s="4460"/>
      <c r="B392" s="2264"/>
      <c r="C392" s="711"/>
      <c r="D392" s="2213">
        <v>50000000</v>
      </c>
      <c r="E392" s="2265">
        <v>0.05</v>
      </c>
      <c r="F392" s="2213">
        <f>D392*E392</f>
        <v>2500000</v>
      </c>
      <c r="G392" s="233"/>
      <c r="H392" s="233"/>
      <c r="I392" s="233"/>
      <c r="J392" s="233"/>
      <c r="K392" s="2213"/>
      <c r="L392" s="2292" t="s">
        <v>3385</v>
      </c>
    </row>
    <row r="393" spans="1:12" ht="30" customHeight="1" x14ac:dyDescent="0.2">
      <c r="A393" s="2269">
        <v>275</v>
      </c>
      <c r="B393" s="2267" t="s">
        <v>129</v>
      </c>
      <c r="C393" s="2238" t="s">
        <v>1291</v>
      </c>
      <c r="D393" s="2213">
        <v>130000000</v>
      </c>
      <c r="E393" s="2265">
        <v>0.05</v>
      </c>
      <c r="F393" s="2213">
        <f t="shared" si="41"/>
        <v>6500000</v>
      </c>
      <c r="G393" s="2213">
        <v>6500000</v>
      </c>
      <c r="H393" s="2213" t="s">
        <v>4076</v>
      </c>
      <c r="I393" s="21" t="s">
        <v>2184</v>
      </c>
      <c r="J393" s="2213">
        <f>G393</f>
        <v>6500000</v>
      </c>
      <c r="K393" s="2213">
        <f>F393-J393</f>
        <v>0</v>
      </c>
      <c r="L393" s="2267"/>
    </row>
    <row r="394" spans="1:12" ht="30" customHeight="1" x14ac:dyDescent="0.2">
      <c r="A394" s="4459">
        <v>276</v>
      </c>
      <c r="B394" s="4457" t="s">
        <v>130</v>
      </c>
      <c r="C394" s="4537"/>
      <c r="D394" s="4413">
        <v>95000000</v>
      </c>
      <c r="E394" s="4476">
        <v>5.2999999999999999E-2</v>
      </c>
      <c r="F394" s="4413">
        <v>5000000</v>
      </c>
      <c r="G394" s="2213">
        <v>500000</v>
      </c>
      <c r="H394" s="2213" t="s">
        <v>4146</v>
      </c>
      <c r="I394" s="21" t="s">
        <v>3503</v>
      </c>
      <c r="J394" s="4413">
        <f>G394+G395</f>
        <v>5000000</v>
      </c>
      <c r="K394" s="4413">
        <f>F394-J394</f>
        <v>0</v>
      </c>
      <c r="L394" s="4599"/>
    </row>
    <row r="395" spans="1:12" ht="30" customHeight="1" x14ac:dyDescent="0.2">
      <c r="A395" s="4460"/>
      <c r="B395" s="4458"/>
      <c r="C395" s="4538"/>
      <c r="D395" s="4415"/>
      <c r="E395" s="4477"/>
      <c r="F395" s="4415"/>
      <c r="G395" s="2213">
        <v>4500000</v>
      </c>
      <c r="H395" s="2213" t="s">
        <v>4161</v>
      </c>
      <c r="I395" s="21" t="s">
        <v>3503</v>
      </c>
      <c r="J395" s="4415"/>
      <c r="K395" s="4415"/>
      <c r="L395" s="4607"/>
    </row>
    <row r="396" spans="1:12" ht="30" customHeight="1" x14ac:dyDescent="0.2">
      <c r="A396" s="2269">
        <v>277</v>
      </c>
      <c r="B396" s="2267" t="s">
        <v>131</v>
      </c>
      <c r="C396" s="2238" t="s">
        <v>2849</v>
      </c>
      <c r="D396" s="2213">
        <v>200000000</v>
      </c>
      <c r="E396" s="2265">
        <v>0.05</v>
      </c>
      <c r="F396" s="2213">
        <f t="shared" si="41"/>
        <v>10000000</v>
      </c>
      <c r="G396" s="2213">
        <v>10000000</v>
      </c>
      <c r="H396" s="2213" t="s">
        <v>4062</v>
      </c>
      <c r="I396" s="21" t="s">
        <v>4072</v>
      </c>
      <c r="J396" s="2213">
        <f>G396</f>
        <v>10000000</v>
      </c>
      <c r="K396" s="2213">
        <f>F396-J396</f>
        <v>0</v>
      </c>
      <c r="L396" s="2267"/>
    </row>
    <row r="397" spans="1:12" ht="30" customHeight="1" x14ac:dyDescent="0.2">
      <c r="A397" s="4459">
        <v>278</v>
      </c>
      <c r="B397" s="4457" t="s">
        <v>620</v>
      </c>
      <c r="C397" s="4537" t="s">
        <v>3007</v>
      </c>
      <c r="D397" s="4413">
        <v>10000000</v>
      </c>
      <c r="E397" s="4476">
        <v>0.04</v>
      </c>
      <c r="F397" s="4413">
        <f>D397*E397</f>
        <v>400000</v>
      </c>
      <c r="G397" s="2201">
        <v>5000000</v>
      </c>
      <c r="H397" s="2201" t="s">
        <v>3920</v>
      </c>
      <c r="I397" s="2262" t="s">
        <v>2066</v>
      </c>
      <c r="J397" s="4413">
        <f>G397+G398</f>
        <v>10000000</v>
      </c>
      <c r="K397" s="4413">
        <f>D398-J397</f>
        <v>-10000000</v>
      </c>
      <c r="L397" s="4643" t="s">
        <v>4033</v>
      </c>
    </row>
    <row r="398" spans="1:12" ht="30" customHeight="1" x14ac:dyDescent="0.2">
      <c r="A398" s="4464"/>
      <c r="B398" s="4488"/>
      <c r="C398" s="4540"/>
      <c r="D398" s="4415"/>
      <c r="E398" s="4477"/>
      <c r="F398" s="4415"/>
      <c r="G398" s="2201">
        <v>5000000</v>
      </c>
      <c r="H398" s="2201" t="s">
        <v>3994</v>
      </c>
      <c r="I398" s="2262" t="s">
        <v>2066</v>
      </c>
      <c r="J398" s="4415"/>
      <c r="K398" s="4415"/>
      <c r="L398" s="4644"/>
    </row>
    <row r="399" spans="1:12" ht="30" customHeight="1" x14ac:dyDescent="0.2">
      <c r="A399" s="4464"/>
      <c r="B399" s="4488"/>
      <c r="C399" s="4540"/>
      <c r="D399" s="2213">
        <v>10000000</v>
      </c>
      <c r="E399" s="4610" t="s">
        <v>4347</v>
      </c>
      <c r="F399" s="4611"/>
      <c r="G399" s="4413">
        <v>1585000</v>
      </c>
      <c r="H399" s="4413" t="s">
        <v>4076</v>
      </c>
      <c r="I399" s="4478" t="s">
        <v>2066</v>
      </c>
      <c r="J399" s="4413">
        <f>G399</f>
        <v>1585000</v>
      </c>
      <c r="K399" s="4413">
        <v>0</v>
      </c>
      <c r="L399" s="4643" t="s">
        <v>4079</v>
      </c>
    </row>
    <row r="400" spans="1:12" ht="30" customHeight="1" x14ac:dyDescent="0.2">
      <c r="A400" s="4460"/>
      <c r="B400" s="4458"/>
      <c r="C400" s="4538"/>
      <c r="D400" s="2213">
        <v>30000000</v>
      </c>
      <c r="E400" s="2265">
        <v>4.4999999999999998E-2</v>
      </c>
      <c r="F400" s="2213">
        <f>D400*E400</f>
        <v>1350000</v>
      </c>
      <c r="G400" s="4415"/>
      <c r="H400" s="4415"/>
      <c r="I400" s="4479"/>
      <c r="J400" s="4415"/>
      <c r="K400" s="4415"/>
      <c r="L400" s="4644"/>
    </row>
    <row r="401" spans="1:12" ht="30" customHeight="1" x14ac:dyDescent="0.2">
      <c r="A401" s="2269">
        <v>279</v>
      </c>
      <c r="B401" s="2267" t="s">
        <v>132</v>
      </c>
      <c r="C401" s="2238" t="s">
        <v>402</v>
      </c>
      <c r="D401" s="2213">
        <v>11000000</v>
      </c>
      <c r="E401" s="2265">
        <v>4.4999999999999998E-2</v>
      </c>
      <c r="F401" s="2213">
        <v>500000</v>
      </c>
      <c r="G401" s="2213">
        <v>500000</v>
      </c>
      <c r="H401" s="2213" t="s">
        <v>4017</v>
      </c>
      <c r="I401" s="21" t="s">
        <v>3670</v>
      </c>
      <c r="J401" s="2213">
        <f>G401</f>
        <v>500000</v>
      </c>
      <c r="K401" s="2213">
        <f>F401-J401</f>
        <v>0</v>
      </c>
      <c r="L401" s="2267"/>
    </row>
    <row r="402" spans="1:12" ht="30" customHeight="1" x14ac:dyDescent="0.2">
      <c r="A402" s="2269">
        <v>280</v>
      </c>
      <c r="B402" s="1951" t="s">
        <v>458</v>
      </c>
      <c r="C402" s="378"/>
      <c r="D402" s="2201">
        <v>20000000</v>
      </c>
      <c r="E402" s="2265">
        <v>0.05</v>
      </c>
      <c r="F402" s="2201">
        <f t="shared" si="41"/>
        <v>1000000</v>
      </c>
      <c r="G402" s="2201">
        <v>1000000</v>
      </c>
      <c r="H402" s="2201" t="s">
        <v>4109</v>
      </c>
      <c r="I402" s="2201" t="s">
        <v>3756</v>
      </c>
      <c r="J402" s="2201">
        <f>G402</f>
        <v>1000000</v>
      </c>
      <c r="K402" s="2201">
        <f>F402-J402</f>
        <v>0</v>
      </c>
      <c r="L402" s="1025" t="s">
        <v>3097</v>
      </c>
    </row>
    <row r="403" spans="1:12" ht="30" customHeight="1" x14ac:dyDescent="0.2">
      <c r="A403" s="2204">
        <v>281</v>
      </c>
      <c r="B403" s="2263" t="s">
        <v>133</v>
      </c>
      <c r="C403" s="2238" t="s">
        <v>1290</v>
      </c>
      <c r="D403" s="2213">
        <v>40000000</v>
      </c>
      <c r="E403" s="2210">
        <v>0.05</v>
      </c>
      <c r="F403" s="2213">
        <f t="shared" si="41"/>
        <v>2000000</v>
      </c>
      <c r="G403" s="2213">
        <v>2000000</v>
      </c>
      <c r="H403" s="2213" t="s">
        <v>4062</v>
      </c>
      <c r="I403" s="2213" t="s">
        <v>3679</v>
      </c>
      <c r="J403" s="2213">
        <f>G403</f>
        <v>2000000</v>
      </c>
      <c r="K403" s="2213">
        <f>F403-J403</f>
        <v>0</v>
      </c>
      <c r="L403" s="2267"/>
    </row>
    <row r="404" spans="1:12" ht="30" customHeight="1" x14ac:dyDescent="0.2">
      <c r="A404" s="2269">
        <v>282</v>
      </c>
      <c r="B404" s="2267" t="s">
        <v>1024</v>
      </c>
      <c r="C404" s="2238"/>
      <c r="D404" s="2213">
        <v>20000000</v>
      </c>
      <c r="E404" s="2265">
        <v>0.04</v>
      </c>
      <c r="F404" s="2213">
        <f t="shared" si="41"/>
        <v>800000</v>
      </c>
      <c r="G404" s="2213">
        <v>800000</v>
      </c>
      <c r="H404" s="2213" t="s">
        <v>4045</v>
      </c>
      <c r="I404" s="2259" t="s">
        <v>2453</v>
      </c>
      <c r="J404" s="2213">
        <f>G404</f>
        <v>800000</v>
      </c>
      <c r="K404" s="2213">
        <f>F404-J404</f>
        <v>0</v>
      </c>
      <c r="L404" s="2267"/>
    </row>
    <row r="405" spans="1:12" ht="30" customHeight="1" x14ac:dyDescent="0.2">
      <c r="A405" s="4459"/>
      <c r="B405" s="4457" t="s">
        <v>134</v>
      </c>
      <c r="C405" s="2266" t="s">
        <v>1294</v>
      </c>
      <c r="D405" s="2213">
        <f>40823000+3800000</f>
        <v>44623000</v>
      </c>
      <c r="E405" s="2210">
        <v>0.05</v>
      </c>
      <c r="F405" s="2213">
        <f>D405*E405</f>
        <v>2231150</v>
      </c>
      <c r="G405" s="2201">
        <v>2231150</v>
      </c>
      <c r="H405" s="2201" t="s">
        <v>4076</v>
      </c>
      <c r="I405" s="2201" t="s">
        <v>630</v>
      </c>
      <c r="J405" s="2211">
        <f>G405</f>
        <v>2231150</v>
      </c>
      <c r="K405" s="2211">
        <f>F405-J405</f>
        <v>0</v>
      </c>
      <c r="L405" s="764" t="s">
        <v>3667</v>
      </c>
    </row>
    <row r="406" spans="1:12" ht="30" customHeight="1" x14ac:dyDescent="0.2">
      <c r="A406" s="4460"/>
      <c r="B406" s="4458"/>
      <c r="C406" s="2237"/>
      <c r="D406" s="2213">
        <f>D405+5488000</f>
        <v>50111000</v>
      </c>
      <c r="E406" s="2210">
        <v>0.05</v>
      </c>
      <c r="F406" s="2213">
        <f>D406*E406</f>
        <v>2505550</v>
      </c>
      <c r="G406" s="2230"/>
      <c r="H406" s="2248"/>
      <c r="I406" s="2248"/>
      <c r="J406" s="2231"/>
      <c r="K406" s="2211"/>
      <c r="L406" s="764" t="s">
        <v>4247</v>
      </c>
    </row>
    <row r="407" spans="1:12" ht="30" customHeight="1" x14ac:dyDescent="0.2">
      <c r="A407" s="2203"/>
      <c r="B407" s="2207" t="s">
        <v>4248</v>
      </c>
      <c r="C407" s="2237"/>
      <c r="D407" s="2213">
        <v>67000000</v>
      </c>
      <c r="E407" s="2210">
        <v>0.05</v>
      </c>
      <c r="F407" s="2213">
        <f>D407*E407</f>
        <v>3350000</v>
      </c>
      <c r="G407" s="2230"/>
      <c r="H407" s="2248"/>
      <c r="I407" s="2248"/>
      <c r="J407" s="2231"/>
      <c r="K407" s="2211"/>
      <c r="L407" s="764" t="s">
        <v>4249</v>
      </c>
    </row>
    <row r="408" spans="1:12" ht="30" customHeight="1" x14ac:dyDescent="0.2">
      <c r="A408" s="4459"/>
      <c r="B408" s="4599" t="s">
        <v>1158</v>
      </c>
      <c r="C408" s="4537"/>
      <c r="D408" s="2275">
        <v>100000000</v>
      </c>
      <c r="E408" s="1931">
        <v>4.4999999999999998E-2</v>
      </c>
      <c r="F408" s="1543">
        <f t="shared" si="41"/>
        <v>4500000</v>
      </c>
      <c r="G408" s="4793" t="s">
        <v>3778</v>
      </c>
      <c r="H408" s="4794"/>
      <c r="I408" s="4794"/>
      <c r="J408" s="4795"/>
      <c r="K408" s="4413"/>
      <c r="L408" s="764" t="s">
        <v>3782</v>
      </c>
    </row>
    <row r="409" spans="1:12" ht="30" customHeight="1" x14ac:dyDescent="0.2">
      <c r="A409" s="4464"/>
      <c r="B409" s="4600"/>
      <c r="C409" s="4540"/>
      <c r="D409" s="2275">
        <v>60000000</v>
      </c>
      <c r="E409" s="1931">
        <v>0.05</v>
      </c>
      <c r="F409" s="1543">
        <f t="shared" si="41"/>
        <v>3000000</v>
      </c>
      <c r="G409" s="4796"/>
      <c r="H409" s="4797"/>
      <c r="I409" s="4797"/>
      <c r="J409" s="4798"/>
      <c r="K409" s="4414"/>
      <c r="L409" s="1337"/>
    </row>
    <row r="410" spans="1:12" ht="30" customHeight="1" x14ac:dyDescent="0.2">
      <c r="A410" s="4464"/>
      <c r="B410" s="4600"/>
      <c r="C410" s="4540"/>
      <c r="D410" s="2275">
        <v>30000000</v>
      </c>
      <c r="E410" s="1931">
        <v>0.05</v>
      </c>
      <c r="F410" s="1543">
        <f t="shared" si="41"/>
        <v>1500000</v>
      </c>
      <c r="G410" s="4796"/>
      <c r="H410" s="4797"/>
      <c r="I410" s="4797"/>
      <c r="J410" s="4798"/>
      <c r="K410" s="4414"/>
      <c r="L410" s="764" t="s">
        <v>3780</v>
      </c>
    </row>
    <row r="411" spans="1:12" ht="30" customHeight="1" x14ac:dyDescent="0.2">
      <c r="A411" s="4464"/>
      <c r="B411" s="4600"/>
      <c r="C411" s="4540"/>
      <c r="D411" s="2275">
        <v>40000000</v>
      </c>
      <c r="E411" s="1931">
        <v>0.05</v>
      </c>
      <c r="F411" s="1543">
        <f t="shared" si="41"/>
        <v>2000000</v>
      </c>
      <c r="G411" s="4799"/>
      <c r="H411" s="4800"/>
      <c r="I411" s="4800"/>
      <c r="J411" s="4801"/>
      <c r="K411" s="4415"/>
      <c r="L411" s="523" t="s">
        <v>3779</v>
      </c>
    </row>
    <row r="412" spans="1:12" ht="30" customHeight="1" x14ac:dyDescent="0.2">
      <c r="A412" s="4460"/>
      <c r="B412" s="4607"/>
      <c r="C412" s="4538"/>
      <c r="D412" s="2275"/>
      <c r="E412" s="1931"/>
      <c r="F412" s="1543">
        <f>SUM(F408:F411)</f>
        <v>11000000</v>
      </c>
      <c r="G412" s="2213">
        <v>11000000</v>
      </c>
      <c r="H412" s="2201" t="s">
        <v>4062</v>
      </c>
      <c r="I412" s="2201" t="s">
        <v>2219</v>
      </c>
      <c r="J412" s="2201">
        <f>G412</f>
        <v>11000000</v>
      </c>
      <c r="K412" s="2213">
        <f>F412-J412</f>
        <v>0</v>
      </c>
      <c r="L412" s="523"/>
    </row>
    <row r="413" spans="1:12" ht="30" customHeight="1" x14ac:dyDescent="0.2">
      <c r="A413" s="2269">
        <v>285</v>
      </c>
      <c r="B413" s="2267" t="s">
        <v>135</v>
      </c>
      <c r="C413" s="2238" t="s">
        <v>2278</v>
      </c>
      <c r="D413" s="2213">
        <v>100000000</v>
      </c>
      <c r="E413" s="2265">
        <v>7.0000000000000007E-2</v>
      </c>
      <c r="F413" s="2213">
        <f t="shared" si="41"/>
        <v>7000000.0000000009</v>
      </c>
      <c r="G413" s="2213">
        <v>7000000</v>
      </c>
      <c r="H413" s="2213" t="s">
        <v>4076</v>
      </c>
      <c r="I413" s="21" t="s">
        <v>3023</v>
      </c>
      <c r="J413" s="2213">
        <f>G413</f>
        <v>7000000</v>
      </c>
      <c r="K413" s="2213">
        <f>F413-J413</f>
        <v>0</v>
      </c>
      <c r="L413" s="2267"/>
    </row>
    <row r="414" spans="1:12" ht="30" customHeight="1" x14ac:dyDescent="0.2">
      <c r="A414" s="2202">
        <v>286</v>
      </c>
      <c r="B414" s="2263" t="s">
        <v>1622</v>
      </c>
      <c r="C414" s="2266"/>
      <c r="D414" s="2201">
        <v>35000000</v>
      </c>
      <c r="E414" s="1028">
        <v>0.05</v>
      </c>
      <c r="F414" s="2201">
        <v>1700000</v>
      </c>
      <c r="G414" s="2201">
        <v>1700000</v>
      </c>
      <c r="H414" s="2201" t="s">
        <v>3966</v>
      </c>
      <c r="I414" s="18" t="s">
        <v>307</v>
      </c>
      <c r="J414" s="2201">
        <f>G414</f>
        <v>1700000</v>
      </c>
      <c r="K414" s="2201">
        <f>F414-J414</f>
        <v>0</v>
      </c>
      <c r="L414" s="2222"/>
    </row>
    <row r="415" spans="1:12" ht="30" customHeight="1" x14ac:dyDescent="0.2">
      <c r="A415" s="4459">
        <v>287</v>
      </c>
      <c r="B415" s="4457" t="s">
        <v>137</v>
      </c>
      <c r="C415" s="4537"/>
      <c r="D415" s="2213">
        <v>15000000</v>
      </c>
      <c r="E415" s="2210">
        <v>0.05</v>
      </c>
      <c r="F415" s="2213">
        <f t="shared" si="41"/>
        <v>750000</v>
      </c>
      <c r="G415" s="4413">
        <v>3000000</v>
      </c>
      <c r="H415" s="4413" t="s">
        <v>4076</v>
      </c>
      <c r="I415" s="4478" t="s">
        <v>2979</v>
      </c>
      <c r="J415" s="4413">
        <f>G415+G416</f>
        <v>3000000</v>
      </c>
      <c r="K415" s="4413">
        <f>(F415+F416)-J415</f>
        <v>0</v>
      </c>
      <c r="L415" s="4472"/>
    </row>
    <row r="416" spans="1:12" ht="30" customHeight="1" x14ac:dyDescent="0.2">
      <c r="A416" s="4460"/>
      <c r="B416" s="4458"/>
      <c r="C416" s="4538"/>
      <c r="D416" s="2213">
        <v>45000000</v>
      </c>
      <c r="E416" s="2210">
        <v>0.05</v>
      </c>
      <c r="F416" s="2213">
        <f t="shared" si="41"/>
        <v>2250000</v>
      </c>
      <c r="G416" s="4415"/>
      <c r="H416" s="4415"/>
      <c r="I416" s="4479"/>
      <c r="J416" s="4415"/>
      <c r="K416" s="4415"/>
      <c r="L416" s="4473"/>
    </row>
    <row r="417" spans="1:12" ht="30" customHeight="1" x14ac:dyDescent="0.2">
      <c r="A417" s="2269">
        <v>288</v>
      </c>
      <c r="B417" s="2267" t="s">
        <v>138</v>
      </c>
      <c r="C417" s="2238" t="s">
        <v>1289</v>
      </c>
      <c r="D417" s="2213">
        <v>50000000</v>
      </c>
      <c r="E417" s="2265">
        <v>4.4999999999999998E-2</v>
      </c>
      <c r="F417" s="2213">
        <f t="shared" si="41"/>
        <v>2250000</v>
      </c>
      <c r="G417" s="2213">
        <v>2250000</v>
      </c>
      <c r="H417" s="2213" t="s">
        <v>4076</v>
      </c>
      <c r="I417" s="21" t="s">
        <v>2083</v>
      </c>
      <c r="J417" s="2213">
        <f t="shared" ref="J417:J422" si="42">G417</f>
        <v>2250000</v>
      </c>
      <c r="K417" s="2213">
        <f>F417-J417</f>
        <v>0</v>
      </c>
      <c r="L417" s="2267"/>
    </row>
    <row r="418" spans="1:12" ht="30" customHeight="1" x14ac:dyDescent="0.2">
      <c r="A418" s="2269">
        <v>289</v>
      </c>
      <c r="B418" s="2267" t="s">
        <v>637</v>
      </c>
      <c r="C418" s="2238" t="s">
        <v>1299</v>
      </c>
      <c r="D418" s="2213">
        <v>25000000</v>
      </c>
      <c r="E418" s="2265">
        <v>5.3999999999999999E-2</v>
      </c>
      <c r="F418" s="2213">
        <f t="shared" si="41"/>
        <v>1350000</v>
      </c>
      <c r="G418" s="2213">
        <v>1350000</v>
      </c>
      <c r="H418" s="2213" t="s">
        <v>4109</v>
      </c>
      <c r="I418" s="18" t="s">
        <v>638</v>
      </c>
      <c r="J418" s="2213">
        <f t="shared" si="42"/>
        <v>1350000</v>
      </c>
      <c r="K418" s="2213">
        <f>F418-J418</f>
        <v>0</v>
      </c>
      <c r="L418" s="2267"/>
    </row>
    <row r="419" spans="1:12" ht="30" customHeight="1" x14ac:dyDescent="0.2">
      <c r="A419" s="2202">
        <v>290</v>
      </c>
      <c r="B419" s="2263" t="s">
        <v>3848</v>
      </c>
      <c r="C419" s="2238" t="s">
        <v>1288</v>
      </c>
      <c r="D419" s="2213">
        <v>1150000000</v>
      </c>
      <c r="E419" s="2265">
        <v>7.0000000000000007E-2</v>
      </c>
      <c r="F419" s="2213">
        <f>D419*E419</f>
        <v>80500000.000000015</v>
      </c>
      <c r="G419" s="2201">
        <v>80500000</v>
      </c>
      <c r="H419" s="2201" t="s">
        <v>3025</v>
      </c>
      <c r="I419" s="2201" t="s">
        <v>4097</v>
      </c>
      <c r="J419" s="2201">
        <f>G419</f>
        <v>80500000</v>
      </c>
      <c r="K419" s="2213">
        <f>F419-J419</f>
        <v>0</v>
      </c>
      <c r="L419" s="2256" t="s">
        <v>3859</v>
      </c>
    </row>
    <row r="420" spans="1:12" ht="30" customHeight="1" x14ac:dyDescent="0.2">
      <c r="A420" s="2269">
        <v>292</v>
      </c>
      <c r="B420" s="2267" t="s">
        <v>140</v>
      </c>
      <c r="C420" s="2266" t="s">
        <v>1299</v>
      </c>
      <c r="D420" s="2213">
        <v>100000000</v>
      </c>
      <c r="E420" s="2265">
        <v>0.05</v>
      </c>
      <c r="F420" s="2213">
        <f t="shared" si="41"/>
        <v>5000000</v>
      </c>
      <c r="G420" s="2213"/>
      <c r="H420" s="2213"/>
      <c r="I420" s="65" t="s">
        <v>2567</v>
      </c>
      <c r="J420" s="2213">
        <f t="shared" si="42"/>
        <v>0</v>
      </c>
      <c r="K420" s="2213">
        <f>F420-J420</f>
        <v>5000000</v>
      </c>
      <c r="L420" s="2267"/>
    </row>
    <row r="421" spans="1:12" ht="30" customHeight="1" x14ac:dyDescent="0.2">
      <c r="A421" s="2269">
        <v>293</v>
      </c>
      <c r="B421" s="2267" t="s">
        <v>141</v>
      </c>
      <c r="C421" s="2238" t="s">
        <v>1299</v>
      </c>
      <c r="D421" s="2213">
        <v>75000000</v>
      </c>
      <c r="E421" s="2265">
        <v>0.04</v>
      </c>
      <c r="F421" s="2213">
        <f>D421*E421</f>
        <v>3000000</v>
      </c>
      <c r="G421" s="2213">
        <v>3000000</v>
      </c>
      <c r="H421" s="2213" t="s">
        <v>4109</v>
      </c>
      <c r="I421" s="18" t="s">
        <v>725</v>
      </c>
      <c r="J421" s="2213">
        <f t="shared" si="42"/>
        <v>3000000</v>
      </c>
      <c r="K421" s="2213">
        <f>F421-J421</f>
        <v>0</v>
      </c>
      <c r="L421" s="2267"/>
    </row>
    <row r="422" spans="1:12" ht="30" customHeight="1" x14ac:dyDescent="0.2">
      <c r="A422" s="4459">
        <v>295</v>
      </c>
      <c r="B422" s="2263" t="s">
        <v>142</v>
      </c>
      <c r="C422" s="4537" t="s">
        <v>1299</v>
      </c>
      <c r="D422" s="2213">
        <v>100000000</v>
      </c>
      <c r="E422" s="2265">
        <v>0.05</v>
      </c>
      <c r="F422" s="2213">
        <f t="shared" si="41"/>
        <v>5000000</v>
      </c>
      <c r="G422" s="4413">
        <v>5000000</v>
      </c>
      <c r="H422" s="4413" t="s">
        <v>3025</v>
      </c>
      <c r="I422" s="4413" t="s">
        <v>4086</v>
      </c>
      <c r="J422" s="4413">
        <f t="shared" si="42"/>
        <v>5000000</v>
      </c>
      <c r="K422" s="4413">
        <f>(F422+F423)-G422</f>
        <v>500000</v>
      </c>
      <c r="L422" s="4571"/>
    </row>
    <row r="423" spans="1:12" ht="30" customHeight="1" x14ac:dyDescent="0.2">
      <c r="A423" s="4460"/>
      <c r="B423" s="2267" t="s">
        <v>707</v>
      </c>
      <c r="C423" s="4538"/>
      <c r="D423" s="2213">
        <v>10000000</v>
      </c>
      <c r="E423" s="2265">
        <v>0.05</v>
      </c>
      <c r="F423" s="2213">
        <f>D423*E423</f>
        <v>500000</v>
      </c>
      <c r="G423" s="4415"/>
      <c r="H423" s="4415"/>
      <c r="I423" s="4415"/>
      <c r="J423" s="4415"/>
      <c r="K423" s="4415"/>
      <c r="L423" s="4572"/>
    </row>
    <row r="424" spans="1:12" ht="30" customHeight="1" x14ac:dyDescent="0.2">
      <c r="A424" s="2269">
        <v>296</v>
      </c>
      <c r="B424" s="2267" t="s">
        <v>143</v>
      </c>
      <c r="C424" s="2238" t="s">
        <v>1306</v>
      </c>
      <c r="D424" s="2213">
        <v>35000000</v>
      </c>
      <c r="E424" s="2265">
        <v>0.04</v>
      </c>
      <c r="F424" s="2213">
        <f t="shared" si="41"/>
        <v>1400000</v>
      </c>
      <c r="G424" s="2213">
        <v>1400000</v>
      </c>
      <c r="H424" s="2213" t="s">
        <v>4109</v>
      </c>
      <c r="I424" s="21" t="s">
        <v>1109</v>
      </c>
      <c r="J424" s="2213">
        <f>G424</f>
        <v>1400000</v>
      </c>
      <c r="K424" s="2213">
        <f>F424-J424</f>
        <v>0</v>
      </c>
      <c r="L424" s="2267"/>
    </row>
    <row r="425" spans="1:12" ht="30" customHeight="1" x14ac:dyDescent="0.2">
      <c r="A425" s="2269">
        <v>298</v>
      </c>
      <c r="B425" s="2267" t="s">
        <v>145</v>
      </c>
      <c r="C425" s="2238" t="s">
        <v>1134</v>
      </c>
      <c r="D425" s="2213">
        <v>38000000</v>
      </c>
      <c r="E425" s="2265">
        <v>5.1999999999999998E-2</v>
      </c>
      <c r="F425" s="2213">
        <v>2000000</v>
      </c>
      <c r="G425" s="2213">
        <v>2000000</v>
      </c>
      <c r="H425" s="2213" t="s">
        <v>4146</v>
      </c>
      <c r="I425" s="21" t="s">
        <v>4152</v>
      </c>
      <c r="J425" s="2213">
        <f>G425</f>
        <v>2000000</v>
      </c>
      <c r="K425" s="2213">
        <f>F425-J425</f>
        <v>0</v>
      </c>
      <c r="L425" s="2267"/>
    </row>
    <row r="426" spans="1:12" ht="30" customHeight="1" x14ac:dyDescent="0.2">
      <c r="A426" s="2269">
        <v>300</v>
      </c>
      <c r="B426" s="2263" t="s">
        <v>147</v>
      </c>
      <c r="C426" s="2266" t="s">
        <v>890</v>
      </c>
      <c r="D426" s="2201">
        <v>178000000</v>
      </c>
      <c r="E426" s="2265">
        <v>5.8999999999999997E-2</v>
      </c>
      <c r="F426" s="2201">
        <v>10500000</v>
      </c>
      <c r="G426" s="2213">
        <v>10500000</v>
      </c>
      <c r="H426" s="2213" t="s">
        <v>4130</v>
      </c>
      <c r="I426" s="21" t="s">
        <v>3469</v>
      </c>
      <c r="J426" s="2213">
        <f>G426</f>
        <v>10500000</v>
      </c>
      <c r="K426" s="2201">
        <f>F426-J426</f>
        <v>0</v>
      </c>
      <c r="L426" s="2267"/>
    </row>
    <row r="427" spans="1:12" ht="30" customHeight="1" x14ac:dyDescent="0.2">
      <c r="A427" s="2269">
        <v>301</v>
      </c>
      <c r="B427" s="2267" t="s">
        <v>2347</v>
      </c>
      <c r="C427" s="2238"/>
      <c r="D427" s="2213">
        <v>10000000</v>
      </c>
      <c r="E427" s="2210">
        <v>0.04</v>
      </c>
      <c r="F427" s="2213">
        <f>D427*E427</f>
        <v>400000</v>
      </c>
      <c r="G427" s="2213">
        <v>400000</v>
      </c>
      <c r="H427" s="2213" t="s">
        <v>4130</v>
      </c>
      <c r="I427" s="2240" t="s">
        <v>723</v>
      </c>
      <c r="J427" s="2213">
        <f>G427</f>
        <v>400000</v>
      </c>
      <c r="K427" s="2213">
        <f>F427-J427</f>
        <v>0</v>
      </c>
      <c r="L427" s="2292"/>
    </row>
    <row r="428" spans="1:12" ht="30" customHeight="1" x14ac:dyDescent="0.2">
      <c r="A428" s="2269">
        <v>302</v>
      </c>
      <c r="B428" s="2267" t="s">
        <v>149</v>
      </c>
      <c r="C428" s="2238" t="s">
        <v>1296</v>
      </c>
      <c r="D428" s="2213">
        <v>60000000</v>
      </c>
      <c r="E428" s="2265">
        <v>4.4999999999999998E-2</v>
      </c>
      <c r="F428" s="2213">
        <f t="shared" si="41"/>
        <v>2700000</v>
      </c>
      <c r="G428" s="2213">
        <v>2700000</v>
      </c>
      <c r="H428" s="2213" t="s">
        <v>4130</v>
      </c>
      <c r="I428" s="21" t="s">
        <v>3179</v>
      </c>
      <c r="J428" s="2213">
        <f>G428</f>
        <v>2700000</v>
      </c>
      <c r="K428" s="2213">
        <f>F428-J428</f>
        <v>0</v>
      </c>
      <c r="L428" s="2267"/>
    </row>
    <row r="429" spans="1:12" ht="30" customHeight="1" x14ac:dyDescent="0.2">
      <c r="A429" s="4459"/>
      <c r="B429" s="4599" t="s">
        <v>150</v>
      </c>
      <c r="C429" s="4537" t="s">
        <v>1796</v>
      </c>
      <c r="D429" s="4322">
        <v>1916000000</v>
      </c>
      <c r="E429" s="4608"/>
      <c r="F429" s="4322"/>
      <c r="G429" s="4793" t="s">
        <v>4348</v>
      </c>
      <c r="H429" s="4794"/>
      <c r="I429" s="4794"/>
      <c r="J429" s="4795"/>
      <c r="K429" s="2201"/>
      <c r="L429" s="2256" t="s">
        <v>3454</v>
      </c>
    </row>
    <row r="430" spans="1:12" ht="30" customHeight="1" x14ac:dyDescent="0.2">
      <c r="A430" s="4464"/>
      <c r="B430" s="4600"/>
      <c r="C430" s="4540"/>
      <c r="D430" s="4322"/>
      <c r="E430" s="4608"/>
      <c r="F430" s="4322"/>
      <c r="G430" s="4799"/>
      <c r="H430" s="4800"/>
      <c r="I430" s="4800"/>
      <c r="J430" s="4801"/>
      <c r="K430" s="2201"/>
      <c r="L430" s="2256"/>
    </row>
    <row r="431" spans="1:12" ht="30" customHeight="1" x14ac:dyDescent="0.2">
      <c r="A431" s="4464"/>
      <c r="B431" s="4600"/>
      <c r="C431" s="4540"/>
      <c r="D431" s="2706">
        <f>D429-228000000</f>
        <v>1688000000</v>
      </c>
      <c r="E431" s="2708"/>
      <c r="F431" s="2706"/>
      <c r="G431" s="4838" t="s">
        <v>4714</v>
      </c>
      <c r="H431" s="4838"/>
      <c r="I431" s="4838"/>
      <c r="J431" s="4838"/>
      <c r="K431" s="2706"/>
      <c r="L431" s="2720"/>
    </row>
    <row r="432" spans="1:12" ht="30" customHeight="1" x14ac:dyDescent="0.2">
      <c r="A432" s="4464"/>
      <c r="B432" s="4600"/>
      <c r="C432" s="4540"/>
      <c r="D432" s="2706">
        <f>D431+300000000</f>
        <v>1988000000</v>
      </c>
      <c r="E432" s="2708"/>
      <c r="F432" s="2706"/>
      <c r="G432" s="4838" t="s">
        <v>4706</v>
      </c>
      <c r="H432" s="4838"/>
      <c r="I432" s="4838"/>
      <c r="J432" s="4838"/>
      <c r="K432" s="2706"/>
      <c r="L432" s="2720"/>
    </row>
    <row r="433" spans="1:12" ht="30" customHeight="1" x14ac:dyDescent="0.2">
      <c r="A433" s="4464"/>
      <c r="B433" s="4600"/>
      <c r="C433" s="4540"/>
      <c r="D433" s="2706">
        <f>D432+27000000</f>
        <v>2015000000</v>
      </c>
      <c r="E433" s="2708"/>
      <c r="F433" s="2706"/>
      <c r="G433" s="4838" t="s">
        <v>4707</v>
      </c>
      <c r="H433" s="4838"/>
      <c r="I433" s="4838"/>
      <c r="J433" s="4838"/>
      <c r="K433" s="2706"/>
      <c r="L433" s="2720"/>
    </row>
    <row r="434" spans="1:12" ht="30" customHeight="1" x14ac:dyDescent="0.2">
      <c r="A434" s="4460"/>
      <c r="B434" s="4607"/>
      <c r="C434" s="4538"/>
      <c r="D434" s="2724">
        <f>D433+385000000</f>
        <v>2400000000</v>
      </c>
      <c r="E434" s="2708"/>
      <c r="F434" s="2706"/>
      <c r="G434" s="4838" t="s">
        <v>4708</v>
      </c>
      <c r="H434" s="4838"/>
      <c r="I434" s="4838"/>
      <c r="J434" s="4838"/>
      <c r="K434" s="2706"/>
      <c r="L434" s="2720"/>
    </row>
    <row r="435" spans="1:12" ht="30" customHeight="1" x14ac:dyDescent="0.2">
      <c r="A435" s="4459">
        <v>305</v>
      </c>
      <c r="B435" s="4457" t="s">
        <v>152</v>
      </c>
      <c r="C435" s="4537"/>
      <c r="D435" s="4413">
        <v>750000000</v>
      </c>
      <c r="E435" s="4476">
        <v>6.5000000000000002E-2</v>
      </c>
      <c r="F435" s="4413">
        <v>48000000</v>
      </c>
      <c r="G435" s="2213">
        <v>10000000</v>
      </c>
      <c r="H435" s="2213" t="s">
        <v>4017</v>
      </c>
      <c r="I435" s="21" t="s">
        <v>2394</v>
      </c>
      <c r="J435" s="4413">
        <f>G435+G436</f>
        <v>38000000</v>
      </c>
      <c r="K435" s="4413">
        <f>38000000-J435</f>
        <v>0</v>
      </c>
      <c r="L435" s="345"/>
    </row>
    <row r="436" spans="1:12" ht="30" customHeight="1" x14ac:dyDescent="0.2">
      <c r="A436" s="4464"/>
      <c r="B436" s="4488"/>
      <c r="C436" s="4540"/>
      <c r="D436" s="4414"/>
      <c r="E436" s="4516"/>
      <c r="F436" s="4414"/>
      <c r="G436" s="2213">
        <v>28000000</v>
      </c>
      <c r="H436" s="2213" t="s">
        <v>4146</v>
      </c>
      <c r="I436" s="21" t="s">
        <v>2394</v>
      </c>
      <c r="J436" s="4414"/>
      <c r="K436" s="4414"/>
      <c r="L436" s="345" t="s">
        <v>3350</v>
      </c>
    </row>
    <row r="437" spans="1:12" ht="30" customHeight="1" x14ac:dyDescent="0.2">
      <c r="A437" s="4464"/>
      <c r="B437" s="4488"/>
      <c r="C437" s="4540"/>
      <c r="D437" s="4414"/>
      <c r="E437" s="4516"/>
      <c r="F437" s="4414"/>
      <c r="G437" s="2213"/>
      <c r="H437" s="2213"/>
      <c r="I437" s="21" t="s">
        <v>2394</v>
      </c>
      <c r="J437" s="4414"/>
      <c r="K437" s="4414"/>
      <c r="L437" s="345"/>
    </row>
    <row r="438" spans="1:12" ht="30" customHeight="1" x14ac:dyDescent="0.2">
      <c r="A438" s="4460"/>
      <c r="B438" s="4458"/>
      <c r="C438" s="4538"/>
      <c r="D438" s="4415"/>
      <c r="E438" s="4477"/>
      <c r="F438" s="4415"/>
      <c r="G438" s="2213"/>
      <c r="H438" s="2213"/>
      <c r="I438" s="21" t="s">
        <v>2394</v>
      </c>
      <c r="J438" s="4415"/>
      <c r="K438" s="4415"/>
      <c r="L438" s="345"/>
    </row>
    <row r="439" spans="1:12" ht="30" customHeight="1" x14ac:dyDescent="0.2">
      <c r="A439" s="4459">
        <v>307</v>
      </c>
      <c r="B439" s="4599" t="s">
        <v>154</v>
      </c>
      <c r="C439" s="4537" t="s">
        <v>1306</v>
      </c>
      <c r="D439" s="2213">
        <v>260000000</v>
      </c>
      <c r="E439" s="2265">
        <v>0.05</v>
      </c>
      <c r="F439" s="2213">
        <f t="shared" si="41"/>
        <v>13000000</v>
      </c>
      <c r="G439" s="2213">
        <v>13000000</v>
      </c>
      <c r="H439" s="2213" t="s">
        <v>4136</v>
      </c>
      <c r="I439" s="21" t="s">
        <v>2409</v>
      </c>
      <c r="J439" s="2213">
        <f>G439</f>
        <v>13000000</v>
      </c>
      <c r="K439" s="2213">
        <f>F439-J439</f>
        <v>0</v>
      </c>
      <c r="L439" s="2267"/>
    </row>
    <row r="440" spans="1:12" ht="30" customHeight="1" x14ac:dyDescent="0.2">
      <c r="A440" s="4460"/>
      <c r="B440" s="4607"/>
      <c r="C440" s="4538"/>
      <c r="D440" s="2498">
        <v>240000000</v>
      </c>
      <c r="E440" s="2508">
        <v>0.05</v>
      </c>
      <c r="F440" s="2498">
        <f>D440*E440</f>
        <v>12000000</v>
      </c>
      <c r="G440" s="4469" t="s">
        <v>4600</v>
      </c>
      <c r="H440" s="4470"/>
      <c r="I440" s="4470"/>
      <c r="J440" s="4471"/>
      <c r="K440" s="2501"/>
      <c r="L440" s="2499"/>
    </row>
    <row r="441" spans="1:12" ht="30" customHeight="1" x14ac:dyDescent="0.2">
      <c r="A441" s="2202">
        <v>308</v>
      </c>
      <c r="B441" s="2263" t="s">
        <v>155</v>
      </c>
      <c r="C441" s="2266" t="s">
        <v>1294</v>
      </c>
      <c r="D441" s="2201">
        <v>300000000</v>
      </c>
      <c r="E441" s="2265">
        <v>0.05</v>
      </c>
      <c r="F441" s="2201">
        <f t="shared" si="41"/>
        <v>15000000</v>
      </c>
      <c r="G441" s="4413">
        <v>18000000</v>
      </c>
      <c r="H441" s="4413" t="s">
        <v>4076</v>
      </c>
      <c r="I441" s="4553" t="s">
        <v>1873</v>
      </c>
      <c r="J441" s="4413">
        <f>G441</f>
        <v>18000000</v>
      </c>
      <c r="K441" s="4413">
        <f>(F441+F442)-J441</f>
        <v>6000000</v>
      </c>
      <c r="L441" s="4643" t="s">
        <v>4084</v>
      </c>
    </row>
    <row r="442" spans="1:12" ht="30" customHeight="1" x14ac:dyDescent="0.2">
      <c r="A442" s="2269">
        <v>309</v>
      </c>
      <c r="B442" s="2263" t="s">
        <v>1874</v>
      </c>
      <c r="C442" s="2266" t="s">
        <v>372</v>
      </c>
      <c r="D442" s="2213">
        <v>180000000</v>
      </c>
      <c r="E442" s="2210">
        <v>0.05</v>
      </c>
      <c r="F442" s="2213">
        <f>D442*E442</f>
        <v>9000000</v>
      </c>
      <c r="G442" s="4415"/>
      <c r="H442" s="4415"/>
      <c r="I442" s="4554"/>
      <c r="J442" s="4415"/>
      <c r="K442" s="4415"/>
      <c r="L442" s="4644"/>
    </row>
    <row r="443" spans="1:12" ht="30" customHeight="1" x14ac:dyDescent="0.2">
      <c r="A443" s="4459">
        <v>311</v>
      </c>
      <c r="B443" s="4457" t="s">
        <v>158</v>
      </c>
      <c r="C443" s="4537" t="s">
        <v>889</v>
      </c>
      <c r="D443" s="2213">
        <v>85000000</v>
      </c>
      <c r="E443" s="2265">
        <v>0.05</v>
      </c>
      <c r="F443" s="2213">
        <f t="shared" ref="F443:F458" si="43">D443*E443</f>
        <v>4250000</v>
      </c>
      <c r="G443" s="2213">
        <v>4250000</v>
      </c>
      <c r="H443" s="2213" t="s">
        <v>3923</v>
      </c>
      <c r="I443" s="2241" t="s">
        <v>3971</v>
      </c>
      <c r="J443" s="2213">
        <f>G443</f>
        <v>4250000</v>
      </c>
      <c r="K443" s="2213">
        <f t="shared" ref="K443:K449" si="44">F443-J443</f>
        <v>0</v>
      </c>
      <c r="L443" s="2292" t="s">
        <v>3452</v>
      </c>
    </row>
    <row r="444" spans="1:12" ht="30" customHeight="1" x14ac:dyDescent="0.2">
      <c r="A444" s="4460"/>
      <c r="B444" s="4458"/>
      <c r="C444" s="4538"/>
      <c r="D444" s="2213">
        <v>100000000</v>
      </c>
      <c r="E444" s="2265">
        <v>0.05</v>
      </c>
      <c r="F444" s="2213">
        <f t="shared" si="43"/>
        <v>5000000</v>
      </c>
      <c r="G444" s="2213"/>
      <c r="H444" s="2213"/>
      <c r="I444" s="64"/>
      <c r="J444" s="2213"/>
      <c r="K444" s="2213"/>
      <c r="L444" s="2292" t="s">
        <v>4129</v>
      </c>
    </row>
    <row r="445" spans="1:12" ht="30" customHeight="1" x14ac:dyDescent="0.2">
      <c r="A445" s="2202">
        <v>312</v>
      </c>
      <c r="B445" s="2267" t="s">
        <v>159</v>
      </c>
      <c r="C445" s="2238"/>
      <c r="D445" s="2226"/>
      <c r="E445" s="2297"/>
      <c r="F445" s="2226">
        <f t="shared" si="43"/>
        <v>0</v>
      </c>
      <c r="G445" s="2213"/>
      <c r="H445" s="2213"/>
      <c r="I445" s="21"/>
      <c r="J445" s="2213">
        <f>G445</f>
        <v>0</v>
      </c>
      <c r="K445" s="2226">
        <f t="shared" si="44"/>
        <v>0</v>
      </c>
      <c r="L445" s="2267"/>
    </row>
    <row r="446" spans="1:12" ht="30" customHeight="1" x14ac:dyDescent="0.2">
      <c r="A446" s="2281">
        <v>313</v>
      </c>
      <c r="B446" s="2267" t="s">
        <v>161</v>
      </c>
      <c r="C446" s="2266" t="s">
        <v>1652</v>
      </c>
      <c r="D446" s="2201">
        <v>152000000</v>
      </c>
      <c r="E446" s="2265">
        <v>0.05</v>
      </c>
      <c r="F446" s="2201">
        <f>D446*E446</f>
        <v>7600000</v>
      </c>
      <c r="G446" s="2201">
        <v>7600000</v>
      </c>
      <c r="H446" s="2201" t="s">
        <v>4017</v>
      </c>
      <c r="I446" s="2262" t="s">
        <v>322</v>
      </c>
      <c r="J446" s="2201">
        <f>G446</f>
        <v>7600000</v>
      </c>
      <c r="K446" s="2201">
        <f t="shared" si="44"/>
        <v>0</v>
      </c>
      <c r="L446" s="2278"/>
    </row>
    <row r="447" spans="1:12" ht="30" customHeight="1" x14ac:dyDescent="0.2">
      <c r="A447" s="2202">
        <v>315</v>
      </c>
      <c r="B447" s="19" t="s">
        <v>163</v>
      </c>
      <c r="C447" s="2266" t="s">
        <v>1176</v>
      </c>
      <c r="D447" s="2201">
        <v>400000000</v>
      </c>
      <c r="E447" s="2265">
        <v>6.3E-2</v>
      </c>
      <c r="F447" s="2201">
        <v>25000000</v>
      </c>
      <c r="G447" s="2201">
        <v>25000000</v>
      </c>
      <c r="H447" s="2201" t="s">
        <v>4017</v>
      </c>
      <c r="I447" s="2262" t="s">
        <v>1806</v>
      </c>
      <c r="J447" s="2201">
        <f t="shared" ref="J447:J457" si="45">G447</f>
        <v>25000000</v>
      </c>
      <c r="K447" s="2201">
        <f t="shared" si="44"/>
        <v>0</v>
      </c>
      <c r="L447" s="2234"/>
    </row>
    <row r="448" spans="1:12" ht="30" customHeight="1" x14ac:dyDescent="0.2">
      <c r="A448" s="2269">
        <v>316</v>
      </c>
      <c r="B448" s="2206" t="s">
        <v>164</v>
      </c>
      <c r="C448" s="2238"/>
      <c r="D448" s="2213">
        <v>35000000</v>
      </c>
      <c r="E448" s="2210">
        <v>0.04</v>
      </c>
      <c r="F448" s="2213">
        <f>D448*E448</f>
        <v>1400000</v>
      </c>
      <c r="G448" s="2213">
        <v>1400000</v>
      </c>
      <c r="H448" s="2213" t="s">
        <v>3994</v>
      </c>
      <c r="I448" s="2242" t="s">
        <v>288</v>
      </c>
      <c r="J448" s="2213">
        <f t="shared" si="45"/>
        <v>1400000</v>
      </c>
      <c r="K448" s="2213">
        <f t="shared" si="44"/>
        <v>0</v>
      </c>
      <c r="L448" s="2267"/>
    </row>
    <row r="449" spans="1:12" ht="30" customHeight="1" x14ac:dyDescent="0.2">
      <c r="A449" s="4459">
        <v>317</v>
      </c>
      <c r="B449" s="4457" t="s">
        <v>165</v>
      </c>
      <c r="C449" s="2238" t="s">
        <v>359</v>
      </c>
      <c r="D449" s="2213">
        <v>100000000</v>
      </c>
      <c r="E449" s="2265">
        <v>0.05</v>
      </c>
      <c r="F449" s="2213">
        <f>D449*E449</f>
        <v>5000000</v>
      </c>
      <c r="G449" s="2213">
        <v>5000000</v>
      </c>
      <c r="H449" s="2213" t="s">
        <v>1015</v>
      </c>
      <c r="I449" s="21" t="s">
        <v>3584</v>
      </c>
      <c r="J449" s="2213">
        <f t="shared" si="45"/>
        <v>5000000</v>
      </c>
      <c r="K449" s="2213">
        <f t="shared" si="44"/>
        <v>0</v>
      </c>
      <c r="L449" s="2292" t="s">
        <v>2708</v>
      </c>
    </row>
    <row r="450" spans="1:12" ht="30" customHeight="1" x14ac:dyDescent="0.2">
      <c r="A450" s="4464"/>
      <c r="B450" s="4488"/>
      <c r="C450" s="2238" t="s">
        <v>1287</v>
      </c>
      <c r="D450" s="2213">
        <v>210000000</v>
      </c>
      <c r="E450" s="2265">
        <v>0.05</v>
      </c>
      <c r="F450" s="2213">
        <f>D450*E450</f>
        <v>10500000</v>
      </c>
      <c r="G450" s="2213">
        <v>17000000</v>
      </c>
      <c r="H450" s="2213" t="s">
        <v>4062</v>
      </c>
      <c r="I450" s="21" t="s">
        <v>3584</v>
      </c>
      <c r="J450" s="2201">
        <f>G450</f>
        <v>17000000</v>
      </c>
      <c r="K450" s="2201">
        <f>17000000-J450</f>
        <v>0</v>
      </c>
      <c r="L450" s="2292" t="s">
        <v>2709</v>
      </c>
    </row>
    <row r="451" spans="1:12" ht="30" customHeight="1" x14ac:dyDescent="0.2">
      <c r="A451" s="2269">
        <v>318</v>
      </c>
      <c r="B451" s="2267" t="s">
        <v>167</v>
      </c>
      <c r="C451" s="2238"/>
      <c r="D451" s="2213">
        <v>80000000</v>
      </c>
      <c r="E451" s="2265">
        <v>0.05</v>
      </c>
      <c r="F451" s="2213">
        <f t="shared" si="43"/>
        <v>4000000</v>
      </c>
      <c r="G451" s="2213">
        <v>4000000</v>
      </c>
      <c r="H451" s="2213" t="s">
        <v>4045</v>
      </c>
      <c r="I451" s="18" t="s">
        <v>1814</v>
      </c>
      <c r="J451" s="2213">
        <f t="shared" si="45"/>
        <v>4000000</v>
      </c>
      <c r="K451" s="2213">
        <f>F451-J451</f>
        <v>0</v>
      </c>
      <c r="L451" s="2267"/>
    </row>
    <row r="452" spans="1:12" ht="30" customHeight="1" x14ac:dyDescent="0.2">
      <c r="A452" s="2269">
        <v>319</v>
      </c>
      <c r="B452" s="2267" t="s">
        <v>168</v>
      </c>
      <c r="C452" s="2238" t="s">
        <v>1287</v>
      </c>
      <c r="D452" s="2213">
        <v>200000000</v>
      </c>
      <c r="E452" s="2265">
        <v>5.5E-2</v>
      </c>
      <c r="F452" s="2213">
        <f t="shared" si="43"/>
        <v>11000000</v>
      </c>
      <c r="G452" s="2213"/>
      <c r="H452" s="2213"/>
      <c r="I452" s="21" t="s">
        <v>3723</v>
      </c>
      <c r="J452" s="2213">
        <f t="shared" si="45"/>
        <v>0</v>
      </c>
      <c r="K452" s="2213">
        <f>F452-J452</f>
        <v>11000000</v>
      </c>
      <c r="L452" s="2292"/>
    </row>
    <row r="453" spans="1:12" ht="30" customHeight="1" x14ac:dyDescent="0.2">
      <c r="A453" s="4459">
        <v>320</v>
      </c>
      <c r="B453" s="4457" t="s">
        <v>169</v>
      </c>
      <c r="C453" s="4537" t="s">
        <v>2278</v>
      </c>
      <c r="D453" s="2213">
        <v>135000000</v>
      </c>
      <c r="E453" s="2265">
        <v>0.06</v>
      </c>
      <c r="F453" s="2213">
        <v>8000000</v>
      </c>
      <c r="G453" s="4413">
        <v>9750000</v>
      </c>
      <c r="H453" s="4413" t="s">
        <v>4045</v>
      </c>
      <c r="I453" s="4478" t="s">
        <v>3678</v>
      </c>
      <c r="J453" s="4413">
        <f t="shared" si="45"/>
        <v>9750000</v>
      </c>
      <c r="K453" s="4413">
        <f>(F453+F454)-J453</f>
        <v>0</v>
      </c>
      <c r="L453" s="2292"/>
    </row>
    <row r="454" spans="1:12" ht="30" customHeight="1" x14ac:dyDescent="0.2">
      <c r="A454" s="4460"/>
      <c r="B454" s="4458"/>
      <c r="C454" s="4538"/>
      <c r="D454" s="2213">
        <v>35000000</v>
      </c>
      <c r="E454" s="2265">
        <v>0.05</v>
      </c>
      <c r="F454" s="2213">
        <f>D454*E454</f>
        <v>1750000</v>
      </c>
      <c r="G454" s="4415"/>
      <c r="H454" s="4415"/>
      <c r="I454" s="4479"/>
      <c r="J454" s="4415"/>
      <c r="K454" s="4415"/>
      <c r="L454" s="2292" t="s">
        <v>3458</v>
      </c>
    </row>
    <row r="455" spans="1:12" ht="30" customHeight="1" x14ac:dyDescent="0.2">
      <c r="A455" s="2269">
        <v>321</v>
      </c>
      <c r="B455" s="2267" t="s">
        <v>171</v>
      </c>
      <c r="C455" s="2238"/>
      <c r="D455" s="2213">
        <v>5000000</v>
      </c>
      <c r="E455" s="2265">
        <v>0.04</v>
      </c>
      <c r="F455" s="2213">
        <f t="shared" si="43"/>
        <v>200000</v>
      </c>
      <c r="G455" s="2213"/>
      <c r="H455" s="2213"/>
      <c r="I455" s="21" t="s">
        <v>2330</v>
      </c>
      <c r="J455" s="2213">
        <f t="shared" si="45"/>
        <v>0</v>
      </c>
      <c r="K455" s="2213">
        <f>F455-J455</f>
        <v>200000</v>
      </c>
      <c r="L455" s="2267"/>
    </row>
    <row r="456" spans="1:12" ht="30" customHeight="1" x14ac:dyDescent="0.2">
      <c r="A456" s="4459">
        <v>322</v>
      </c>
      <c r="B456" s="4457" t="s">
        <v>1378</v>
      </c>
      <c r="C456" s="4537" t="s">
        <v>1081</v>
      </c>
      <c r="D456" s="2213">
        <v>10000000</v>
      </c>
      <c r="E456" s="2265">
        <v>0.05</v>
      </c>
      <c r="F456" s="2213">
        <f t="shared" si="43"/>
        <v>500000</v>
      </c>
      <c r="G456" s="2213"/>
      <c r="H456" s="2213"/>
      <c r="I456" s="2259" t="s">
        <v>1376</v>
      </c>
      <c r="J456" s="2213">
        <f t="shared" si="45"/>
        <v>0</v>
      </c>
      <c r="K456" s="2213">
        <f>F456-J456</f>
        <v>500000</v>
      </c>
      <c r="L456" s="1025" t="s">
        <v>3439</v>
      </c>
    </row>
    <row r="457" spans="1:12" ht="30" customHeight="1" x14ac:dyDescent="0.2">
      <c r="A457" s="4460"/>
      <c r="B457" s="4458"/>
      <c r="C457" s="4538"/>
      <c r="D457" s="2213">
        <v>10000000</v>
      </c>
      <c r="E457" s="2265">
        <v>0.05</v>
      </c>
      <c r="F457" s="2213">
        <f t="shared" si="43"/>
        <v>500000</v>
      </c>
      <c r="G457" s="2213"/>
      <c r="H457" s="2213"/>
      <c r="I457" s="2259" t="s">
        <v>3904</v>
      </c>
      <c r="J457" s="2213">
        <f t="shared" si="45"/>
        <v>0</v>
      </c>
      <c r="K457" s="2213">
        <f>F457-J457</f>
        <v>500000</v>
      </c>
      <c r="L457" s="2267"/>
    </row>
    <row r="458" spans="1:12" ht="30" customHeight="1" x14ac:dyDescent="0.2">
      <c r="A458" s="2269">
        <v>323</v>
      </c>
      <c r="B458" s="2267" t="s">
        <v>172</v>
      </c>
      <c r="C458" s="2238"/>
      <c r="D458" s="2213">
        <v>60000000</v>
      </c>
      <c r="E458" s="2265">
        <v>4.4999999999999998E-2</v>
      </c>
      <c r="F458" s="2213">
        <f t="shared" si="43"/>
        <v>2700000</v>
      </c>
      <c r="G458" s="2213"/>
      <c r="H458" s="2213"/>
      <c r="I458" s="2240"/>
      <c r="J458" s="2213">
        <f>G458</f>
        <v>0</v>
      </c>
      <c r="K458" s="2213">
        <f>F458-J458</f>
        <v>2700000</v>
      </c>
      <c r="L458" s="2267"/>
    </row>
    <row r="459" spans="1:12" ht="30" customHeight="1" x14ac:dyDescent="0.2">
      <c r="A459" s="2269">
        <v>324</v>
      </c>
      <c r="B459" s="2267" t="s">
        <v>173</v>
      </c>
      <c r="C459" s="2238" t="s">
        <v>889</v>
      </c>
      <c r="D459" s="2213">
        <v>20000000</v>
      </c>
      <c r="E459" s="2265">
        <v>0.05</v>
      </c>
      <c r="F459" s="2213">
        <f>D459*E459</f>
        <v>1000000</v>
      </c>
      <c r="G459" s="4725" t="s">
        <v>5064</v>
      </c>
      <c r="H459" s="4726"/>
      <c r="I459" s="4726"/>
      <c r="J459" s="4727"/>
      <c r="K459" s="2213">
        <f>F459-J459</f>
        <v>1000000</v>
      </c>
      <c r="L459" s="2267"/>
    </row>
    <row r="460" spans="1:12" ht="30" customHeight="1" x14ac:dyDescent="0.2">
      <c r="A460" s="4459">
        <v>325</v>
      </c>
      <c r="B460" s="4457" t="s">
        <v>270</v>
      </c>
      <c r="C460" s="4537"/>
      <c r="D460" s="2213">
        <v>300000000</v>
      </c>
      <c r="E460" s="2265">
        <v>0.1</v>
      </c>
      <c r="F460" s="2213">
        <v>30750000</v>
      </c>
      <c r="G460" s="4413">
        <v>40550000</v>
      </c>
      <c r="H460" s="4413" t="s">
        <v>1015</v>
      </c>
      <c r="I460" s="4478" t="s">
        <v>2927</v>
      </c>
      <c r="J460" s="4413">
        <f>G460</f>
        <v>40550000</v>
      </c>
      <c r="K460" s="4413">
        <f>(F460+F461)-J460</f>
        <v>0</v>
      </c>
      <c r="L460" s="4537"/>
    </row>
    <row r="461" spans="1:12" ht="30" customHeight="1" x14ac:dyDescent="0.2">
      <c r="A461" s="4460"/>
      <c r="B461" s="4458"/>
      <c r="C461" s="4538"/>
      <c r="D461" s="2213">
        <v>140000000</v>
      </c>
      <c r="E461" s="2265">
        <v>7.0000000000000007E-2</v>
      </c>
      <c r="F461" s="2213">
        <v>9800000</v>
      </c>
      <c r="G461" s="4415"/>
      <c r="H461" s="4415"/>
      <c r="I461" s="4479"/>
      <c r="J461" s="4415"/>
      <c r="K461" s="4415"/>
      <c r="L461" s="4538"/>
    </row>
    <row r="462" spans="1:12" ht="30" customHeight="1" x14ac:dyDescent="0.2">
      <c r="A462" s="3085">
        <v>326</v>
      </c>
      <c r="B462" s="19" t="s">
        <v>176</v>
      </c>
      <c r="C462" s="3088" t="s">
        <v>1300</v>
      </c>
      <c r="D462" s="3092">
        <v>500000000</v>
      </c>
      <c r="E462" s="3093">
        <v>0.05</v>
      </c>
      <c r="F462" s="3092">
        <f>D462*E462</f>
        <v>25000000</v>
      </c>
      <c r="G462" s="233"/>
      <c r="H462" s="233"/>
      <c r="I462" s="233"/>
      <c r="J462" s="233"/>
      <c r="K462" s="2201">
        <f>F462-J462</f>
        <v>25000000</v>
      </c>
      <c r="L462" s="3091" t="s">
        <v>3387</v>
      </c>
    </row>
    <row r="463" spans="1:12" ht="30" customHeight="1" x14ac:dyDescent="0.2">
      <c r="A463" s="2269">
        <v>327</v>
      </c>
      <c r="B463" s="2206" t="s">
        <v>1232</v>
      </c>
      <c r="C463" s="2238"/>
      <c r="D463" s="2213">
        <v>60000000</v>
      </c>
      <c r="E463" s="2210">
        <v>0.05</v>
      </c>
      <c r="F463" s="2213">
        <f t="shared" ref="F463:F465" si="46">D463*E463</f>
        <v>3000000</v>
      </c>
      <c r="G463" s="2213"/>
      <c r="H463" s="2213"/>
      <c r="I463" s="21" t="s">
        <v>1231</v>
      </c>
      <c r="J463" s="2213">
        <f>G463</f>
        <v>0</v>
      </c>
      <c r="K463" s="2213">
        <f t="shared" ref="K463:K468" si="47">F463-J463</f>
        <v>3000000</v>
      </c>
      <c r="L463" s="2292"/>
    </row>
    <row r="464" spans="1:12" ht="30" customHeight="1" x14ac:dyDescent="0.2">
      <c r="A464" s="2650">
        <v>328</v>
      </c>
      <c r="B464" s="19" t="s">
        <v>2675</v>
      </c>
      <c r="C464" s="378" t="s">
        <v>942</v>
      </c>
      <c r="D464" s="2626">
        <v>695000000</v>
      </c>
      <c r="E464" s="2644">
        <v>0.06</v>
      </c>
      <c r="F464" s="2626">
        <f>D464*E464</f>
        <v>41700000</v>
      </c>
      <c r="G464" s="4725" t="s">
        <v>4665</v>
      </c>
      <c r="H464" s="4726"/>
      <c r="I464" s="4726"/>
      <c r="J464" s="4727"/>
      <c r="K464" s="2626">
        <f t="shared" si="47"/>
        <v>41700000</v>
      </c>
      <c r="L464" s="2292"/>
    </row>
    <row r="465" spans="1:12" ht="30" customHeight="1" x14ac:dyDescent="0.2">
      <c r="A465" s="2202">
        <v>329</v>
      </c>
      <c r="B465" s="2263" t="s">
        <v>181</v>
      </c>
      <c r="C465" s="378"/>
      <c r="D465" s="2229"/>
      <c r="E465" s="2297"/>
      <c r="F465" s="2229">
        <f t="shared" si="46"/>
        <v>0</v>
      </c>
      <c r="G465" s="2201"/>
      <c r="H465" s="2201"/>
      <c r="I465" s="2262"/>
      <c r="J465" s="2201"/>
      <c r="K465" s="2229">
        <f t="shared" si="47"/>
        <v>0</v>
      </c>
      <c r="L465" s="2234"/>
    </row>
    <row r="466" spans="1:12" ht="30" customHeight="1" x14ac:dyDescent="0.2">
      <c r="A466" s="2269">
        <v>330</v>
      </c>
      <c r="B466" s="2267" t="s">
        <v>1170</v>
      </c>
      <c r="C466" s="2238" t="s">
        <v>1138</v>
      </c>
      <c r="D466" s="2213">
        <v>30000000</v>
      </c>
      <c r="E466" s="2210">
        <f>F466/D466</f>
        <v>0.05</v>
      </c>
      <c r="F466" s="2213">
        <v>1500000</v>
      </c>
      <c r="G466" s="2213">
        <v>1500000</v>
      </c>
      <c r="H466" s="2213" t="s">
        <v>4190</v>
      </c>
      <c r="I466" s="21" t="s">
        <v>4265</v>
      </c>
      <c r="J466" s="2213">
        <f>G466</f>
        <v>1500000</v>
      </c>
      <c r="K466" s="2213">
        <f t="shared" si="47"/>
        <v>0</v>
      </c>
      <c r="L466" s="2267"/>
    </row>
    <row r="467" spans="1:12" ht="30" customHeight="1" x14ac:dyDescent="0.2">
      <c r="A467" s="2281">
        <v>331</v>
      </c>
      <c r="B467" s="2267" t="s">
        <v>339</v>
      </c>
      <c r="C467" s="2266" t="s">
        <v>371</v>
      </c>
      <c r="D467" s="2201">
        <v>290000000</v>
      </c>
      <c r="E467" s="2265">
        <v>0.06</v>
      </c>
      <c r="F467" s="2201">
        <f t="shared" ref="F467:F471" si="48">D467*E467</f>
        <v>17400000</v>
      </c>
      <c r="G467" s="2201">
        <v>17400000</v>
      </c>
      <c r="H467" s="2201" t="s">
        <v>4045</v>
      </c>
      <c r="I467" s="2201" t="s">
        <v>3956</v>
      </c>
      <c r="J467" s="2201">
        <f>G467</f>
        <v>17400000</v>
      </c>
      <c r="K467" s="2201">
        <f t="shared" si="47"/>
        <v>0</v>
      </c>
      <c r="L467" s="2292"/>
    </row>
    <row r="468" spans="1:12" ht="30" customHeight="1" x14ac:dyDescent="0.2">
      <c r="A468" s="2269">
        <v>332</v>
      </c>
      <c r="B468" s="2206" t="s">
        <v>370</v>
      </c>
      <c r="C468" s="2238" t="s">
        <v>371</v>
      </c>
      <c r="D468" s="2213">
        <v>30000000</v>
      </c>
      <c r="E468" s="2210">
        <v>0.05</v>
      </c>
      <c r="F468" s="2213">
        <f t="shared" si="48"/>
        <v>1500000</v>
      </c>
      <c r="G468" s="2213">
        <v>1500000</v>
      </c>
      <c r="H468" s="2213" t="s">
        <v>4076</v>
      </c>
      <c r="I468" s="21" t="s">
        <v>3575</v>
      </c>
      <c r="J468" s="2212">
        <f>G468</f>
        <v>1500000</v>
      </c>
      <c r="K468" s="2212">
        <f t="shared" si="47"/>
        <v>0</v>
      </c>
      <c r="L468" s="2267"/>
    </row>
    <row r="469" spans="1:12" ht="30" customHeight="1" x14ac:dyDescent="0.2">
      <c r="A469" s="4459">
        <v>333</v>
      </c>
      <c r="B469" s="4457" t="s">
        <v>888</v>
      </c>
      <c r="C469" s="4537" t="s">
        <v>889</v>
      </c>
      <c r="D469" s="2213">
        <v>320000000</v>
      </c>
      <c r="E469" s="2265">
        <v>0.05</v>
      </c>
      <c r="F469" s="2213">
        <f t="shared" si="48"/>
        <v>16000000</v>
      </c>
      <c r="G469" s="4413">
        <v>21000000</v>
      </c>
      <c r="H469" s="4413" t="s">
        <v>1215</v>
      </c>
      <c r="I469" s="4478" t="s">
        <v>1323</v>
      </c>
      <c r="J469" s="4322">
        <f>G469</f>
        <v>21000000</v>
      </c>
      <c r="K469" s="4322">
        <f>(F469+F470)-J469</f>
        <v>0</v>
      </c>
      <c r="L469" s="4643"/>
    </row>
    <row r="470" spans="1:12" ht="30" customHeight="1" x14ac:dyDescent="0.2">
      <c r="A470" s="4460"/>
      <c r="B470" s="4458"/>
      <c r="C470" s="4538"/>
      <c r="D470" s="2213">
        <v>100000000</v>
      </c>
      <c r="E470" s="2265">
        <v>0.05</v>
      </c>
      <c r="F470" s="2213">
        <f t="shared" si="48"/>
        <v>5000000</v>
      </c>
      <c r="G470" s="4415"/>
      <c r="H470" s="4415"/>
      <c r="I470" s="4479"/>
      <c r="J470" s="4322"/>
      <c r="K470" s="4322"/>
      <c r="L470" s="4644"/>
    </row>
    <row r="471" spans="1:12" ht="30" customHeight="1" x14ac:dyDescent="0.2">
      <c r="A471" s="2202">
        <v>335</v>
      </c>
      <c r="B471" s="19" t="s">
        <v>1276</v>
      </c>
      <c r="C471" s="2266" t="s">
        <v>889</v>
      </c>
      <c r="D471" s="2213">
        <v>15000000</v>
      </c>
      <c r="E471" s="2265">
        <v>0.05</v>
      </c>
      <c r="F471" s="2213">
        <f t="shared" si="48"/>
        <v>750000</v>
      </c>
      <c r="G471" s="2213">
        <v>750000</v>
      </c>
      <c r="H471" s="2213" t="s">
        <v>3920</v>
      </c>
      <c r="I471" s="21" t="s">
        <v>3410</v>
      </c>
      <c r="J471" s="2213">
        <f>G471</f>
        <v>750000</v>
      </c>
      <c r="K471" s="2213">
        <f>F471-J471</f>
        <v>0</v>
      </c>
      <c r="L471" s="2292" t="s">
        <v>3388</v>
      </c>
    </row>
    <row r="472" spans="1:12" ht="30" customHeight="1" x14ac:dyDescent="0.2">
      <c r="A472" s="2269">
        <v>336</v>
      </c>
      <c r="B472" s="2206" t="s">
        <v>2576</v>
      </c>
      <c r="C472" s="2238" t="s">
        <v>889</v>
      </c>
      <c r="D472" s="2213">
        <v>210000000</v>
      </c>
      <c r="E472" s="2265">
        <v>0.05</v>
      </c>
      <c r="F472" s="2213">
        <f>D472*E472</f>
        <v>10500000</v>
      </c>
      <c r="G472" s="2213">
        <v>10500000</v>
      </c>
      <c r="H472" s="2213" t="s">
        <v>1215</v>
      </c>
      <c r="I472" s="21" t="s">
        <v>3408</v>
      </c>
      <c r="J472" s="2213">
        <f>G472</f>
        <v>10500000</v>
      </c>
      <c r="K472" s="2213">
        <f>F472-J472</f>
        <v>0</v>
      </c>
      <c r="L472" s="2267"/>
    </row>
    <row r="473" spans="1:12" ht="30" customHeight="1" x14ac:dyDescent="0.2">
      <c r="A473" s="2269">
        <v>337</v>
      </c>
      <c r="B473" s="2206" t="s">
        <v>1304</v>
      </c>
      <c r="C473" s="2238" t="s">
        <v>889</v>
      </c>
      <c r="D473" s="2213">
        <v>80000000</v>
      </c>
      <c r="E473" s="2265">
        <v>7.0000000000000007E-2</v>
      </c>
      <c r="F473" s="2213">
        <f t="shared" ref="F473:F490" si="49">D473*E473</f>
        <v>5600000.0000000009</v>
      </c>
      <c r="G473" s="2213">
        <v>5600000</v>
      </c>
      <c r="H473" s="2213" t="s">
        <v>3966</v>
      </c>
      <c r="I473" s="21" t="s">
        <v>3992</v>
      </c>
      <c r="J473" s="2213">
        <f>G473</f>
        <v>5600000</v>
      </c>
      <c r="K473" s="2213">
        <f>G473-J473</f>
        <v>0</v>
      </c>
      <c r="L473" s="2267"/>
    </row>
    <row r="474" spans="1:12" ht="30" customHeight="1" x14ac:dyDescent="0.2">
      <c r="A474" s="4459"/>
      <c r="B474" s="4599" t="s">
        <v>1677</v>
      </c>
      <c r="C474" s="4537" t="s">
        <v>889</v>
      </c>
      <c r="D474" s="3260">
        <v>235500000</v>
      </c>
      <c r="E474" s="2265">
        <v>0.05</v>
      </c>
      <c r="F474" s="2213">
        <f t="shared" si="49"/>
        <v>11775000</v>
      </c>
      <c r="G474" s="2197"/>
      <c r="H474" s="2199"/>
      <c r="I474" s="2199"/>
      <c r="J474" s="2199"/>
      <c r="K474" s="1605"/>
      <c r="L474" s="2247"/>
    </row>
    <row r="475" spans="1:12" ht="30" customHeight="1" x14ac:dyDescent="0.2">
      <c r="A475" s="4464"/>
      <c r="B475" s="4600"/>
      <c r="C475" s="4540"/>
      <c r="D475" s="3256">
        <v>300000000</v>
      </c>
      <c r="E475" s="3258">
        <v>7.0000000000000007E-2</v>
      </c>
      <c r="F475" s="3256">
        <f t="shared" si="49"/>
        <v>21000000.000000004</v>
      </c>
      <c r="G475" s="2197"/>
      <c r="H475" s="2199"/>
      <c r="I475" s="2199"/>
      <c r="J475" s="2199"/>
      <c r="K475" s="1605"/>
      <c r="L475" s="2247"/>
    </row>
    <row r="476" spans="1:12" ht="30" customHeight="1" x14ac:dyDescent="0.2">
      <c r="A476" s="4464"/>
      <c r="B476" s="4600"/>
      <c r="C476" s="4540"/>
      <c r="D476" s="3256">
        <v>30000000</v>
      </c>
      <c r="E476" s="3258">
        <v>7.0000000000000007E-2</v>
      </c>
      <c r="F476" s="3256">
        <f t="shared" si="49"/>
        <v>2100000</v>
      </c>
      <c r="G476" s="2197"/>
      <c r="H476" s="2199"/>
      <c r="I476" s="2199"/>
      <c r="J476" s="2199"/>
      <c r="K476" s="1605"/>
      <c r="L476" s="2247"/>
    </row>
    <row r="477" spans="1:12" ht="30" customHeight="1" x14ac:dyDescent="0.2">
      <c r="A477" s="4464"/>
      <c r="B477" s="4600"/>
      <c r="C477" s="4540"/>
      <c r="D477" s="3257">
        <v>20000000</v>
      </c>
      <c r="E477" s="3259">
        <v>7.0000000000000007E-2</v>
      </c>
      <c r="F477" s="3257">
        <f>D477*E477</f>
        <v>1400000.0000000002</v>
      </c>
      <c r="G477" s="2197"/>
      <c r="H477" s="2199"/>
      <c r="I477" s="2199"/>
      <c r="J477" s="2199"/>
      <c r="K477" s="1605"/>
      <c r="L477" s="2247"/>
    </row>
    <row r="478" spans="1:12" ht="30" customHeight="1" x14ac:dyDescent="0.2">
      <c r="A478" s="4464"/>
      <c r="B478" s="4600"/>
      <c r="C478" s="4540"/>
      <c r="D478" s="3257">
        <v>12000000</v>
      </c>
      <c r="E478" s="3259">
        <v>7.0000000000000007E-2</v>
      </c>
      <c r="F478" s="3257">
        <f>D478*E478</f>
        <v>840000.00000000012</v>
      </c>
      <c r="G478" s="2197"/>
      <c r="H478" s="2199"/>
      <c r="I478" s="2199"/>
      <c r="J478" s="2199"/>
      <c r="K478" s="1605"/>
      <c r="L478" s="2247"/>
    </row>
    <row r="479" spans="1:12" ht="30" customHeight="1" x14ac:dyDescent="0.2">
      <c r="A479" s="4464"/>
      <c r="B479" s="4600"/>
      <c r="C479" s="4540"/>
      <c r="D479" s="3257">
        <f>SUM(D475:D478)</f>
        <v>362000000</v>
      </c>
      <c r="E479" s="3259">
        <v>7.0000000000000007E-2</v>
      </c>
      <c r="F479" s="3257">
        <f>D479*E479</f>
        <v>25340000.000000004</v>
      </c>
      <c r="G479" s="2197"/>
      <c r="H479" s="2199"/>
      <c r="I479" s="2199"/>
      <c r="J479" s="2199"/>
      <c r="K479" s="1605"/>
      <c r="L479" s="2247"/>
    </row>
    <row r="480" spans="1:12" ht="30" customHeight="1" x14ac:dyDescent="0.2">
      <c r="A480" s="4464"/>
      <c r="B480" s="4600"/>
      <c r="C480" s="4540"/>
      <c r="D480" s="4807">
        <f>D474+D479</f>
        <v>597500000</v>
      </c>
      <c r="E480" s="4808"/>
      <c r="F480" s="3257">
        <f>F474+F479</f>
        <v>37115000</v>
      </c>
      <c r="G480" s="2197"/>
      <c r="H480" s="2199"/>
      <c r="I480" s="2199"/>
      <c r="J480" s="2199"/>
      <c r="K480" s="1605"/>
      <c r="L480" s="2247"/>
    </row>
    <row r="481" spans="1:17" ht="30" customHeight="1" x14ac:dyDescent="0.2">
      <c r="A481" s="4464"/>
      <c r="B481" s="4600"/>
      <c r="C481" s="4540"/>
      <c r="D481" s="3244">
        <v>45000000</v>
      </c>
      <c r="E481" s="3233">
        <v>7.0000000000000007E-2</v>
      </c>
      <c r="F481" s="3244">
        <f>D481*E481</f>
        <v>3150000.0000000005</v>
      </c>
      <c r="G481" s="3218"/>
      <c r="H481" s="3220"/>
      <c r="I481" s="3220"/>
      <c r="J481" s="3220"/>
      <c r="K481" s="1605"/>
      <c r="L481" s="2247"/>
    </row>
    <row r="482" spans="1:17" ht="30" customHeight="1" x14ac:dyDescent="0.2">
      <c r="A482" s="4464"/>
      <c r="B482" s="4600"/>
      <c r="C482" s="4540"/>
      <c r="D482" s="3244">
        <v>100000000</v>
      </c>
      <c r="E482" s="3233">
        <v>7.0000000000000007E-2</v>
      </c>
      <c r="F482" s="3244">
        <f>D482*E482</f>
        <v>7000000.0000000009</v>
      </c>
      <c r="G482" s="4469" t="s">
        <v>3791</v>
      </c>
      <c r="H482" s="4470"/>
      <c r="I482" s="4470"/>
      <c r="J482" s="4470"/>
      <c r="K482" s="4471"/>
      <c r="L482" s="2247"/>
    </row>
    <row r="483" spans="1:17" ht="30" customHeight="1" x14ac:dyDescent="0.2">
      <c r="A483" s="4464"/>
      <c r="B483" s="4600"/>
      <c r="C483" s="4540"/>
      <c r="D483" s="3244">
        <v>80000000</v>
      </c>
      <c r="E483" s="3233">
        <v>7.0000000000000007E-2</v>
      </c>
      <c r="F483" s="3244">
        <f t="shared" ref="F483:F484" si="50">D483*E483</f>
        <v>5600000.0000000009</v>
      </c>
      <c r="G483" s="4469" t="s">
        <v>3792</v>
      </c>
      <c r="H483" s="4470"/>
      <c r="I483" s="4470"/>
      <c r="J483" s="4470"/>
      <c r="K483" s="4471"/>
      <c r="L483" s="2247"/>
    </row>
    <row r="484" spans="1:17" ht="30" customHeight="1" x14ac:dyDescent="0.2">
      <c r="A484" s="4464"/>
      <c r="B484" s="4600"/>
      <c r="C484" s="4540"/>
      <c r="D484" s="3244">
        <v>55000000</v>
      </c>
      <c r="E484" s="3233">
        <v>7.0000000000000007E-2</v>
      </c>
      <c r="F484" s="3244">
        <f t="shared" si="50"/>
        <v>3850000.0000000005</v>
      </c>
      <c r="G484" s="4469" t="s">
        <v>3793</v>
      </c>
      <c r="H484" s="4470"/>
      <c r="I484" s="4470"/>
      <c r="J484" s="4470"/>
      <c r="K484" s="4471"/>
      <c r="L484" s="2247"/>
    </row>
    <row r="485" spans="1:17" ht="30" customHeight="1" x14ac:dyDescent="0.2">
      <c r="A485" s="4464"/>
      <c r="B485" s="4600"/>
      <c r="C485" s="4540"/>
      <c r="D485" s="4635">
        <f>D480+D481+D482+D483+D484</f>
        <v>877500000</v>
      </c>
      <c r="E485" s="4637"/>
      <c r="F485" s="3244">
        <f>F480+F481+F482+F483+F484</f>
        <v>56715000</v>
      </c>
      <c r="G485" s="4623" t="s">
        <v>3673</v>
      </c>
      <c r="H485" s="4624"/>
      <c r="I485" s="4624"/>
      <c r="J485" s="4624"/>
      <c r="K485" s="4625"/>
      <c r="L485" s="2247"/>
    </row>
    <row r="486" spans="1:17" ht="30" customHeight="1" x14ac:dyDescent="0.2">
      <c r="A486" s="4464"/>
      <c r="B486" s="4600"/>
      <c r="C486" s="4540"/>
      <c r="D486" s="1857">
        <v>150000000</v>
      </c>
      <c r="E486" s="2293">
        <v>7.0000000000000007E-2</v>
      </c>
      <c r="F486" s="1857">
        <f>D486*E486</f>
        <v>10500000.000000002</v>
      </c>
      <c r="G486" s="4469" t="s">
        <v>4202</v>
      </c>
      <c r="H486" s="4470"/>
      <c r="I486" s="4470"/>
      <c r="J486" s="4470"/>
      <c r="K486" s="4471"/>
      <c r="L486" s="2247"/>
    </row>
    <row r="487" spans="1:17" ht="30" customHeight="1" x14ac:dyDescent="0.2">
      <c r="A487" s="4464"/>
      <c r="B487" s="4600"/>
      <c r="C487" s="4540"/>
      <c r="D487" s="1857">
        <v>100000000</v>
      </c>
      <c r="E487" s="2293">
        <v>7.0000000000000007E-2</v>
      </c>
      <c r="F487" s="1857">
        <f>D487*E487</f>
        <v>7000000.0000000009</v>
      </c>
      <c r="G487" s="4469" t="s">
        <v>4203</v>
      </c>
      <c r="H487" s="4470"/>
      <c r="I487" s="4470"/>
      <c r="J487" s="4470"/>
      <c r="K487" s="4471"/>
      <c r="L487" s="2247"/>
    </row>
    <row r="488" spans="1:17" ht="30" customHeight="1" x14ac:dyDescent="0.2">
      <c r="A488" s="4464"/>
      <c r="B488" s="4600"/>
      <c r="C488" s="4540"/>
      <c r="D488" s="4822">
        <f>D485+D486+D487</f>
        <v>1127500000</v>
      </c>
      <c r="E488" s="4823"/>
      <c r="F488" s="1857">
        <f>F485+F486+F487</f>
        <v>74215000</v>
      </c>
      <c r="G488" s="4804" t="s">
        <v>3882</v>
      </c>
      <c r="H488" s="4805"/>
      <c r="I488" s="4805"/>
      <c r="J488" s="4805"/>
      <c r="K488" s="4806"/>
      <c r="L488" s="2247"/>
    </row>
    <row r="489" spans="1:17" ht="30" customHeight="1" x14ac:dyDescent="0.2">
      <c r="A489" s="4460"/>
      <c r="B489" s="4607"/>
      <c r="C489" s="4538"/>
      <c r="D489" s="3227"/>
      <c r="E489" s="3223"/>
      <c r="F489" s="3227"/>
      <c r="G489" s="2201">
        <v>56715000</v>
      </c>
      <c r="H489" s="2201" t="s">
        <v>2015</v>
      </c>
      <c r="I489" s="2201" t="s">
        <v>1720</v>
      </c>
      <c r="J489" s="2201">
        <f>G489</f>
        <v>56715000</v>
      </c>
      <c r="K489" s="2201">
        <f>F485-J489</f>
        <v>0</v>
      </c>
      <c r="L489" s="2247" t="s">
        <v>3953</v>
      </c>
    </row>
    <row r="490" spans="1:17" ht="30" customHeight="1" x14ac:dyDescent="0.2">
      <c r="A490" s="2282">
        <v>339</v>
      </c>
      <c r="B490" s="2264" t="s">
        <v>170</v>
      </c>
      <c r="C490" s="2238" t="s">
        <v>1306</v>
      </c>
      <c r="D490" s="2201">
        <v>200000000</v>
      </c>
      <c r="E490" s="2265">
        <v>7.0000000000000007E-2</v>
      </c>
      <c r="F490" s="2201">
        <f t="shared" si="49"/>
        <v>14000000.000000002</v>
      </c>
      <c r="G490" s="233"/>
      <c r="H490" s="233"/>
      <c r="I490" s="1389"/>
      <c r="J490" s="233"/>
      <c r="K490" s="387"/>
      <c r="L490" s="2271"/>
      <c r="M490" s="386"/>
      <c r="N490" s="386"/>
      <c r="O490" s="386"/>
      <c r="P490" s="386"/>
      <c r="Q490" s="386"/>
    </row>
    <row r="491" spans="1:17" ht="30" customHeight="1" x14ac:dyDescent="0.2">
      <c r="A491" s="2282">
        <v>340</v>
      </c>
      <c r="B491" s="19" t="s">
        <v>67</v>
      </c>
      <c r="C491" s="378" t="s">
        <v>1138</v>
      </c>
      <c r="D491" s="2213">
        <v>85000000</v>
      </c>
      <c r="E491" s="2265">
        <v>0.05</v>
      </c>
      <c r="F491" s="2213">
        <f>D491*E491</f>
        <v>4250000</v>
      </c>
      <c r="G491" s="2201"/>
      <c r="H491" s="2201"/>
      <c r="I491" s="2262"/>
      <c r="J491" s="2201">
        <f t="shared" ref="J491:J501" si="51">G491</f>
        <v>0</v>
      </c>
      <c r="K491" s="2198">
        <f>F491-J491</f>
        <v>4250000</v>
      </c>
      <c r="L491" s="2252"/>
      <c r="M491" s="386"/>
      <c r="N491" s="386"/>
      <c r="O491" s="386"/>
      <c r="P491" s="386"/>
      <c r="Q491" s="386"/>
    </row>
    <row r="492" spans="1:17" ht="30" customHeight="1" x14ac:dyDescent="0.2">
      <c r="A492" s="4459">
        <v>341</v>
      </c>
      <c r="B492" s="4457" t="s">
        <v>1357</v>
      </c>
      <c r="C492" s="4537" t="s">
        <v>889</v>
      </c>
      <c r="D492" s="2651">
        <v>75000000</v>
      </c>
      <c r="E492" s="897">
        <v>4.4999999999999998E-2</v>
      </c>
      <c r="F492" s="2651">
        <v>3500000</v>
      </c>
      <c r="G492" s="4469" t="s">
        <v>4658</v>
      </c>
      <c r="H492" s="4470"/>
      <c r="I492" s="4470"/>
      <c r="J492" s="4471"/>
      <c r="K492" s="2255"/>
      <c r="L492" s="2647" t="s">
        <v>4657</v>
      </c>
      <c r="M492" s="386"/>
      <c r="N492" s="386"/>
      <c r="O492" s="386"/>
      <c r="P492" s="386"/>
      <c r="Q492" s="386"/>
    </row>
    <row r="493" spans="1:17" ht="30" customHeight="1" x14ac:dyDescent="0.2">
      <c r="A493" s="4460"/>
      <c r="B493" s="4458"/>
      <c r="C493" s="4538"/>
      <c r="D493" s="2651">
        <v>75000000</v>
      </c>
      <c r="E493" s="897">
        <v>4.4999999999999998E-2</v>
      </c>
      <c r="F493" s="2651">
        <v>3500000</v>
      </c>
      <c r="G493" s="2627"/>
      <c r="H493" s="2627"/>
      <c r="I493" s="2636"/>
      <c r="J493" s="2627"/>
      <c r="K493" s="2642"/>
      <c r="L493" s="2647"/>
      <c r="M493" s="386"/>
      <c r="N493" s="386"/>
      <c r="O493" s="386"/>
      <c r="P493" s="386"/>
      <c r="Q493" s="386"/>
    </row>
    <row r="494" spans="1:17" ht="30" customHeight="1" x14ac:dyDescent="0.2">
      <c r="A494" s="4459">
        <v>342</v>
      </c>
      <c r="B494" s="4457" t="s">
        <v>71</v>
      </c>
      <c r="C494" s="4537" t="s">
        <v>2363</v>
      </c>
      <c r="D494" s="2213">
        <v>110000000</v>
      </c>
      <c r="E494" s="2265">
        <v>0.05</v>
      </c>
      <c r="F494" s="2213">
        <f>D494*E494</f>
        <v>5500000</v>
      </c>
      <c r="G494" s="2213">
        <v>5500000</v>
      </c>
      <c r="H494" s="2213" t="s">
        <v>3929</v>
      </c>
      <c r="I494" s="2232" t="s">
        <v>3413</v>
      </c>
      <c r="J494" s="2213">
        <f t="shared" si="51"/>
        <v>5500000</v>
      </c>
      <c r="K494" s="2255">
        <f>F494-J494</f>
        <v>0</v>
      </c>
      <c r="L494" s="2271"/>
      <c r="M494" s="386"/>
      <c r="N494" s="386"/>
      <c r="O494" s="386"/>
      <c r="P494" s="386"/>
      <c r="Q494" s="386"/>
    </row>
    <row r="495" spans="1:17" ht="30" customHeight="1" x14ac:dyDescent="0.2">
      <c r="A495" s="4460"/>
      <c r="B495" s="4458"/>
      <c r="C495" s="4538"/>
      <c r="D495" s="2213">
        <v>70000000</v>
      </c>
      <c r="E495" s="2265">
        <v>0.05</v>
      </c>
      <c r="F495" s="2213">
        <f>D495*E495</f>
        <v>3500000</v>
      </c>
      <c r="G495" s="2213">
        <v>40000000</v>
      </c>
      <c r="H495" s="2213" t="s">
        <v>4109</v>
      </c>
      <c r="I495" s="2232" t="s">
        <v>4110</v>
      </c>
      <c r="J495" s="2213">
        <f>G495</f>
        <v>40000000</v>
      </c>
      <c r="K495" s="2255"/>
      <c r="L495" s="2251" t="s">
        <v>1236</v>
      </c>
      <c r="M495" s="386"/>
      <c r="N495" s="386"/>
      <c r="O495" s="386"/>
      <c r="P495" s="386"/>
      <c r="Q495" s="386"/>
    </row>
    <row r="496" spans="1:17" ht="30" customHeight="1" x14ac:dyDescent="0.2">
      <c r="A496" s="1029">
        <v>343</v>
      </c>
      <c r="B496" s="19" t="s">
        <v>1365</v>
      </c>
      <c r="C496" s="2266" t="s">
        <v>1796</v>
      </c>
      <c r="D496" s="2201">
        <v>8000000</v>
      </c>
      <c r="E496" s="2265">
        <v>0.04</v>
      </c>
      <c r="F496" s="2201">
        <f>D496*E496</f>
        <v>320000</v>
      </c>
      <c r="G496" s="2201">
        <v>320000</v>
      </c>
      <c r="H496" s="2201" t="s">
        <v>4146</v>
      </c>
      <c r="I496" s="2201" t="s">
        <v>1366</v>
      </c>
      <c r="J496" s="2201">
        <f t="shared" si="51"/>
        <v>320000</v>
      </c>
      <c r="K496" s="2198">
        <f>F496-J496</f>
        <v>0</v>
      </c>
      <c r="L496" s="2254"/>
      <c r="M496" s="386"/>
      <c r="N496" s="386"/>
      <c r="O496" s="386"/>
      <c r="P496" s="386"/>
      <c r="Q496" s="386"/>
    </row>
    <row r="497" spans="1:17" ht="30" customHeight="1" x14ac:dyDescent="0.2">
      <c r="A497" s="2204">
        <v>344</v>
      </c>
      <c r="B497" s="2206" t="s">
        <v>1373</v>
      </c>
      <c r="C497" s="2238"/>
      <c r="D497" s="2226"/>
      <c r="E497" s="2228"/>
      <c r="F497" s="2226"/>
      <c r="G497" s="2213">
        <v>6500000</v>
      </c>
      <c r="H497" s="2213" t="s">
        <v>3923</v>
      </c>
      <c r="I497" s="2232" t="s">
        <v>3429</v>
      </c>
      <c r="J497" s="2213">
        <f t="shared" si="51"/>
        <v>6500000</v>
      </c>
      <c r="K497" s="2260">
        <f>F497-J497</f>
        <v>-6500000</v>
      </c>
      <c r="L497" s="2271"/>
      <c r="M497" s="386"/>
      <c r="N497" s="386"/>
      <c r="O497" s="386"/>
      <c r="P497" s="386"/>
      <c r="Q497" s="386"/>
    </row>
    <row r="498" spans="1:17" ht="30" customHeight="1" x14ac:dyDescent="0.2">
      <c r="A498" s="2204">
        <v>345</v>
      </c>
      <c r="B498" s="2206" t="s">
        <v>2080</v>
      </c>
      <c r="C498" s="2238" t="s">
        <v>1299</v>
      </c>
      <c r="D498" s="2213">
        <v>60000000</v>
      </c>
      <c r="E498" s="2265">
        <v>7.0000000000000007E-2</v>
      </c>
      <c r="F498" s="2213">
        <f>D498*E498</f>
        <v>4200000</v>
      </c>
      <c r="G498" s="2213">
        <v>4200000</v>
      </c>
      <c r="H498" s="2213" t="s">
        <v>4109</v>
      </c>
      <c r="I498" s="2232" t="s">
        <v>4128</v>
      </c>
      <c r="J498" s="2213">
        <f t="shared" si="51"/>
        <v>4200000</v>
      </c>
      <c r="K498" s="2255">
        <f>G498-J498</f>
        <v>0</v>
      </c>
      <c r="L498" s="2271"/>
      <c r="M498" s="386"/>
      <c r="N498" s="386"/>
      <c r="O498" s="386"/>
      <c r="P498" s="386"/>
      <c r="Q498" s="386"/>
    </row>
    <row r="499" spans="1:17" ht="30" customHeight="1" x14ac:dyDescent="0.2">
      <c r="A499" s="2204">
        <v>346</v>
      </c>
      <c r="B499" s="2206" t="s">
        <v>1380</v>
      </c>
      <c r="C499" s="2238" t="s">
        <v>1172</v>
      </c>
      <c r="D499" s="2213">
        <v>5000000</v>
      </c>
      <c r="E499" s="2265">
        <v>0.05</v>
      </c>
      <c r="F499" s="2213">
        <f>D499*E499</f>
        <v>250000</v>
      </c>
      <c r="G499" s="2213">
        <v>500000</v>
      </c>
      <c r="H499" s="2213" t="s">
        <v>3966</v>
      </c>
      <c r="I499" s="2232" t="s">
        <v>3985</v>
      </c>
      <c r="J499" s="2213">
        <f t="shared" si="51"/>
        <v>500000</v>
      </c>
      <c r="K499" s="2255">
        <f t="shared" ref="K499:K510" si="52">F499-J499</f>
        <v>-250000</v>
      </c>
      <c r="L499" s="2271" t="s">
        <v>3986</v>
      </c>
      <c r="M499" s="386"/>
      <c r="N499" s="386"/>
      <c r="O499" s="386"/>
      <c r="P499" s="386"/>
      <c r="Q499" s="386"/>
    </row>
    <row r="500" spans="1:17" ht="30" customHeight="1" x14ac:dyDescent="0.2">
      <c r="A500" s="2204">
        <v>347</v>
      </c>
      <c r="B500" s="2206" t="s">
        <v>178</v>
      </c>
      <c r="C500" s="2238" t="s">
        <v>1796</v>
      </c>
      <c r="D500" s="2213">
        <v>130000000</v>
      </c>
      <c r="E500" s="2265">
        <v>0.05</v>
      </c>
      <c r="F500" s="2213">
        <f>D500*E500</f>
        <v>6500000</v>
      </c>
      <c r="G500" s="2213">
        <v>6500000</v>
      </c>
      <c r="H500" s="2213" t="s">
        <v>4146</v>
      </c>
      <c r="I500" s="2232" t="s">
        <v>3952</v>
      </c>
      <c r="J500" s="2213">
        <f t="shared" si="51"/>
        <v>6500000</v>
      </c>
      <c r="K500" s="2255">
        <f t="shared" si="52"/>
        <v>0</v>
      </c>
      <c r="L500" s="2271"/>
      <c r="M500" s="386"/>
      <c r="N500" s="386"/>
      <c r="O500" s="386"/>
      <c r="P500" s="386"/>
      <c r="Q500" s="386"/>
    </row>
    <row r="501" spans="1:17" ht="30" customHeight="1" x14ac:dyDescent="0.2">
      <c r="A501" s="2269">
        <v>348</v>
      </c>
      <c r="B501" s="19" t="s">
        <v>1408</v>
      </c>
      <c r="C501" s="2266" t="s">
        <v>1306</v>
      </c>
      <c r="D501" s="2201">
        <v>50000000</v>
      </c>
      <c r="E501" s="2265">
        <v>0.04</v>
      </c>
      <c r="F501" s="2201">
        <f>D501*E501</f>
        <v>2000000</v>
      </c>
      <c r="G501" s="2201"/>
      <c r="H501" s="2201"/>
      <c r="I501" s="2232" t="s">
        <v>3906</v>
      </c>
      <c r="J501" s="2213">
        <f t="shared" si="51"/>
        <v>0</v>
      </c>
      <c r="K501" s="2255">
        <f t="shared" si="52"/>
        <v>2000000</v>
      </c>
      <c r="L501" s="2271"/>
      <c r="M501" s="386"/>
      <c r="N501" s="386"/>
      <c r="O501" s="386"/>
      <c r="P501" s="386"/>
      <c r="Q501" s="386"/>
    </row>
    <row r="502" spans="1:17" ht="30" customHeight="1" x14ac:dyDescent="0.2">
      <c r="A502" s="4459">
        <v>349</v>
      </c>
      <c r="B502" s="4457" t="s">
        <v>1526</v>
      </c>
      <c r="C502" s="4537"/>
      <c r="D502" s="2213">
        <v>80000000</v>
      </c>
      <c r="E502" s="2210">
        <v>0.04</v>
      </c>
      <c r="F502" s="2213">
        <f>D502*E502</f>
        <v>3200000</v>
      </c>
      <c r="G502" s="2213">
        <v>50000000</v>
      </c>
      <c r="H502" s="2213" t="s">
        <v>4121</v>
      </c>
      <c r="I502" s="2232" t="s">
        <v>4122</v>
      </c>
      <c r="J502" s="4413">
        <f>G502+G503</f>
        <v>105000000</v>
      </c>
      <c r="K502" s="4603">
        <f t="shared" si="52"/>
        <v>-101800000</v>
      </c>
      <c r="L502" s="2271"/>
      <c r="M502" s="386"/>
      <c r="N502" s="386"/>
      <c r="O502" s="386"/>
      <c r="P502" s="386"/>
      <c r="Q502" s="386"/>
    </row>
    <row r="503" spans="1:17" ht="30" customHeight="1" x14ac:dyDescent="0.2">
      <c r="A503" s="4464"/>
      <c r="B503" s="4488"/>
      <c r="C503" s="4540"/>
      <c r="D503" s="4325" t="s">
        <v>4349</v>
      </c>
      <c r="E503" s="4326"/>
      <c r="F503" s="4563"/>
      <c r="G503" s="2213">
        <v>55000000</v>
      </c>
      <c r="H503" s="2213" t="s">
        <v>4109</v>
      </c>
      <c r="I503" s="2232" t="s">
        <v>4113</v>
      </c>
      <c r="J503" s="4415"/>
      <c r="K503" s="4604"/>
      <c r="L503" s="2271"/>
      <c r="M503" s="386"/>
      <c r="N503" s="386"/>
      <c r="O503" s="386"/>
      <c r="P503" s="386"/>
      <c r="Q503" s="386"/>
    </row>
    <row r="504" spans="1:17" ht="30" customHeight="1" x14ac:dyDescent="0.2">
      <c r="A504" s="4464"/>
      <c r="B504" s="4488"/>
      <c r="C504" s="4540"/>
      <c r="D504" s="4612"/>
      <c r="E504" s="4359"/>
      <c r="F504" s="4613"/>
      <c r="G504" s="4303" t="s">
        <v>4350</v>
      </c>
      <c r="H504" s="4324"/>
      <c r="I504" s="4324"/>
      <c r="J504" s="4355"/>
      <c r="K504" s="2255"/>
      <c r="L504" s="2271" t="s">
        <v>4193</v>
      </c>
      <c r="M504" s="386"/>
      <c r="N504" s="386"/>
      <c r="O504" s="386"/>
      <c r="P504" s="386"/>
      <c r="Q504" s="386"/>
    </row>
    <row r="505" spans="1:17" ht="30" customHeight="1" x14ac:dyDescent="0.2">
      <c r="A505" s="4460"/>
      <c r="B505" s="4458"/>
      <c r="C505" s="4538"/>
      <c r="D505" s="4564"/>
      <c r="E505" s="4596"/>
      <c r="F505" s="4565"/>
      <c r="G505" s="2201"/>
      <c r="H505" s="2201"/>
      <c r="I505" s="2201"/>
      <c r="J505" s="2201"/>
      <c r="K505" s="2255"/>
      <c r="L505" s="2271"/>
      <c r="M505" s="386"/>
      <c r="N505" s="386"/>
      <c r="O505" s="386"/>
      <c r="P505" s="386"/>
      <c r="Q505" s="386"/>
    </row>
    <row r="506" spans="1:17" ht="30" customHeight="1" x14ac:dyDescent="0.2">
      <c r="A506" s="2204">
        <v>350</v>
      </c>
      <c r="B506" s="2206" t="s">
        <v>1554</v>
      </c>
      <c r="C506" s="2238"/>
      <c r="D506" s="2213">
        <v>110000000</v>
      </c>
      <c r="E506" s="4783" t="s">
        <v>1556</v>
      </c>
      <c r="F506" s="4784"/>
      <c r="G506" s="2213"/>
      <c r="H506" s="2213"/>
      <c r="I506" s="2232" t="s">
        <v>3469</v>
      </c>
      <c r="J506" s="2213">
        <f t="shared" ref="J506:J512" si="53">G506</f>
        <v>0</v>
      </c>
      <c r="K506" s="2260">
        <f t="shared" si="52"/>
        <v>0</v>
      </c>
      <c r="L506" s="2271"/>
      <c r="M506" s="386"/>
      <c r="N506" s="386"/>
      <c r="O506" s="386"/>
      <c r="P506" s="386"/>
      <c r="Q506" s="386"/>
    </row>
    <row r="507" spans="1:17" ht="30" customHeight="1" x14ac:dyDescent="0.2">
      <c r="A507" s="2269"/>
      <c r="B507" s="19" t="s">
        <v>1558</v>
      </c>
      <c r="C507" s="2266" t="s">
        <v>1172</v>
      </c>
      <c r="D507" s="2201">
        <v>680000000</v>
      </c>
      <c r="E507" s="2265">
        <v>7.0000000000000007E-2</v>
      </c>
      <c r="F507" s="2201">
        <f t="shared" ref="F507:F513" si="54">D507*E507</f>
        <v>47600000.000000007</v>
      </c>
      <c r="G507" s="2201">
        <v>47600000</v>
      </c>
      <c r="H507" s="2201" t="s">
        <v>4017</v>
      </c>
      <c r="I507" s="2201" t="s">
        <v>2460</v>
      </c>
      <c r="J507" s="2201">
        <f t="shared" si="53"/>
        <v>47600000</v>
      </c>
      <c r="K507" s="2255">
        <f t="shared" si="52"/>
        <v>0</v>
      </c>
      <c r="L507" s="2252" t="s">
        <v>4020</v>
      </c>
      <c r="M507" s="386"/>
      <c r="N507" s="386"/>
      <c r="O507" s="386"/>
      <c r="P507" s="386"/>
      <c r="Q507" s="386"/>
    </row>
    <row r="508" spans="1:17" ht="30" customHeight="1" x14ac:dyDescent="0.2">
      <c r="A508" s="2204">
        <v>352</v>
      </c>
      <c r="B508" s="2206" t="s">
        <v>1561</v>
      </c>
      <c r="C508" s="2238" t="s">
        <v>1081</v>
      </c>
      <c r="D508" s="2213">
        <v>50000000</v>
      </c>
      <c r="E508" s="2210">
        <v>7.0000000000000007E-2</v>
      </c>
      <c r="F508" s="2213">
        <f t="shared" si="54"/>
        <v>3500000.0000000005</v>
      </c>
      <c r="G508" s="2213">
        <v>3500000</v>
      </c>
      <c r="H508" s="2213" t="s">
        <v>3994</v>
      </c>
      <c r="I508" s="21" t="s">
        <v>3517</v>
      </c>
      <c r="J508" s="2213">
        <f t="shared" si="53"/>
        <v>3500000</v>
      </c>
      <c r="K508" s="2255">
        <f t="shared" si="52"/>
        <v>0</v>
      </c>
      <c r="L508" s="2271"/>
      <c r="M508" s="386"/>
      <c r="N508" s="386"/>
      <c r="O508" s="386"/>
      <c r="P508" s="386"/>
      <c r="Q508" s="386"/>
    </row>
    <row r="509" spans="1:17" ht="30" customHeight="1" x14ac:dyDescent="0.2">
      <c r="A509" s="4614">
        <v>353</v>
      </c>
      <c r="B509" s="4615" t="s">
        <v>1565</v>
      </c>
      <c r="C509" s="2266" t="s">
        <v>1172</v>
      </c>
      <c r="D509" s="2213">
        <v>50000000</v>
      </c>
      <c r="E509" s="2265">
        <v>0.05</v>
      </c>
      <c r="F509" s="2213">
        <f t="shared" si="54"/>
        <v>2500000</v>
      </c>
      <c r="G509" s="2213">
        <v>2500000</v>
      </c>
      <c r="H509" s="2213" t="s">
        <v>1846</v>
      </c>
      <c r="I509" s="2232" t="s">
        <v>3718</v>
      </c>
      <c r="J509" s="2213">
        <f t="shared" si="53"/>
        <v>2500000</v>
      </c>
      <c r="K509" s="2255">
        <f t="shared" si="52"/>
        <v>0</v>
      </c>
      <c r="L509" s="2271"/>
      <c r="M509" s="386"/>
      <c r="N509" s="386"/>
      <c r="O509" s="386"/>
      <c r="P509" s="386"/>
      <c r="Q509" s="386"/>
    </row>
    <row r="510" spans="1:17" ht="30" customHeight="1" x14ac:dyDescent="0.2">
      <c r="A510" s="4614"/>
      <c r="B510" s="4615"/>
      <c r="C510" s="2266" t="s">
        <v>1299</v>
      </c>
      <c r="D510" s="2213">
        <v>20000000</v>
      </c>
      <c r="E510" s="2265">
        <v>0.05</v>
      </c>
      <c r="F510" s="2213">
        <f t="shared" si="54"/>
        <v>1000000</v>
      </c>
      <c r="G510" s="1456">
        <v>1000000</v>
      </c>
      <c r="H510" s="1456" t="s">
        <v>4109</v>
      </c>
      <c r="I510" s="1456" t="s">
        <v>3718</v>
      </c>
      <c r="J510" s="1456">
        <f t="shared" si="53"/>
        <v>1000000</v>
      </c>
      <c r="K510" s="2255">
        <f t="shared" si="52"/>
        <v>0</v>
      </c>
      <c r="L510" s="2271" t="s">
        <v>2909</v>
      </c>
      <c r="M510" s="386"/>
      <c r="N510" s="386"/>
      <c r="O510" s="386"/>
      <c r="P510" s="386"/>
      <c r="Q510" s="386"/>
    </row>
    <row r="511" spans="1:17" ht="30" customHeight="1" x14ac:dyDescent="0.2">
      <c r="A511" s="2204">
        <v>355</v>
      </c>
      <c r="B511" s="2206" t="s">
        <v>1582</v>
      </c>
      <c r="C511" s="2238" t="s">
        <v>2644</v>
      </c>
      <c r="D511" s="2213">
        <v>115000000</v>
      </c>
      <c r="E511" s="2265">
        <v>0.05</v>
      </c>
      <c r="F511" s="2213">
        <f t="shared" si="54"/>
        <v>5750000</v>
      </c>
      <c r="G511" s="2213">
        <v>5750000</v>
      </c>
      <c r="H511" s="2213" t="s">
        <v>2015</v>
      </c>
      <c r="I511" s="473" t="s">
        <v>3411</v>
      </c>
      <c r="J511" s="2213">
        <f t="shared" si="53"/>
        <v>5750000</v>
      </c>
      <c r="K511" s="2255">
        <f>F511-J511</f>
        <v>0</v>
      </c>
      <c r="L511" s="2271"/>
      <c r="M511" s="386"/>
      <c r="N511" s="386"/>
      <c r="O511" s="386"/>
      <c r="P511" s="386"/>
      <c r="Q511" s="386"/>
    </row>
    <row r="512" spans="1:17" ht="30" customHeight="1" x14ac:dyDescent="0.2">
      <c r="A512" s="4459">
        <v>356</v>
      </c>
      <c r="B512" s="4457" t="s">
        <v>1590</v>
      </c>
      <c r="C512" s="4537"/>
      <c r="D512" s="2213">
        <v>60000000</v>
      </c>
      <c r="E512" s="2265">
        <v>0.04</v>
      </c>
      <c r="F512" s="2213">
        <f t="shared" si="54"/>
        <v>2400000</v>
      </c>
      <c r="G512" s="4413">
        <v>2800000</v>
      </c>
      <c r="H512" s="4413" t="s">
        <v>3923</v>
      </c>
      <c r="I512" s="4789" t="s">
        <v>3924</v>
      </c>
      <c r="J512" s="4413">
        <f t="shared" si="53"/>
        <v>2800000</v>
      </c>
      <c r="K512" s="4603">
        <f>(F512+F513)-J512</f>
        <v>0</v>
      </c>
      <c r="L512" s="4603"/>
      <c r="M512" s="386"/>
      <c r="N512" s="386"/>
      <c r="O512" s="386"/>
      <c r="P512" s="386"/>
      <c r="Q512" s="386"/>
    </row>
    <row r="513" spans="1:17" ht="30" customHeight="1" x14ac:dyDescent="0.2">
      <c r="A513" s="4460"/>
      <c r="B513" s="4458"/>
      <c r="C513" s="4538"/>
      <c r="D513" s="2213">
        <v>10000000</v>
      </c>
      <c r="E513" s="2265">
        <v>0.04</v>
      </c>
      <c r="F513" s="2213">
        <f t="shared" si="54"/>
        <v>400000</v>
      </c>
      <c r="G513" s="4415"/>
      <c r="H513" s="4415"/>
      <c r="I513" s="4790"/>
      <c r="J513" s="4415"/>
      <c r="K513" s="4604"/>
      <c r="L513" s="4604"/>
      <c r="M513" s="386"/>
      <c r="N513" s="386"/>
      <c r="O513" s="386"/>
      <c r="P513" s="386"/>
      <c r="Q513" s="386"/>
    </row>
    <row r="514" spans="1:17" ht="30" customHeight="1" x14ac:dyDescent="0.2">
      <c r="A514" s="2204">
        <v>357</v>
      </c>
      <c r="B514" s="2206" t="s">
        <v>1592</v>
      </c>
      <c r="C514" s="2238"/>
      <c r="D514" s="2213">
        <v>70000000</v>
      </c>
      <c r="E514" s="2297"/>
      <c r="F514" s="2226"/>
      <c r="G514" s="2213"/>
      <c r="H514" s="2213"/>
      <c r="I514" s="473"/>
      <c r="J514" s="2213"/>
      <c r="K514" s="2260"/>
      <c r="L514" s="2271" t="s">
        <v>1593</v>
      </c>
      <c r="M514" s="386"/>
      <c r="N514" s="386"/>
      <c r="O514" s="386"/>
      <c r="P514" s="386"/>
      <c r="Q514" s="386"/>
    </row>
    <row r="515" spans="1:17" ht="30" customHeight="1" x14ac:dyDescent="0.2">
      <c r="A515" s="1029">
        <v>358</v>
      </c>
      <c r="B515" s="2267" t="s">
        <v>1597</v>
      </c>
      <c r="C515" s="2266"/>
      <c r="D515" s="2229"/>
      <c r="E515" s="2297"/>
      <c r="F515" s="2229"/>
      <c r="G515" s="2201">
        <v>20000000</v>
      </c>
      <c r="H515" s="2201" t="s">
        <v>3994</v>
      </c>
      <c r="I515" s="1030" t="s">
        <v>1598</v>
      </c>
      <c r="J515" s="2201">
        <f>G515</f>
        <v>20000000</v>
      </c>
      <c r="K515" s="1031">
        <f>F515-J515</f>
        <v>-20000000</v>
      </c>
      <c r="L515" s="2271" t="s">
        <v>4132</v>
      </c>
      <c r="M515" s="386"/>
      <c r="N515" s="386"/>
      <c r="O515" s="386"/>
      <c r="P515" s="386"/>
      <c r="Q515" s="386"/>
    </row>
    <row r="516" spans="1:17" ht="30" customHeight="1" x14ac:dyDescent="0.2">
      <c r="A516" s="4459">
        <v>359</v>
      </c>
      <c r="B516" s="4457" t="s">
        <v>1599</v>
      </c>
      <c r="C516" s="4537"/>
      <c r="D516" s="4506"/>
      <c r="E516" s="4512"/>
      <c r="F516" s="4506"/>
      <c r="G516" s="2213"/>
      <c r="H516" s="2213"/>
      <c r="I516" s="473"/>
      <c r="J516" s="4413">
        <f>G516+G517</f>
        <v>0</v>
      </c>
      <c r="K516" s="4605">
        <f>F516-J516</f>
        <v>0</v>
      </c>
      <c r="L516" s="4603"/>
      <c r="M516" s="386"/>
      <c r="N516" s="386"/>
      <c r="O516" s="386"/>
      <c r="P516" s="386"/>
      <c r="Q516" s="386"/>
    </row>
    <row r="517" spans="1:17" ht="30" customHeight="1" x14ac:dyDescent="0.2">
      <c r="A517" s="4460"/>
      <c r="B517" s="4458"/>
      <c r="C517" s="4538"/>
      <c r="D517" s="4508"/>
      <c r="E517" s="4514"/>
      <c r="F517" s="4508"/>
      <c r="G517" s="2213"/>
      <c r="H517" s="2213"/>
      <c r="I517" s="473"/>
      <c r="J517" s="4415"/>
      <c r="K517" s="4606"/>
      <c r="L517" s="4604"/>
      <c r="M517" s="386"/>
      <c r="N517" s="386"/>
      <c r="O517" s="386"/>
      <c r="P517" s="386"/>
      <c r="Q517" s="386"/>
    </row>
    <row r="518" spans="1:17" ht="30" customHeight="1" x14ac:dyDescent="0.2">
      <c r="A518" s="4459">
        <v>360</v>
      </c>
      <c r="B518" s="4457" t="s">
        <v>1614</v>
      </c>
      <c r="C518" s="4537" t="s">
        <v>889</v>
      </c>
      <c r="D518" s="2201">
        <v>290000000</v>
      </c>
      <c r="E518" s="2265">
        <v>0.05</v>
      </c>
      <c r="F518" s="2201">
        <f>D518*E518</f>
        <v>14500000</v>
      </c>
      <c r="G518" s="4413">
        <v>27100000</v>
      </c>
      <c r="H518" s="4413" t="s">
        <v>1846</v>
      </c>
      <c r="I518" s="4789" t="s">
        <v>1611</v>
      </c>
      <c r="J518" s="4413">
        <f>G518+G519</f>
        <v>27100000</v>
      </c>
      <c r="K518" s="4603">
        <f>(F518+F519)-G518</f>
        <v>0</v>
      </c>
      <c r="L518" s="4603"/>
      <c r="M518" s="386"/>
      <c r="N518" s="386"/>
      <c r="O518" s="386"/>
      <c r="P518" s="386"/>
      <c r="Q518" s="386"/>
    </row>
    <row r="519" spans="1:17" ht="30" customHeight="1" x14ac:dyDescent="0.2">
      <c r="A519" s="4460"/>
      <c r="B519" s="4458"/>
      <c r="C519" s="4538"/>
      <c r="D519" s="2201">
        <v>210000000</v>
      </c>
      <c r="E519" s="2265">
        <v>0.06</v>
      </c>
      <c r="F519" s="2201">
        <f>D519*E519</f>
        <v>12600000</v>
      </c>
      <c r="G519" s="4415"/>
      <c r="H519" s="4415"/>
      <c r="I519" s="4790"/>
      <c r="J519" s="4415"/>
      <c r="K519" s="4604"/>
      <c r="L519" s="4604"/>
      <c r="M519" s="386"/>
      <c r="N519" s="386"/>
      <c r="O519" s="386"/>
      <c r="P519" s="386"/>
      <c r="Q519" s="386"/>
    </row>
    <row r="520" spans="1:17" ht="30" customHeight="1" x14ac:dyDescent="0.2">
      <c r="A520" s="4459">
        <v>361</v>
      </c>
      <c r="B520" s="4457" t="s">
        <v>1612</v>
      </c>
      <c r="C520" s="4537"/>
      <c r="D520" s="4413">
        <v>3045000000</v>
      </c>
      <c r="E520" s="4476"/>
      <c r="F520" s="4413">
        <v>95800000</v>
      </c>
      <c r="G520" s="2213">
        <v>15000000</v>
      </c>
      <c r="H520" s="2213"/>
      <c r="I520" s="473" t="s">
        <v>1613</v>
      </c>
      <c r="J520" s="4413">
        <f>G520+G521++G522+G523+G524</f>
        <v>95800000</v>
      </c>
      <c r="K520" s="4603">
        <f>F520-J520</f>
        <v>0</v>
      </c>
      <c r="L520" s="2251"/>
      <c r="M520" s="386"/>
      <c r="N520" s="386"/>
      <c r="O520" s="386"/>
      <c r="P520" s="386"/>
      <c r="Q520" s="386"/>
    </row>
    <row r="521" spans="1:17" ht="30" customHeight="1" x14ac:dyDescent="0.2">
      <c r="A521" s="4464"/>
      <c r="B521" s="4488"/>
      <c r="C521" s="4540"/>
      <c r="D521" s="4414"/>
      <c r="E521" s="4516"/>
      <c r="F521" s="4414"/>
      <c r="G521" s="2213">
        <v>39000000</v>
      </c>
      <c r="H521" s="4303" t="s">
        <v>4180</v>
      </c>
      <c r="I521" s="4355"/>
      <c r="J521" s="4414"/>
      <c r="K521" s="4609"/>
      <c r="L521" s="2272"/>
      <c r="M521" s="386"/>
      <c r="N521" s="386"/>
      <c r="O521" s="386"/>
      <c r="P521" s="386"/>
      <c r="Q521" s="386"/>
    </row>
    <row r="522" spans="1:17" ht="30" customHeight="1" x14ac:dyDescent="0.2">
      <c r="A522" s="4464"/>
      <c r="B522" s="4488"/>
      <c r="C522" s="4540"/>
      <c r="D522" s="4414"/>
      <c r="E522" s="4516"/>
      <c r="F522" s="4414"/>
      <c r="G522" s="2213">
        <v>1000000</v>
      </c>
      <c r="H522" s="2213" t="s">
        <v>4017</v>
      </c>
      <c r="I522" s="473" t="s">
        <v>3152</v>
      </c>
      <c r="J522" s="4414"/>
      <c r="K522" s="4609"/>
      <c r="L522" s="849"/>
      <c r="M522" s="386"/>
      <c r="N522" s="386"/>
      <c r="O522" s="386"/>
      <c r="P522" s="386"/>
      <c r="Q522" s="386"/>
    </row>
    <row r="523" spans="1:17" ht="30" customHeight="1" x14ac:dyDescent="0.2">
      <c r="A523" s="4464"/>
      <c r="B523" s="4488"/>
      <c r="C523" s="4540"/>
      <c r="D523" s="4414"/>
      <c r="E523" s="4516"/>
      <c r="F523" s="4414"/>
      <c r="G523" s="2213">
        <v>30000000</v>
      </c>
      <c r="H523" s="2213" t="s">
        <v>4045</v>
      </c>
      <c r="I523" s="473" t="s">
        <v>1613</v>
      </c>
      <c r="J523" s="4414"/>
      <c r="K523" s="4609"/>
      <c r="L523" s="849"/>
      <c r="M523" s="386"/>
      <c r="N523" s="386"/>
      <c r="O523" s="386"/>
      <c r="P523" s="386"/>
      <c r="Q523" s="386"/>
    </row>
    <row r="524" spans="1:17" ht="30" customHeight="1" x14ac:dyDescent="0.2">
      <c r="A524" s="4464"/>
      <c r="B524" s="4488"/>
      <c r="C524" s="4540"/>
      <c r="D524" s="4414"/>
      <c r="E524" s="4516"/>
      <c r="F524" s="4414"/>
      <c r="G524" s="2213">
        <v>10800000</v>
      </c>
      <c r="H524" s="4469" t="s">
        <v>4053</v>
      </c>
      <c r="I524" s="4471"/>
      <c r="J524" s="4414"/>
      <c r="K524" s="4609"/>
      <c r="L524" s="849"/>
      <c r="M524" s="386"/>
      <c r="N524" s="386"/>
      <c r="O524" s="386"/>
      <c r="P524" s="386"/>
      <c r="Q524" s="386"/>
    </row>
    <row r="525" spans="1:17" ht="30" customHeight="1" x14ac:dyDescent="0.2">
      <c r="A525" s="4464"/>
      <c r="B525" s="4488"/>
      <c r="C525" s="4540"/>
      <c r="D525" s="4414"/>
      <c r="E525" s="4516"/>
      <c r="F525" s="4414"/>
      <c r="G525" s="2213"/>
      <c r="H525" s="2213"/>
      <c r="I525" s="473"/>
      <c r="J525" s="4414"/>
      <c r="K525" s="4609"/>
      <c r="L525" s="849"/>
      <c r="M525" s="386"/>
      <c r="N525" s="386"/>
      <c r="O525" s="386"/>
      <c r="P525" s="386"/>
      <c r="Q525" s="386"/>
    </row>
    <row r="526" spans="1:17" ht="30" customHeight="1" x14ac:dyDescent="0.2">
      <c r="A526" s="4464"/>
      <c r="B526" s="4488"/>
      <c r="C526" s="4540"/>
      <c r="D526" s="4414"/>
      <c r="E526" s="4516"/>
      <c r="F526" s="4414"/>
      <c r="G526" s="2213"/>
      <c r="H526" s="2213"/>
      <c r="I526" s="473"/>
      <c r="J526" s="4414"/>
      <c r="K526" s="4609"/>
      <c r="L526" s="849"/>
      <c r="M526" s="386"/>
      <c r="N526" s="386"/>
      <c r="O526" s="386"/>
      <c r="P526" s="386"/>
      <c r="Q526" s="386"/>
    </row>
    <row r="527" spans="1:17" ht="30" customHeight="1" x14ac:dyDescent="0.2">
      <c r="A527" s="4464"/>
      <c r="B527" s="4488"/>
      <c r="C527" s="4540"/>
      <c r="D527" s="4414"/>
      <c r="E527" s="4516"/>
      <c r="F527" s="4414"/>
      <c r="G527" s="2213"/>
      <c r="H527" s="2213"/>
      <c r="I527" s="473"/>
      <c r="J527" s="4414"/>
      <c r="K527" s="4609"/>
      <c r="L527" s="849"/>
      <c r="M527" s="386"/>
      <c r="N527" s="386"/>
      <c r="O527" s="386"/>
      <c r="P527" s="386"/>
      <c r="Q527" s="386"/>
    </row>
    <row r="528" spans="1:17" ht="30" customHeight="1" x14ac:dyDescent="0.2">
      <c r="A528" s="4464"/>
      <c r="B528" s="4488"/>
      <c r="C528" s="4540"/>
      <c r="D528" s="4414"/>
      <c r="E528" s="4516"/>
      <c r="F528" s="4414"/>
      <c r="G528" s="2213"/>
      <c r="H528" s="2213"/>
      <c r="I528" s="473"/>
      <c r="J528" s="4414"/>
      <c r="K528" s="4609"/>
      <c r="L528" s="849"/>
      <c r="M528" s="386"/>
      <c r="N528" s="386"/>
      <c r="O528" s="386"/>
      <c r="P528" s="386"/>
      <c r="Q528" s="386"/>
    </row>
    <row r="529" spans="1:17" ht="30" customHeight="1" x14ac:dyDescent="0.2">
      <c r="A529" s="4460"/>
      <c r="B529" s="4458"/>
      <c r="C529" s="4538"/>
      <c r="D529" s="4415"/>
      <c r="E529" s="4477"/>
      <c r="F529" s="4415"/>
      <c r="G529" s="2213"/>
      <c r="H529" s="2213"/>
      <c r="I529" s="473"/>
      <c r="J529" s="4415"/>
      <c r="K529" s="4604"/>
      <c r="L529" s="899"/>
      <c r="M529" s="386"/>
      <c r="N529" s="386"/>
      <c r="O529" s="386"/>
      <c r="P529" s="386"/>
      <c r="Q529" s="386"/>
    </row>
    <row r="530" spans="1:17" ht="30" customHeight="1" x14ac:dyDescent="0.2">
      <c r="A530" s="4459"/>
      <c r="B530" s="4457" t="s">
        <v>4181</v>
      </c>
      <c r="C530" s="4537"/>
      <c r="D530" s="4413">
        <f>9000000+5000000+10800000</f>
        <v>24800000</v>
      </c>
      <c r="E530" s="4476"/>
      <c r="F530" s="4413"/>
      <c r="G530" s="2213"/>
      <c r="H530" s="2213"/>
      <c r="I530" s="473"/>
      <c r="J530" s="2213"/>
      <c r="K530" s="2255"/>
      <c r="L530" s="2022" t="s">
        <v>4182</v>
      </c>
      <c r="M530" s="386"/>
      <c r="N530" s="386"/>
      <c r="O530" s="386"/>
      <c r="P530" s="386"/>
      <c r="Q530" s="386"/>
    </row>
    <row r="531" spans="1:17" ht="30" customHeight="1" x14ac:dyDescent="0.2">
      <c r="A531" s="4464"/>
      <c r="B531" s="4488"/>
      <c r="C531" s="4540"/>
      <c r="D531" s="4414"/>
      <c r="E531" s="4516"/>
      <c r="F531" s="4414"/>
      <c r="G531" s="2213"/>
      <c r="H531" s="2213"/>
      <c r="I531" s="473"/>
      <c r="J531" s="2213"/>
      <c r="K531" s="2255"/>
      <c r="L531" s="2022" t="s">
        <v>4183</v>
      </c>
      <c r="M531" s="386"/>
      <c r="N531" s="386"/>
      <c r="O531" s="386"/>
      <c r="P531" s="386"/>
      <c r="Q531" s="386"/>
    </row>
    <row r="532" spans="1:17" ht="30" customHeight="1" x14ac:dyDescent="0.2">
      <c r="A532" s="4460"/>
      <c r="B532" s="4458"/>
      <c r="C532" s="4538"/>
      <c r="D532" s="4415"/>
      <c r="E532" s="4477"/>
      <c r="F532" s="4415"/>
      <c r="G532" s="2213"/>
      <c r="H532" s="2213"/>
      <c r="I532" s="473"/>
      <c r="J532" s="2213"/>
      <c r="K532" s="2255"/>
      <c r="L532" s="2022" t="s">
        <v>4184</v>
      </c>
      <c r="M532" s="386"/>
      <c r="N532" s="386"/>
      <c r="O532" s="386"/>
      <c r="P532" s="386"/>
      <c r="Q532" s="386"/>
    </row>
    <row r="533" spans="1:17" ht="30" customHeight="1" x14ac:dyDescent="0.2">
      <c r="A533" s="2269">
        <v>362</v>
      </c>
      <c r="B533" s="19" t="s">
        <v>1619</v>
      </c>
      <c r="C533" s="2266" t="s">
        <v>1652</v>
      </c>
      <c r="D533" s="2213">
        <v>360000000</v>
      </c>
      <c r="E533" s="2265">
        <v>4.4999999999999998E-2</v>
      </c>
      <c r="F533" s="2213">
        <v>16500000</v>
      </c>
      <c r="G533" s="2213">
        <v>16500000</v>
      </c>
      <c r="H533" s="2213" t="s">
        <v>3966</v>
      </c>
      <c r="I533" s="473" t="s">
        <v>1620</v>
      </c>
      <c r="J533" s="2213">
        <f t="shared" ref="J533:J538" si="55">G533</f>
        <v>16500000</v>
      </c>
      <c r="K533" s="2255">
        <f t="shared" ref="K533:K538" si="56">F533-J533</f>
        <v>0</v>
      </c>
      <c r="L533" s="4469" t="s">
        <v>3451</v>
      </c>
      <c r="M533" s="4470"/>
      <c r="N533" s="4470"/>
      <c r="O533" s="4471"/>
      <c r="P533" s="386"/>
      <c r="Q533" s="386"/>
    </row>
    <row r="534" spans="1:17" ht="30" customHeight="1" x14ac:dyDescent="0.2">
      <c r="A534" s="2204">
        <v>363</v>
      </c>
      <c r="B534" s="2206" t="s">
        <v>1641</v>
      </c>
      <c r="C534" s="2238"/>
      <c r="D534" s="2226"/>
      <c r="E534" s="2297"/>
      <c r="F534" s="2226"/>
      <c r="G534" s="2213">
        <v>1175000</v>
      </c>
      <c r="H534" s="2213" t="s">
        <v>4062</v>
      </c>
      <c r="I534" s="473" t="s">
        <v>1621</v>
      </c>
      <c r="J534" s="2213">
        <f t="shared" si="55"/>
        <v>1175000</v>
      </c>
      <c r="K534" s="2255">
        <f t="shared" si="56"/>
        <v>-1175000</v>
      </c>
      <c r="L534" s="2271"/>
      <c r="M534" s="386"/>
      <c r="N534" s="386"/>
      <c r="O534" s="386"/>
      <c r="P534" s="386"/>
      <c r="Q534" s="386"/>
    </row>
    <row r="535" spans="1:17" ht="30" customHeight="1" x14ac:dyDescent="0.2">
      <c r="A535" s="2204">
        <v>364</v>
      </c>
      <c r="B535" s="2206" t="s">
        <v>1637</v>
      </c>
      <c r="C535" s="2238"/>
      <c r="D535" s="2226"/>
      <c r="E535" s="2297"/>
      <c r="F535" s="2226"/>
      <c r="G535" s="2213">
        <v>6600000</v>
      </c>
      <c r="H535" s="2213" t="s">
        <v>4038</v>
      </c>
      <c r="I535" s="473" t="s">
        <v>4041</v>
      </c>
      <c r="J535" s="2213">
        <f t="shared" si="55"/>
        <v>6600000</v>
      </c>
      <c r="K535" s="2260">
        <f t="shared" si="56"/>
        <v>-6600000</v>
      </c>
      <c r="L535" s="2271"/>
      <c r="M535" s="386"/>
      <c r="N535" s="386"/>
      <c r="O535" s="386"/>
      <c r="P535" s="386"/>
      <c r="Q535" s="386"/>
    </row>
    <row r="536" spans="1:17" ht="30" customHeight="1" x14ac:dyDescent="0.2">
      <c r="A536" s="2269">
        <v>365</v>
      </c>
      <c r="B536" s="2267" t="s">
        <v>1639</v>
      </c>
      <c r="C536" s="2266" t="s">
        <v>1718</v>
      </c>
      <c r="D536" s="2213">
        <v>250000000</v>
      </c>
      <c r="E536" s="2265">
        <v>0.05</v>
      </c>
      <c r="F536" s="2213">
        <f>D536*E536</f>
        <v>12500000</v>
      </c>
      <c r="G536" s="2201">
        <v>12500000</v>
      </c>
      <c r="H536" s="2201" t="s">
        <v>3994</v>
      </c>
      <c r="I536" s="2201" t="s">
        <v>2808</v>
      </c>
      <c r="J536" s="2201">
        <f t="shared" si="55"/>
        <v>12500000</v>
      </c>
      <c r="K536" s="2255">
        <f t="shared" si="56"/>
        <v>0</v>
      </c>
      <c r="L536" s="2252"/>
      <c r="M536" s="386"/>
      <c r="N536" s="386"/>
      <c r="O536" s="386"/>
      <c r="P536" s="386"/>
      <c r="Q536" s="386"/>
    </row>
    <row r="537" spans="1:17" ht="30" customHeight="1" x14ac:dyDescent="0.2">
      <c r="A537" s="2204">
        <v>366</v>
      </c>
      <c r="B537" s="2206" t="s">
        <v>1719</v>
      </c>
      <c r="C537" s="2238" t="s">
        <v>1107</v>
      </c>
      <c r="D537" s="2213">
        <v>70000000</v>
      </c>
      <c r="E537" s="2265">
        <v>6.3E-2</v>
      </c>
      <c r="F537" s="2213">
        <v>4400000</v>
      </c>
      <c r="G537" s="2213"/>
      <c r="H537" s="2213"/>
      <c r="I537" s="473" t="s">
        <v>3773</v>
      </c>
      <c r="J537" s="2213">
        <f t="shared" si="55"/>
        <v>0</v>
      </c>
      <c r="K537" s="2255">
        <f t="shared" si="56"/>
        <v>4400000</v>
      </c>
      <c r="L537" s="2271"/>
      <c r="M537" s="386"/>
      <c r="N537" s="386"/>
      <c r="O537" s="386"/>
      <c r="P537" s="386"/>
      <c r="Q537" s="386"/>
    </row>
    <row r="538" spans="1:17" ht="30" customHeight="1" x14ac:dyDescent="0.2">
      <c r="A538" s="2204">
        <v>367</v>
      </c>
      <c r="B538" s="2206" t="s">
        <v>1666</v>
      </c>
      <c r="C538" s="2238"/>
      <c r="D538" s="2213">
        <v>25000000</v>
      </c>
      <c r="E538" s="2265">
        <v>0.05</v>
      </c>
      <c r="F538" s="2213">
        <f>D538*E538</f>
        <v>1250000</v>
      </c>
      <c r="G538" s="2213">
        <v>1250000</v>
      </c>
      <c r="H538" s="2213" t="s">
        <v>4045</v>
      </c>
      <c r="I538" s="473" t="s">
        <v>4052</v>
      </c>
      <c r="J538" s="2213">
        <f t="shared" si="55"/>
        <v>1250000</v>
      </c>
      <c r="K538" s="2255">
        <f t="shared" si="56"/>
        <v>0</v>
      </c>
      <c r="L538" s="2271"/>
      <c r="M538" s="386"/>
      <c r="N538" s="386"/>
      <c r="O538" s="386"/>
      <c r="P538" s="386"/>
      <c r="Q538" s="386"/>
    </row>
    <row r="539" spans="1:17" ht="30" customHeight="1" x14ac:dyDescent="0.2">
      <c r="A539" s="4614">
        <v>368</v>
      </c>
      <c r="B539" s="4615" t="s">
        <v>1793</v>
      </c>
      <c r="C539" s="4620"/>
      <c r="D539" s="4322">
        <v>800000000</v>
      </c>
      <c r="E539" s="4608">
        <v>7.0000000000000007E-2</v>
      </c>
      <c r="F539" s="4322">
        <f>D539*E539</f>
        <v>56000000.000000007</v>
      </c>
      <c r="G539" s="4413">
        <v>56000000</v>
      </c>
      <c r="H539" s="4574" t="s">
        <v>3923</v>
      </c>
      <c r="I539" s="4789" t="s">
        <v>2579</v>
      </c>
      <c r="J539" s="4322">
        <f>G539</f>
        <v>56000000</v>
      </c>
      <c r="K539" s="4332">
        <f>F539-J539</f>
        <v>0</v>
      </c>
      <c r="L539" s="4675"/>
      <c r="M539" s="386"/>
      <c r="N539" s="386"/>
      <c r="O539" s="386"/>
      <c r="P539" s="386"/>
      <c r="Q539" s="386"/>
    </row>
    <row r="540" spans="1:17" ht="30" customHeight="1" x14ac:dyDescent="0.2">
      <c r="A540" s="4614"/>
      <c r="B540" s="4615"/>
      <c r="C540" s="4620"/>
      <c r="D540" s="4322"/>
      <c r="E540" s="4608"/>
      <c r="F540" s="4322"/>
      <c r="G540" s="4415"/>
      <c r="H540" s="4575"/>
      <c r="I540" s="4790"/>
      <c r="J540" s="4322"/>
      <c r="K540" s="4332"/>
      <c r="L540" s="4676"/>
      <c r="M540" s="386"/>
      <c r="N540" s="386"/>
      <c r="O540" s="386"/>
      <c r="P540" s="386"/>
      <c r="Q540" s="386"/>
    </row>
    <row r="541" spans="1:17" ht="30" customHeight="1" x14ac:dyDescent="0.2">
      <c r="A541" s="4459">
        <v>369</v>
      </c>
      <c r="B541" s="4457" t="s">
        <v>1676</v>
      </c>
      <c r="C541" s="4537" t="s">
        <v>1652</v>
      </c>
      <c r="D541" s="2213">
        <v>250000000</v>
      </c>
      <c r="E541" s="2210">
        <v>0.05</v>
      </c>
      <c r="F541" s="2213">
        <f t="shared" ref="F541:F546" si="57">D541*E541</f>
        <v>12500000</v>
      </c>
      <c r="G541" s="2213"/>
      <c r="H541" s="2213"/>
      <c r="I541" s="233"/>
      <c r="J541" s="233"/>
      <c r="K541" s="233"/>
      <c r="L541" s="2271"/>
      <c r="M541" s="386"/>
      <c r="N541" s="386"/>
      <c r="O541" s="386"/>
      <c r="P541" s="386"/>
      <c r="Q541" s="386"/>
    </row>
    <row r="542" spans="1:17" ht="30" customHeight="1" x14ac:dyDescent="0.2">
      <c r="A542" s="4464"/>
      <c r="B542" s="4488"/>
      <c r="C542" s="4540"/>
      <c r="D542" s="2213">
        <v>150000000</v>
      </c>
      <c r="E542" s="2210">
        <v>0.06</v>
      </c>
      <c r="F542" s="2213">
        <f t="shared" si="57"/>
        <v>9000000</v>
      </c>
      <c r="G542" s="233"/>
      <c r="H542" s="233"/>
      <c r="I542" s="233"/>
      <c r="J542" s="233"/>
      <c r="K542" s="2280"/>
      <c r="L542" s="2251" t="s">
        <v>3884</v>
      </c>
      <c r="M542" s="386"/>
      <c r="N542" s="386"/>
      <c r="O542" s="386"/>
      <c r="P542" s="386"/>
      <c r="Q542" s="386"/>
    </row>
    <row r="543" spans="1:17" ht="30" customHeight="1" x14ac:dyDescent="0.2">
      <c r="A543" s="4464"/>
      <c r="B543" s="4488"/>
      <c r="C543" s="4540"/>
      <c r="D543" s="2213">
        <v>50000000</v>
      </c>
      <c r="E543" s="2210">
        <v>0.06</v>
      </c>
      <c r="F543" s="2213">
        <f t="shared" si="57"/>
        <v>3000000</v>
      </c>
      <c r="G543" s="233">
        <f>SUM(F541:F543)</f>
        <v>24500000</v>
      </c>
      <c r="H543" s="233"/>
      <c r="I543" s="233"/>
      <c r="J543" s="233"/>
      <c r="K543" s="2280"/>
      <c r="L543" s="2251" t="s">
        <v>3885</v>
      </c>
      <c r="M543" s="386"/>
      <c r="N543" s="386"/>
      <c r="O543" s="386"/>
      <c r="P543" s="386"/>
      <c r="Q543" s="386"/>
    </row>
    <row r="544" spans="1:17" ht="30" customHeight="1" x14ac:dyDescent="0.2">
      <c r="A544" s="4460"/>
      <c r="B544" s="4458"/>
      <c r="C544" s="4538"/>
      <c r="D544" s="2213">
        <v>105000000</v>
      </c>
      <c r="E544" s="2210">
        <v>0.06</v>
      </c>
      <c r="F544" s="2213">
        <f t="shared" si="57"/>
        <v>6300000</v>
      </c>
      <c r="G544" s="7">
        <f>SUM(F541:F544)</f>
        <v>30800000</v>
      </c>
      <c r="H544" s="7"/>
      <c r="I544" s="1967"/>
      <c r="J544" s="7"/>
      <c r="K544" s="2280"/>
      <c r="L544" s="2251" t="s">
        <v>3979</v>
      </c>
      <c r="M544" s="386"/>
      <c r="N544" s="386"/>
      <c r="O544" s="386"/>
      <c r="P544" s="386"/>
      <c r="Q544" s="386"/>
    </row>
    <row r="545" spans="1:17" ht="30" customHeight="1" x14ac:dyDescent="0.2">
      <c r="A545" s="2202">
        <v>370</v>
      </c>
      <c r="B545" s="2263" t="s">
        <v>1696</v>
      </c>
      <c r="C545" s="2238" t="s">
        <v>3323</v>
      </c>
      <c r="D545" s="2213">
        <v>200000000</v>
      </c>
      <c r="E545" s="2265">
        <v>0.05</v>
      </c>
      <c r="F545" s="2213">
        <f t="shared" si="57"/>
        <v>10000000</v>
      </c>
      <c r="G545" s="2213">
        <v>10000000</v>
      </c>
      <c r="H545" s="2213" t="s">
        <v>3994</v>
      </c>
      <c r="I545" s="473" t="s">
        <v>3400</v>
      </c>
      <c r="J545" s="2213">
        <f t="shared" ref="J545:J554" si="58">G545</f>
        <v>10000000</v>
      </c>
      <c r="K545" s="2255">
        <f>F545-J545</f>
        <v>0</v>
      </c>
      <c r="L545" s="2254"/>
      <c r="M545" s="386"/>
      <c r="N545" s="386"/>
      <c r="O545" s="386"/>
      <c r="P545" s="386"/>
      <c r="Q545" s="386"/>
    </row>
    <row r="546" spans="1:17" ht="30" customHeight="1" x14ac:dyDescent="0.2">
      <c r="A546" s="4459">
        <v>371</v>
      </c>
      <c r="B546" s="4457" t="s">
        <v>1698</v>
      </c>
      <c r="C546" s="4537" t="s">
        <v>942</v>
      </c>
      <c r="D546" s="4413">
        <v>50000000</v>
      </c>
      <c r="E546" s="4476">
        <v>0.04</v>
      </c>
      <c r="F546" s="4413">
        <f t="shared" si="57"/>
        <v>2000000</v>
      </c>
      <c r="G546" s="2213"/>
      <c r="H546" s="2213"/>
      <c r="I546" s="473" t="s">
        <v>1699</v>
      </c>
      <c r="J546" s="2213">
        <f t="shared" si="58"/>
        <v>0</v>
      </c>
      <c r="K546" s="2255">
        <f>F546-J546</f>
        <v>2000000</v>
      </c>
      <c r="L546" s="2271"/>
      <c r="M546" s="386"/>
      <c r="N546" s="386"/>
      <c r="O546" s="386"/>
      <c r="P546" s="386"/>
      <c r="Q546" s="386"/>
    </row>
    <row r="547" spans="1:17" ht="30" customHeight="1" x14ac:dyDescent="0.2">
      <c r="A547" s="4460"/>
      <c r="B547" s="4458"/>
      <c r="C547" s="4538"/>
      <c r="D547" s="4415"/>
      <c r="E547" s="4477"/>
      <c r="F547" s="4415"/>
      <c r="G547" s="2213"/>
      <c r="H547" s="2213"/>
      <c r="I547" s="473" t="s">
        <v>1699</v>
      </c>
      <c r="J547" s="2213">
        <f t="shared" si="58"/>
        <v>0</v>
      </c>
      <c r="K547" s="2255">
        <f>F546-J547</f>
        <v>2000000</v>
      </c>
      <c r="L547" s="2271"/>
      <c r="M547" s="386"/>
      <c r="N547" s="386"/>
      <c r="O547" s="386"/>
      <c r="P547" s="386"/>
      <c r="Q547" s="386"/>
    </row>
    <row r="548" spans="1:17" ht="30" customHeight="1" x14ac:dyDescent="0.2">
      <c r="A548" s="2204">
        <v>372</v>
      </c>
      <c r="B548" s="2206" t="s">
        <v>1706</v>
      </c>
      <c r="C548" s="2238"/>
      <c r="D548" s="2226"/>
      <c r="E548" s="2297"/>
      <c r="F548" s="2226"/>
      <c r="G548" s="2213"/>
      <c r="H548" s="2213"/>
      <c r="I548" s="473"/>
      <c r="J548" s="2213">
        <f t="shared" si="58"/>
        <v>0</v>
      </c>
      <c r="K548" s="2260"/>
      <c r="L548" s="2271"/>
      <c r="M548" s="386"/>
      <c r="N548" s="386"/>
      <c r="O548" s="386"/>
      <c r="P548" s="386"/>
      <c r="Q548" s="386"/>
    </row>
    <row r="549" spans="1:17" ht="30" customHeight="1" x14ac:dyDescent="0.2">
      <c r="A549" s="1029"/>
      <c r="B549" s="2267" t="s">
        <v>1725</v>
      </c>
      <c r="C549" s="2266"/>
      <c r="D549" s="2201">
        <v>20000000</v>
      </c>
      <c r="E549" s="2265">
        <v>0.05</v>
      </c>
      <c r="F549" s="2201">
        <f>D549*E549</f>
        <v>1000000</v>
      </c>
      <c r="G549" s="2201">
        <v>1000000</v>
      </c>
      <c r="H549" s="2201" t="s">
        <v>3994</v>
      </c>
      <c r="I549" s="2201" t="s">
        <v>3486</v>
      </c>
      <c r="J549" s="2201">
        <f t="shared" si="58"/>
        <v>1000000</v>
      </c>
      <c r="K549" s="2198">
        <f>F549-J549</f>
        <v>0</v>
      </c>
      <c r="L549" s="2271"/>
      <c r="M549" s="386"/>
      <c r="N549" s="386"/>
      <c r="O549" s="386"/>
      <c r="P549" s="386"/>
      <c r="Q549" s="386"/>
    </row>
    <row r="550" spans="1:17" ht="30" customHeight="1" x14ac:dyDescent="0.2">
      <c r="A550" s="2204">
        <v>374</v>
      </c>
      <c r="B550" s="2206" t="s">
        <v>1727</v>
      </c>
      <c r="C550" s="2238"/>
      <c r="D550" s="2226"/>
      <c r="E550" s="2228"/>
      <c r="F550" s="2226"/>
      <c r="G550" s="2213"/>
      <c r="H550" s="2213"/>
      <c r="I550" s="473"/>
      <c r="J550" s="2213">
        <f t="shared" si="58"/>
        <v>0</v>
      </c>
      <c r="K550" s="2260">
        <f t="shared" ref="K550:K555" si="59">F550-J550</f>
        <v>0</v>
      </c>
      <c r="L550" s="2271"/>
      <c r="M550" s="386"/>
      <c r="N550" s="386"/>
      <c r="O550" s="386"/>
      <c r="P550" s="386"/>
      <c r="Q550" s="386"/>
    </row>
    <row r="551" spans="1:17" ht="30" customHeight="1" x14ac:dyDescent="0.2">
      <c r="A551" s="2204">
        <v>375</v>
      </c>
      <c r="B551" s="2206" t="s">
        <v>1735</v>
      </c>
      <c r="C551" s="2238"/>
      <c r="D551" s="2213">
        <v>100000000</v>
      </c>
      <c r="E551" s="2265">
        <v>0.05</v>
      </c>
      <c r="F551" s="2213">
        <f>D551*E551</f>
        <v>5000000</v>
      </c>
      <c r="G551" s="2213"/>
      <c r="H551" s="2213"/>
      <c r="I551" s="473" t="s">
        <v>3426</v>
      </c>
      <c r="J551" s="2213">
        <f t="shared" si="58"/>
        <v>0</v>
      </c>
      <c r="K551" s="2255">
        <f t="shared" si="59"/>
        <v>5000000</v>
      </c>
      <c r="L551" s="2271"/>
      <c r="M551" s="386"/>
      <c r="N551" s="386"/>
      <c r="O551" s="386"/>
      <c r="P551" s="386"/>
      <c r="Q551" s="386"/>
    </row>
    <row r="552" spans="1:17" ht="30" customHeight="1" x14ac:dyDescent="0.2">
      <c r="A552" s="2204">
        <v>376</v>
      </c>
      <c r="B552" s="2206" t="s">
        <v>3580</v>
      </c>
      <c r="C552" s="2238" t="s">
        <v>262</v>
      </c>
      <c r="D552" s="2213">
        <v>50000000</v>
      </c>
      <c r="E552" s="2265">
        <v>0.06</v>
      </c>
      <c r="F552" s="2213">
        <f>D552*E552</f>
        <v>3000000</v>
      </c>
      <c r="G552" s="2213">
        <v>3000000</v>
      </c>
      <c r="H552" s="2213" t="s">
        <v>4045</v>
      </c>
      <c r="I552" s="473" t="s">
        <v>4095</v>
      </c>
      <c r="J552" s="2213">
        <f t="shared" si="58"/>
        <v>3000000</v>
      </c>
      <c r="K552" s="2255">
        <f t="shared" si="59"/>
        <v>0</v>
      </c>
      <c r="L552" s="2271"/>
      <c r="M552" s="386"/>
      <c r="N552" s="386"/>
      <c r="O552" s="386"/>
      <c r="P552" s="386"/>
      <c r="Q552" s="386"/>
    </row>
    <row r="553" spans="1:17" ht="30" customHeight="1" x14ac:dyDescent="0.2">
      <c r="A553" s="2204">
        <v>377</v>
      </c>
      <c r="B553" s="2206" t="s">
        <v>1752</v>
      </c>
      <c r="C553" s="2238" t="s">
        <v>1652</v>
      </c>
      <c r="D553" s="2213">
        <v>153000000</v>
      </c>
      <c r="E553" s="2265">
        <v>7.0000000000000007E-2</v>
      </c>
      <c r="F553" s="2213">
        <f>D553*E553</f>
        <v>10710000.000000002</v>
      </c>
      <c r="G553" s="2213">
        <v>10710000</v>
      </c>
      <c r="H553" s="2213" t="s">
        <v>3966</v>
      </c>
      <c r="I553" s="473" t="s">
        <v>1952</v>
      </c>
      <c r="J553" s="2213">
        <f t="shared" si="58"/>
        <v>10710000</v>
      </c>
      <c r="K553" s="2255">
        <f t="shared" si="59"/>
        <v>0</v>
      </c>
      <c r="L553" s="2271"/>
      <c r="M553" s="386"/>
      <c r="N553" s="386"/>
      <c r="O553" s="386"/>
      <c r="P553" s="386"/>
      <c r="Q553" s="386"/>
    </row>
    <row r="554" spans="1:17" ht="30" customHeight="1" x14ac:dyDescent="0.2">
      <c r="A554" s="2204">
        <v>378</v>
      </c>
      <c r="B554" s="2206" t="s">
        <v>1790</v>
      </c>
      <c r="C554" s="2238" t="s">
        <v>889</v>
      </c>
      <c r="D554" s="2213">
        <v>300000000</v>
      </c>
      <c r="E554" s="2265">
        <v>5.0999999999999997E-2</v>
      </c>
      <c r="F554" s="2213">
        <v>15500000</v>
      </c>
      <c r="G554" s="2213">
        <v>15500000</v>
      </c>
      <c r="H554" s="2213" t="s">
        <v>2015</v>
      </c>
      <c r="I554" s="473" t="s">
        <v>3062</v>
      </c>
      <c r="J554" s="2213">
        <f t="shared" si="58"/>
        <v>15500000</v>
      </c>
      <c r="K554" s="2255">
        <f t="shared" si="59"/>
        <v>0</v>
      </c>
      <c r="L554" s="2271"/>
      <c r="M554" s="386"/>
      <c r="N554" s="386"/>
      <c r="O554" s="386"/>
      <c r="P554" s="386"/>
      <c r="Q554" s="386"/>
    </row>
    <row r="555" spans="1:17" ht="30" customHeight="1" x14ac:dyDescent="0.2">
      <c r="A555" s="4459">
        <v>379</v>
      </c>
      <c r="B555" s="4457" t="s">
        <v>1753</v>
      </c>
      <c r="C555" s="4537" t="s">
        <v>372</v>
      </c>
      <c r="D555" s="4413">
        <v>50000000</v>
      </c>
      <c r="E555" s="4476">
        <v>0.04</v>
      </c>
      <c r="F555" s="4413">
        <f>D555*E555</f>
        <v>2000000</v>
      </c>
      <c r="G555" s="4413">
        <v>2000000</v>
      </c>
      <c r="H555" s="4413" t="s">
        <v>3994</v>
      </c>
      <c r="I555" s="4789" t="s">
        <v>3537</v>
      </c>
      <c r="J555" s="4413">
        <f>G555+G556</f>
        <v>2000000</v>
      </c>
      <c r="K555" s="4603">
        <f t="shared" si="59"/>
        <v>0</v>
      </c>
      <c r="L555" s="4603"/>
      <c r="M555" s="386"/>
      <c r="N555" s="386"/>
      <c r="O555" s="386"/>
      <c r="P555" s="386"/>
      <c r="Q555" s="386"/>
    </row>
    <row r="556" spans="1:17" ht="30" customHeight="1" x14ac:dyDescent="0.2">
      <c r="A556" s="4460"/>
      <c r="B556" s="4458"/>
      <c r="C556" s="4538"/>
      <c r="D556" s="4415"/>
      <c r="E556" s="4477"/>
      <c r="F556" s="4415"/>
      <c r="G556" s="4415"/>
      <c r="H556" s="4415"/>
      <c r="I556" s="4790"/>
      <c r="J556" s="4415"/>
      <c r="K556" s="4604"/>
      <c r="L556" s="4604"/>
      <c r="M556" s="386"/>
      <c r="N556" s="386"/>
      <c r="O556" s="386"/>
      <c r="P556" s="386"/>
      <c r="Q556" s="386"/>
    </row>
    <row r="557" spans="1:17" ht="30" customHeight="1" x14ac:dyDescent="0.2">
      <c r="A557" s="4459">
        <v>380</v>
      </c>
      <c r="B557" s="4457" t="s">
        <v>1795</v>
      </c>
      <c r="C557" s="4537" t="s">
        <v>1100</v>
      </c>
      <c r="D557" s="4413">
        <v>10000000</v>
      </c>
      <c r="E557" s="4476">
        <v>0.05</v>
      </c>
      <c r="F557" s="4413">
        <f>D557*E557</f>
        <v>500000</v>
      </c>
      <c r="G557" s="2213">
        <v>500000</v>
      </c>
      <c r="H557" s="2213" t="s">
        <v>4017</v>
      </c>
      <c r="I557" s="473" t="s">
        <v>4019</v>
      </c>
      <c r="J557" s="2213">
        <f>G557</f>
        <v>500000</v>
      </c>
      <c r="K557" s="2255">
        <f>F557-J557</f>
        <v>0</v>
      </c>
      <c r="L557" s="2271" t="s">
        <v>3337</v>
      </c>
      <c r="M557" s="386"/>
      <c r="N557" s="386"/>
      <c r="O557" s="386"/>
      <c r="P557" s="386"/>
      <c r="Q557" s="386"/>
    </row>
    <row r="558" spans="1:17" ht="30" customHeight="1" x14ac:dyDescent="0.2">
      <c r="A558" s="4460"/>
      <c r="B558" s="4458"/>
      <c r="C558" s="4538"/>
      <c r="D558" s="4415"/>
      <c r="E558" s="4477"/>
      <c r="F558" s="4415"/>
      <c r="G558" s="2213">
        <v>500000</v>
      </c>
      <c r="H558" s="2213" t="s">
        <v>4146</v>
      </c>
      <c r="I558" s="473" t="s">
        <v>4019</v>
      </c>
      <c r="J558" s="2213">
        <f>G558</f>
        <v>500000</v>
      </c>
      <c r="K558" s="2255">
        <f>F557-J558</f>
        <v>0</v>
      </c>
      <c r="L558" s="2271" t="s">
        <v>3953</v>
      </c>
      <c r="M558" s="386"/>
      <c r="N558" s="386"/>
      <c r="O558" s="386"/>
      <c r="P558" s="386"/>
      <c r="Q558" s="386"/>
    </row>
    <row r="559" spans="1:17" ht="30" customHeight="1" x14ac:dyDescent="0.2">
      <c r="A559" s="2204">
        <v>381</v>
      </c>
      <c r="B559" s="2206" t="s">
        <v>1797</v>
      </c>
      <c r="C559" s="2238" t="s">
        <v>889</v>
      </c>
      <c r="D559" s="2213">
        <v>50000000</v>
      </c>
      <c r="E559" s="2265">
        <v>0.05</v>
      </c>
      <c r="F559" s="2213">
        <f>D559*E559</f>
        <v>2500000</v>
      </c>
      <c r="G559" s="2213">
        <v>2500000</v>
      </c>
      <c r="H559" s="2213" t="s">
        <v>2015</v>
      </c>
      <c r="I559" s="473" t="s">
        <v>3516</v>
      </c>
      <c r="J559" s="2213">
        <f>G559</f>
        <v>2500000</v>
      </c>
      <c r="K559" s="2255">
        <f>F559-J559</f>
        <v>0</v>
      </c>
      <c r="L559" s="2271"/>
      <c r="M559" s="386"/>
      <c r="N559" s="386"/>
      <c r="O559" s="386"/>
      <c r="P559" s="386"/>
      <c r="Q559" s="386"/>
    </row>
    <row r="560" spans="1:17" ht="30" customHeight="1" x14ac:dyDescent="0.2">
      <c r="A560" s="2204">
        <v>382</v>
      </c>
      <c r="B560" s="2206" t="s">
        <v>1812</v>
      </c>
      <c r="C560" s="2238" t="s">
        <v>262</v>
      </c>
      <c r="D560" s="2213">
        <v>150000000</v>
      </c>
      <c r="E560" s="2265"/>
      <c r="F560" s="2213"/>
      <c r="G560" s="2213"/>
      <c r="H560" s="2213"/>
      <c r="I560" s="473"/>
      <c r="J560" s="2213"/>
      <c r="K560" s="2255"/>
      <c r="L560" s="2271"/>
      <c r="M560" s="386"/>
      <c r="N560" s="386"/>
      <c r="O560" s="386"/>
      <c r="P560" s="386"/>
      <c r="Q560" s="386"/>
    </row>
    <row r="561" spans="1:17" ht="30" customHeight="1" x14ac:dyDescent="0.2">
      <c r="A561" s="2204">
        <v>383</v>
      </c>
      <c r="B561" s="2206" t="s">
        <v>1823</v>
      </c>
      <c r="C561" s="2238" t="s">
        <v>262</v>
      </c>
      <c r="D561" s="2213">
        <v>10000000</v>
      </c>
      <c r="E561" s="2265">
        <v>7.0000000000000007E-2</v>
      </c>
      <c r="F561" s="2213">
        <f t="shared" ref="F561:F566" si="60">D561*E561</f>
        <v>700000.00000000012</v>
      </c>
      <c r="G561" s="2213">
        <v>700000</v>
      </c>
      <c r="H561" s="2213" t="s">
        <v>4062</v>
      </c>
      <c r="I561" s="473" t="s">
        <v>2928</v>
      </c>
      <c r="J561" s="2213">
        <f t="shared" ref="J561:J566" si="61">G561</f>
        <v>700000</v>
      </c>
      <c r="K561" s="2255">
        <f t="shared" ref="K561:K566" si="62">F561-J561</f>
        <v>0</v>
      </c>
      <c r="L561" s="2271"/>
      <c r="M561" s="386"/>
      <c r="N561" s="386"/>
      <c r="O561" s="386"/>
      <c r="P561" s="386"/>
      <c r="Q561" s="386"/>
    </row>
    <row r="562" spans="1:17" ht="30" customHeight="1" x14ac:dyDescent="0.2">
      <c r="A562" s="625">
        <v>384</v>
      </c>
      <c r="B562" s="2206" t="s">
        <v>1861</v>
      </c>
      <c r="C562" s="2238" t="s">
        <v>262</v>
      </c>
      <c r="D562" s="2213">
        <v>150000000</v>
      </c>
      <c r="E562" s="2265">
        <v>7.0000000000000007E-2</v>
      </c>
      <c r="F562" s="2213">
        <f t="shared" si="60"/>
        <v>10500000.000000002</v>
      </c>
      <c r="G562" s="2213">
        <v>10500000</v>
      </c>
      <c r="H562" s="2213" t="s">
        <v>4076</v>
      </c>
      <c r="I562" s="473" t="s">
        <v>1960</v>
      </c>
      <c r="J562" s="2213">
        <f t="shared" si="61"/>
        <v>10500000</v>
      </c>
      <c r="K562" s="2255">
        <f t="shared" si="62"/>
        <v>0</v>
      </c>
      <c r="L562" s="2271"/>
      <c r="M562" s="386"/>
      <c r="N562" s="386"/>
      <c r="O562" s="386"/>
      <c r="P562" s="386"/>
      <c r="Q562" s="386"/>
    </row>
    <row r="563" spans="1:17" ht="30" customHeight="1" x14ac:dyDescent="0.2">
      <c r="A563" s="2204">
        <v>385</v>
      </c>
      <c r="B563" s="2206" t="s">
        <v>1877</v>
      </c>
      <c r="C563" s="2238" t="s">
        <v>371</v>
      </c>
      <c r="D563" s="2213">
        <v>12000000</v>
      </c>
      <c r="E563" s="2265">
        <v>0.05</v>
      </c>
      <c r="F563" s="2213">
        <f t="shared" si="60"/>
        <v>600000</v>
      </c>
      <c r="G563" s="2213">
        <v>600000</v>
      </c>
      <c r="H563" s="2213" t="s">
        <v>4062</v>
      </c>
      <c r="I563" s="473" t="s">
        <v>2855</v>
      </c>
      <c r="J563" s="2213">
        <f t="shared" si="61"/>
        <v>600000</v>
      </c>
      <c r="K563" s="2255">
        <f t="shared" si="62"/>
        <v>0</v>
      </c>
      <c r="L563" s="2271" t="s">
        <v>1878</v>
      </c>
      <c r="M563" s="386"/>
      <c r="N563" s="386"/>
      <c r="O563" s="386"/>
      <c r="P563" s="386"/>
      <c r="Q563" s="386"/>
    </row>
    <row r="564" spans="1:17" ht="30" customHeight="1" x14ac:dyDescent="0.2">
      <c r="A564" s="2281">
        <v>386</v>
      </c>
      <c r="B564" s="2263" t="s">
        <v>3092</v>
      </c>
      <c r="C564" s="2237" t="s">
        <v>1306</v>
      </c>
      <c r="D564" s="2211">
        <v>200000000</v>
      </c>
      <c r="E564" s="2208">
        <v>0.06</v>
      </c>
      <c r="F564" s="2211">
        <f t="shared" si="60"/>
        <v>12000000</v>
      </c>
      <c r="G564" s="2213">
        <v>12000000</v>
      </c>
      <c r="H564" s="2213" t="s">
        <v>4121</v>
      </c>
      <c r="I564" s="473" t="s">
        <v>1943</v>
      </c>
      <c r="J564" s="2211">
        <f t="shared" si="61"/>
        <v>12000000</v>
      </c>
      <c r="K564" s="2254">
        <f t="shared" si="62"/>
        <v>0</v>
      </c>
      <c r="L564" s="2254"/>
      <c r="M564" s="386"/>
      <c r="N564" s="386"/>
      <c r="O564" s="386"/>
      <c r="P564" s="386"/>
      <c r="Q564" s="386"/>
    </row>
    <row r="565" spans="1:17" ht="30" customHeight="1" x14ac:dyDescent="0.2">
      <c r="A565" s="2202">
        <v>387</v>
      </c>
      <c r="B565" s="2267" t="s">
        <v>1923</v>
      </c>
      <c r="C565" s="2266"/>
      <c r="D565" s="2201">
        <v>60000000</v>
      </c>
      <c r="E565" s="2265">
        <v>0.04</v>
      </c>
      <c r="F565" s="2201">
        <f t="shared" si="60"/>
        <v>2400000</v>
      </c>
      <c r="G565" s="2201">
        <v>2400000</v>
      </c>
      <c r="H565" s="2201" t="s">
        <v>4146</v>
      </c>
      <c r="I565" s="1030" t="s">
        <v>4147</v>
      </c>
      <c r="J565" s="2201">
        <f t="shared" si="61"/>
        <v>2400000</v>
      </c>
      <c r="K565" s="2198">
        <f t="shared" si="62"/>
        <v>0</v>
      </c>
      <c r="L565" s="2254"/>
      <c r="M565" s="386"/>
      <c r="N565" s="386"/>
      <c r="O565" s="386"/>
      <c r="P565" s="386"/>
      <c r="Q565" s="386"/>
    </row>
    <row r="566" spans="1:17" ht="30" customHeight="1" x14ac:dyDescent="0.2">
      <c r="A566" s="4614"/>
      <c r="B566" s="4615" t="s">
        <v>1953</v>
      </c>
      <c r="C566" s="4620" t="s">
        <v>3302</v>
      </c>
      <c r="D566" s="4322">
        <v>150000000</v>
      </c>
      <c r="E566" s="4608">
        <v>0.05</v>
      </c>
      <c r="F566" s="4322">
        <f t="shared" si="60"/>
        <v>7500000</v>
      </c>
      <c r="G566" s="4553">
        <v>4000000</v>
      </c>
      <c r="H566" s="4553" t="s">
        <v>4130</v>
      </c>
      <c r="I566" s="4553" t="s">
        <v>4587</v>
      </c>
      <c r="J566" s="4553">
        <f t="shared" si="61"/>
        <v>4000000</v>
      </c>
      <c r="K566" s="4603">
        <f t="shared" si="62"/>
        <v>3500000</v>
      </c>
      <c r="L566" s="2283" t="s">
        <v>3300</v>
      </c>
      <c r="M566" s="386"/>
      <c r="N566" s="386"/>
      <c r="O566" s="386"/>
      <c r="P566" s="386"/>
      <c r="Q566" s="386"/>
    </row>
    <row r="567" spans="1:17" ht="30" customHeight="1" x14ac:dyDescent="0.2">
      <c r="A567" s="4614"/>
      <c r="B567" s="4615"/>
      <c r="C567" s="4620"/>
      <c r="D567" s="4322"/>
      <c r="E567" s="4608"/>
      <c r="F567" s="4322"/>
      <c r="G567" s="4554"/>
      <c r="H567" s="4554"/>
      <c r="I567" s="4554"/>
      <c r="J567" s="4554"/>
      <c r="K567" s="4604"/>
      <c r="L567" s="2271" t="s">
        <v>3301</v>
      </c>
      <c r="M567" s="386"/>
      <c r="N567" s="386"/>
      <c r="O567" s="386"/>
      <c r="P567" s="386"/>
      <c r="Q567" s="386"/>
    </row>
    <row r="568" spans="1:17" ht="30" customHeight="1" x14ac:dyDescent="0.2">
      <c r="A568" s="2204">
        <v>390</v>
      </c>
      <c r="B568" s="2206" t="s">
        <v>1996</v>
      </c>
      <c r="C568" s="2238" t="s">
        <v>889</v>
      </c>
      <c r="D568" s="2213">
        <v>5000000</v>
      </c>
      <c r="E568" s="2210">
        <v>0.05</v>
      </c>
      <c r="F568" s="2213">
        <f>D568*E568</f>
        <v>250000</v>
      </c>
      <c r="G568" s="2213">
        <v>250000</v>
      </c>
      <c r="H568" s="2213" t="s">
        <v>1215</v>
      </c>
      <c r="I568" s="473" t="s">
        <v>2533</v>
      </c>
      <c r="J568" s="2213">
        <f>G568</f>
        <v>250000</v>
      </c>
      <c r="K568" s="2255">
        <f>F568-J568</f>
        <v>0</v>
      </c>
      <c r="L568" s="2271"/>
      <c r="M568" s="386"/>
      <c r="N568" s="386"/>
      <c r="O568" s="386"/>
      <c r="P568" s="386"/>
      <c r="Q568" s="386"/>
    </row>
    <row r="569" spans="1:17" ht="30" customHeight="1" x14ac:dyDescent="0.2">
      <c r="A569" s="4614">
        <v>391</v>
      </c>
      <c r="B569" s="4615" t="s">
        <v>2003</v>
      </c>
      <c r="C569" s="4620" t="s">
        <v>3390</v>
      </c>
      <c r="D569" s="4322">
        <v>1000000000</v>
      </c>
      <c r="E569" s="4608">
        <v>0.05</v>
      </c>
      <c r="F569" s="4322">
        <f>D569*E569</f>
        <v>50000000</v>
      </c>
      <c r="G569" s="4413">
        <v>50000000</v>
      </c>
      <c r="H569" s="4413" t="s">
        <v>3025</v>
      </c>
      <c r="I569" s="4413" t="s">
        <v>4096</v>
      </c>
      <c r="J569" s="4413">
        <f>G569</f>
        <v>50000000</v>
      </c>
      <c r="K569" s="4413">
        <f>F569-J569</f>
        <v>0</v>
      </c>
      <c r="L569" s="4675" t="s">
        <v>3202</v>
      </c>
      <c r="M569" s="386"/>
      <c r="N569" s="386"/>
      <c r="O569" s="386"/>
      <c r="P569" s="386"/>
      <c r="Q569" s="386"/>
    </row>
    <row r="570" spans="1:17" ht="30" customHeight="1" x14ac:dyDescent="0.2">
      <c r="A570" s="4614"/>
      <c r="B570" s="4615"/>
      <c r="C570" s="4620"/>
      <c r="D570" s="4322"/>
      <c r="E570" s="4608"/>
      <c r="F570" s="4322"/>
      <c r="G570" s="4415"/>
      <c r="H570" s="4415"/>
      <c r="I570" s="4415"/>
      <c r="J570" s="4415"/>
      <c r="K570" s="4415"/>
      <c r="L570" s="4676"/>
      <c r="M570" s="386"/>
      <c r="N570" s="386"/>
      <c r="O570" s="386"/>
      <c r="P570" s="386"/>
      <c r="Q570" s="386"/>
    </row>
    <row r="571" spans="1:17" ht="30" customHeight="1" x14ac:dyDescent="0.2">
      <c r="A571" s="2204">
        <v>392</v>
      </c>
      <c r="B571" s="2206" t="s">
        <v>2048</v>
      </c>
      <c r="C571" s="2238" t="s">
        <v>1294</v>
      </c>
      <c r="D571" s="2213">
        <v>50000000</v>
      </c>
      <c r="E571" s="2265">
        <v>0.05</v>
      </c>
      <c r="F571" s="2213">
        <f>D571*E571</f>
        <v>2500000</v>
      </c>
      <c r="G571" s="2213">
        <v>2500000</v>
      </c>
      <c r="H571" s="2213" t="s">
        <v>4109</v>
      </c>
      <c r="I571" s="473" t="s">
        <v>3047</v>
      </c>
      <c r="J571" s="2213">
        <f>G571</f>
        <v>2500000</v>
      </c>
      <c r="K571" s="2255">
        <f>F571-J571</f>
        <v>0</v>
      </c>
      <c r="L571" s="2271" t="s">
        <v>2036</v>
      </c>
      <c r="M571" s="386"/>
      <c r="N571" s="386"/>
      <c r="O571" s="386"/>
      <c r="P571" s="386"/>
      <c r="Q571" s="386"/>
    </row>
    <row r="572" spans="1:17" ht="30" customHeight="1" x14ac:dyDescent="0.2">
      <c r="A572" s="4459">
        <v>393</v>
      </c>
      <c r="B572" s="4457" t="s">
        <v>2040</v>
      </c>
      <c r="C572" s="2238"/>
      <c r="D572" s="2213">
        <v>30000000</v>
      </c>
      <c r="E572" s="2265">
        <f>F572/D572</f>
        <v>0.05</v>
      </c>
      <c r="F572" s="2213">
        <v>1500000</v>
      </c>
      <c r="G572" s="2213"/>
      <c r="H572" s="2213"/>
      <c r="I572" s="473" t="s">
        <v>3701</v>
      </c>
      <c r="J572" s="2213">
        <f>G572</f>
        <v>0</v>
      </c>
      <c r="K572" s="2255">
        <f>F572-J572</f>
        <v>1500000</v>
      </c>
      <c r="L572" s="2271"/>
      <c r="M572" s="386"/>
      <c r="N572" s="386"/>
      <c r="O572" s="386"/>
      <c r="P572" s="386"/>
      <c r="Q572" s="386"/>
    </row>
    <row r="573" spans="1:17" ht="30" customHeight="1" x14ac:dyDescent="0.2">
      <c r="A573" s="4464"/>
      <c r="B573" s="4488"/>
      <c r="C573" s="4537"/>
      <c r="D573" s="4322">
        <v>40000000</v>
      </c>
      <c r="E573" s="4322"/>
      <c r="F573" s="1928"/>
      <c r="G573" s="233"/>
      <c r="H573" s="233"/>
      <c r="I573" s="233"/>
      <c r="J573" s="233"/>
      <c r="K573" s="4603"/>
      <c r="L573" s="2271" t="s">
        <v>3585</v>
      </c>
      <c r="M573" s="386"/>
      <c r="N573" s="386"/>
      <c r="O573" s="386"/>
      <c r="P573" s="386"/>
      <c r="Q573" s="386"/>
    </row>
    <row r="574" spans="1:17" ht="30" customHeight="1" x14ac:dyDescent="0.2">
      <c r="A574" s="4464"/>
      <c r="B574" s="4488"/>
      <c r="C574" s="4540"/>
      <c r="D574" s="4322"/>
      <c r="E574" s="4322"/>
      <c r="F574" s="1929"/>
      <c r="G574" s="233"/>
      <c r="H574" s="233"/>
      <c r="I574" s="233"/>
      <c r="J574" s="233"/>
      <c r="K574" s="4609"/>
      <c r="L574" s="2271" t="s">
        <v>3586</v>
      </c>
      <c r="M574" s="386"/>
      <c r="N574" s="386"/>
      <c r="O574" s="386"/>
      <c r="P574" s="386"/>
      <c r="Q574" s="386"/>
    </row>
    <row r="575" spans="1:17" ht="30" customHeight="1" x14ac:dyDescent="0.2">
      <c r="A575" s="4464"/>
      <c r="B575" s="4488"/>
      <c r="C575" s="4540"/>
      <c r="D575" s="4322"/>
      <c r="E575" s="4322"/>
      <c r="F575" s="1929"/>
      <c r="G575" s="233"/>
      <c r="H575" s="233"/>
      <c r="I575" s="233"/>
      <c r="J575" s="233"/>
      <c r="K575" s="4609"/>
      <c r="L575" s="2271" t="s">
        <v>3587</v>
      </c>
      <c r="M575" s="386"/>
      <c r="N575" s="386"/>
      <c r="O575" s="386"/>
      <c r="P575" s="386"/>
      <c r="Q575" s="386"/>
    </row>
    <row r="576" spans="1:17" ht="30" customHeight="1" x14ac:dyDescent="0.2">
      <c r="A576" s="4464"/>
      <c r="B576" s="4488"/>
      <c r="C576" s="4540"/>
      <c r="D576" s="4322"/>
      <c r="E576" s="4322"/>
      <c r="F576" s="1930"/>
      <c r="G576" s="233"/>
      <c r="H576" s="233"/>
      <c r="I576" s="233"/>
      <c r="J576" s="233"/>
      <c r="K576" s="4604"/>
      <c r="L576" s="2271" t="s">
        <v>3588</v>
      </c>
      <c r="M576" s="386"/>
      <c r="N576" s="386"/>
      <c r="O576" s="386"/>
      <c r="P576" s="386"/>
      <c r="Q576" s="386"/>
    </row>
    <row r="577" spans="1:17" ht="30" customHeight="1" x14ac:dyDescent="0.2">
      <c r="A577" s="4460"/>
      <c r="B577" s="4458"/>
      <c r="C577" s="4538"/>
      <c r="D577" s="2219">
        <v>70000000</v>
      </c>
      <c r="E577" s="2265">
        <v>0.05</v>
      </c>
      <c r="F577" s="2213">
        <f>D577*E577</f>
        <v>3500000</v>
      </c>
      <c r="G577" s="2201">
        <v>3500000</v>
      </c>
      <c r="H577" s="2201" t="s">
        <v>4076</v>
      </c>
      <c r="I577" s="2201" t="s">
        <v>3701</v>
      </c>
      <c r="J577" s="2201">
        <f>G577</f>
        <v>3500000</v>
      </c>
      <c r="K577" s="2255">
        <f>F577-J577</f>
        <v>0</v>
      </c>
      <c r="L577" s="2271"/>
      <c r="M577" s="386"/>
      <c r="N577" s="386"/>
      <c r="O577" s="386"/>
      <c r="P577" s="386"/>
      <c r="Q577" s="386"/>
    </row>
    <row r="578" spans="1:17" ht="30" customHeight="1" x14ac:dyDescent="0.2">
      <c r="A578" s="4459"/>
      <c r="B578" s="2286" t="s">
        <v>2052</v>
      </c>
      <c r="C578" s="4858" t="s">
        <v>1306</v>
      </c>
      <c r="D578" s="2284">
        <v>600000000</v>
      </c>
      <c r="E578" s="680">
        <v>0.06</v>
      </c>
      <c r="F578" s="2284">
        <f>D578*E578</f>
        <v>36000000</v>
      </c>
      <c r="G578" s="4413"/>
      <c r="H578" s="4413"/>
      <c r="I578" s="4789"/>
      <c r="J578" s="4413"/>
      <c r="K578" s="2255"/>
      <c r="L578" s="2271"/>
      <c r="M578" s="386"/>
      <c r="N578" s="386"/>
      <c r="O578" s="386"/>
      <c r="P578" s="386"/>
      <c r="Q578" s="386"/>
    </row>
    <row r="579" spans="1:17" ht="30" customHeight="1" x14ac:dyDescent="0.2">
      <c r="A579" s="4464"/>
      <c r="B579" s="2286" t="s">
        <v>2049</v>
      </c>
      <c r="C579" s="4859"/>
      <c r="D579" s="2284">
        <v>310000000</v>
      </c>
      <c r="E579" s="680">
        <v>0.06</v>
      </c>
      <c r="F579" s="2284">
        <f t="shared" ref="F579:F582" si="63">D579*E579</f>
        <v>18600000</v>
      </c>
      <c r="G579" s="4414"/>
      <c r="H579" s="4414"/>
      <c r="I579" s="4871"/>
      <c r="J579" s="4414"/>
      <c r="K579" s="2255"/>
      <c r="L579" s="2271"/>
      <c r="M579" s="386"/>
      <c r="N579" s="386"/>
      <c r="O579" s="386"/>
      <c r="P579" s="386"/>
      <c r="Q579" s="386"/>
    </row>
    <row r="580" spans="1:17" ht="30" customHeight="1" x14ac:dyDescent="0.2">
      <c r="A580" s="4464"/>
      <c r="B580" s="2286" t="s">
        <v>2053</v>
      </c>
      <c r="C580" s="4859"/>
      <c r="D580" s="2284">
        <v>50000000</v>
      </c>
      <c r="E580" s="680">
        <v>0.06</v>
      </c>
      <c r="F580" s="2284">
        <f t="shared" si="63"/>
        <v>3000000</v>
      </c>
      <c r="G580" s="4414"/>
      <c r="H580" s="4414"/>
      <c r="I580" s="4871"/>
      <c r="J580" s="4414"/>
      <c r="K580" s="2255"/>
      <c r="L580" s="2271"/>
      <c r="M580" s="386"/>
      <c r="N580" s="386"/>
      <c r="O580" s="386"/>
      <c r="P580" s="386"/>
      <c r="Q580" s="386"/>
    </row>
    <row r="581" spans="1:17" ht="30" customHeight="1" x14ac:dyDescent="0.2">
      <c r="A581" s="4464"/>
      <c r="B581" s="2286" t="s">
        <v>2050</v>
      </c>
      <c r="C581" s="4859"/>
      <c r="D581" s="2284">
        <v>110000000</v>
      </c>
      <c r="E581" s="680">
        <v>0.06</v>
      </c>
      <c r="F581" s="2284">
        <f t="shared" si="63"/>
        <v>6600000</v>
      </c>
      <c r="G581" s="4414"/>
      <c r="H581" s="4414"/>
      <c r="I581" s="4871"/>
      <c r="J581" s="4414"/>
      <c r="K581" s="2255"/>
      <c r="L581" s="2271"/>
      <c r="M581" s="386"/>
      <c r="N581" s="386"/>
      <c r="O581" s="386"/>
      <c r="P581" s="386"/>
      <c r="Q581" s="386"/>
    </row>
    <row r="582" spans="1:17" ht="30" customHeight="1" x14ac:dyDescent="0.2">
      <c r="A582" s="4464"/>
      <c r="B582" s="2286" t="s">
        <v>2051</v>
      </c>
      <c r="C582" s="4860"/>
      <c r="D582" s="2284">
        <v>100000000</v>
      </c>
      <c r="E582" s="680">
        <v>0.06</v>
      </c>
      <c r="F582" s="2284">
        <f t="shared" si="63"/>
        <v>6000000</v>
      </c>
      <c r="G582" s="4415"/>
      <c r="H582" s="4415"/>
      <c r="I582" s="4790"/>
      <c r="J582" s="4415"/>
      <c r="K582" s="2255"/>
      <c r="L582" s="2271"/>
      <c r="M582" s="386"/>
      <c r="N582" s="386"/>
      <c r="O582" s="386"/>
      <c r="P582" s="386"/>
      <c r="Q582" s="386"/>
    </row>
    <row r="583" spans="1:17" ht="30" customHeight="1" x14ac:dyDescent="0.2">
      <c r="A583" s="4464"/>
      <c r="B583" s="4813" t="s">
        <v>3423</v>
      </c>
      <c r="C583" s="4858" t="s">
        <v>1306</v>
      </c>
      <c r="D583" s="4861">
        <f>SUM(D578:D582)</f>
        <v>1170000000</v>
      </c>
      <c r="E583" s="4802"/>
      <c r="F583" s="4861">
        <f>SUM(F578:F582)</f>
        <v>70200000</v>
      </c>
      <c r="G583" s="2213"/>
      <c r="H583" s="2213"/>
      <c r="I583" s="473" t="s">
        <v>3422</v>
      </c>
      <c r="J583" s="4413">
        <f>G583+G584</f>
        <v>0</v>
      </c>
      <c r="K583" s="4603">
        <f>F583-J583</f>
        <v>70200000</v>
      </c>
      <c r="L583" s="4603"/>
      <c r="M583" s="386"/>
      <c r="N583" s="386"/>
      <c r="O583" s="386"/>
      <c r="P583" s="386"/>
      <c r="Q583" s="386"/>
    </row>
    <row r="584" spans="1:17" ht="30" customHeight="1" x14ac:dyDescent="0.2">
      <c r="A584" s="4460"/>
      <c r="B584" s="4814"/>
      <c r="C584" s="4860"/>
      <c r="D584" s="4863"/>
      <c r="E584" s="4803"/>
      <c r="F584" s="4863"/>
      <c r="G584" s="2213"/>
      <c r="H584" s="2213"/>
      <c r="I584" s="473">
        <v>8792421809</v>
      </c>
      <c r="J584" s="4415"/>
      <c r="K584" s="4604"/>
      <c r="L584" s="4604"/>
      <c r="M584" s="386"/>
      <c r="N584" s="386"/>
      <c r="O584" s="386"/>
      <c r="P584" s="386"/>
      <c r="Q584" s="386"/>
    </row>
    <row r="585" spans="1:17" ht="30" customHeight="1" x14ac:dyDescent="0.2">
      <c r="A585" s="2269"/>
      <c r="B585" s="2267" t="s">
        <v>2069</v>
      </c>
      <c r="C585" s="2266"/>
      <c r="D585" s="2201">
        <v>200000000</v>
      </c>
      <c r="E585" s="2265">
        <v>7.0000000000000007E-2</v>
      </c>
      <c r="F585" s="2201">
        <f t="shared" ref="F585:F589" si="64">D585*E585</f>
        <v>14000000.000000002</v>
      </c>
      <c r="G585" s="2213">
        <v>14000000</v>
      </c>
      <c r="H585" s="2213" t="s">
        <v>4190</v>
      </c>
      <c r="I585" s="473" t="s">
        <v>1076</v>
      </c>
      <c r="J585" s="2201">
        <f>G585</f>
        <v>14000000</v>
      </c>
      <c r="K585" s="2198">
        <f>F585-J585</f>
        <v>0</v>
      </c>
      <c r="L585" s="2254"/>
      <c r="M585" s="386"/>
      <c r="N585" s="386"/>
      <c r="O585" s="386"/>
      <c r="P585" s="386"/>
      <c r="Q585" s="386"/>
    </row>
    <row r="586" spans="1:17" ht="30" customHeight="1" x14ac:dyDescent="0.2">
      <c r="A586" s="2204"/>
      <c r="B586" s="2206" t="s">
        <v>2089</v>
      </c>
      <c r="C586" s="2238"/>
      <c r="D586" s="2213">
        <v>13000000</v>
      </c>
      <c r="E586" s="2265">
        <v>0.05</v>
      </c>
      <c r="F586" s="2213">
        <f t="shared" si="64"/>
        <v>650000</v>
      </c>
      <c r="G586" s="2213">
        <v>650000</v>
      </c>
      <c r="H586" s="2213" t="s">
        <v>4062</v>
      </c>
      <c r="I586" s="473" t="s">
        <v>2984</v>
      </c>
      <c r="J586" s="2213">
        <f>G586</f>
        <v>650000</v>
      </c>
      <c r="K586" s="2255">
        <f>F586-J586</f>
        <v>0</v>
      </c>
      <c r="L586" s="2271"/>
      <c r="M586" s="386"/>
      <c r="N586" s="386"/>
      <c r="O586" s="386"/>
      <c r="P586" s="386"/>
      <c r="Q586" s="386"/>
    </row>
    <row r="587" spans="1:17" ht="30" customHeight="1" x14ac:dyDescent="0.2">
      <c r="A587" s="2204"/>
      <c r="B587" s="2206" t="s">
        <v>2128</v>
      </c>
      <c r="C587" s="2238" t="s">
        <v>1287</v>
      </c>
      <c r="D587" s="2213">
        <v>50000000</v>
      </c>
      <c r="E587" s="2265">
        <v>0.04</v>
      </c>
      <c r="F587" s="2213">
        <f t="shared" si="64"/>
        <v>2000000</v>
      </c>
      <c r="G587" s="2213">
        <v>2000000</v>
      </c>
      <c r="H587" s="2213" t="s">
        <v>4062</v>
      </c>
      <c r="I587" s="473" t="s">
        <v>2169</v>
      </c>
      <c r="J587" s="2213">
        <f>G587</f>
        <v>2000000</v>
      </c>
      <c r="K587" s="2255">
        <f>F587-G587</f>
        <v>0</v>
      </c>
      <c r="L587" s="2271"/>
      <c r="M587" s="386"/>
      <c r="N587" s="386"/>
      <c r="O587" s="386"/>
      <c r="P587" s="386"/>
      <c r="Q587" s="386"/>
    </row>
    <row r="588" spans="1:17" ht="30" customHeight="1" x14ac:dyDescent="0.2">
      <c r="A588" s="2202"/>
      <c r="B588" s="2263" t="s">
        <v>2129</v>
      </c>
      <c r="C588" s="2238" t="s">
        <v>372</v>
      </c>
      <c r="D588" s="2211">
        <v>100000000</v>
      </c>
      <c r="E588" s="2208">
        <v>0.05</v>
      </c>
      <c r="F588" s="2211">
        <f t="shared" si="64"/>
        <v>5000000</v>
      </c>
      <c r="G588" s="2212">
        <v>5000000</v>
      </c>
      <c r="H588" s="2212" t="s">
        <v>4045</v>
      </c>
      <c r="I588" s="1664" t="s">
        <v>3581</v>
      </c>
      <c r="J588" s="2211">
        <f>G588</f>
        <v>5000000</v>
      </c>
      <c r="K588" s="2254">
        <f>F588-J588</f>
        <v>0</v>
      </c>
      <c r="L588" s="2254"/>
      <c r="M588" s="386"/>
      <c r="N588" s="386"/>
      <c r="O588" s="386"/>
      <c r="P588" s="386"/>
      <c r="Q588" s="386"/>
    </row>
    <row r="589" spans="1:17" s="1540" customFormat="1" ht="30" customHeight="1" x14ac:dyDescent="0.2">
      <c r="A589" s="2269"/>
      <c r="B589" s="2267" t="s">
        <v>2208</v>
      </c>
      <c r="C589" s="2266" t="s">
        <v>1306</v>
      </c>
      <c r="D589" s="2201">
        <v>30000000</v>
      </c>
      <c r="E589" s="2265">
        <v>0.05</v>
      </c>
      <c r="F589" s="2201">
        <f t="shared" si="64"/>
        <v>1500000</v>
      </c>
      <c r="G589" s="2201">
        <v>1500000</v>
      </c>
      <c r="H589" s="2201" t="s">
        <v>4109</v>
      </c>
      <c r="I589" s="2201" t="s">
        <v>3204</v>
      </c>
      <c r="J589" s="2201">
        <f>G589</f>
        <v>1500000</v>
      </c>
      <c r="K589" s="2201">
        <f>F589-J589</f>
        <v>0</v>
      </c>
      <c r="L589" s="2271"/>
      <c r="M589" s="387"/>
      <c r="N589" s="387"/>
      <c r="O589" s="387"/>
      <c r="P589" s="387"/>
      <c r="Q589" s="387"/>
    </row>
    <row r="590" spans="1:17" ht="30" customHeight="1" x14ac:dyDescent="0.2">
      <c r="A590" s="2204"/>
      <c r="B590" s="2206" t="s">
        <v>2292</v>
      </c>
      <c r="C590" s="2238"/>
      <c r="D590" s="2226"/>
      <c r="E590" s="2297"/>
      <c r="F590" s="2226"/>
      <c r="G590" s="2213"/>
      <c r="H590" s="2213"/>
      <c r="I590" s="473"/>
      <c r="J590" s="2213">
        <f t="shared" ref="J590:J596" si="65">G590</f>
        <v>0</v>
      </c>
      <c r="K590" s="2260"/>
      <c r="L590" s="2271" t="s">
        <v>2079</v>
      </c>
      <c r="M590" s="386"/>
      <c r="N590" s="386"/>
      <c r="O590" s="386"/>
      <c r="P590" s="386"/>
      <c r="Q590" s="386"/>
    </row>
    <row r="591" spans="1:17" ht="30" customHeight="1" x14ac:dyDescent="0.2">
      <c r="A591" s="2204"/>
      <c r="B591" s="2573" t="s">
        <v>2303</v>
      </c>
      <c r="C591" s="2574"/>
      <c r="D591" s="2571">
        <v>100000000</v>
      </c>
      <c r="E591" s="2576">
        <v>4.4999999999999998E-2</v>
      </c>
      <c r="F591" s="2571">
        <f>D591*E591</f>
        <v>4500000</v>
      </c>
      <c r="G591" s="2571"/>
      <c r="H591" s="2571"/>
      <c r="I591" s="473" t="s">
        <v>2304</v>
      </c>
      <c r="J591" s="2571">
        <f t="shared" si="65"/>
        <v>0</v>
      </c>
      <c r="K591" s="2575">
        <f>F591-J591</f>
        <v>4500000</v>
      </c>
      <c r="L591" s="2577"/>
      <c r="M591" s="386"/>
      <c r="N591" s="386"/>
      <c r="O591" s="386"/>
      <c r="P591" s="386"/>
      <c r="Q591" s="386"/>
    </row>
    <row r="592" spans="1:17" ht="30" customHeight="1" x14ac:dyDescent="0.2">
      <c r="A592" s="2204"/>
      <c r="B592" s="2206" t="s">
        <v>2344</v>
      </c>
      <c r="C592" s="2238" t="s">
        <v>1306</v>
      </c>
      <c r="D592" s="2213">
        <v>25000000</v>
      </c>
      <c r="E592" s="2265">
        <v>0.04</v>
      </c>
      <c r="F592" s="2213">
        <f>D592*E592</f>
        <v>1000000</v>
      </c>
      <c r="G592" s="2213">
        <v>2000000</v>
      </c>
      <c r="H592" s="2213" t="s">
        <v>4076</v>
      </c>
      <c r="I592" s="473" t="s">
        <v>2346</v>
      </c>
      <c r="J592" s="2213">
        <f t="shared" si="65"/>
        <v>2000000</v>
      </c>
      <c r="K592" s="2255">
        <f>F592-J592</f>
        <v>-1000000</v>
      </c>
      <c r="L592" s="2271"/>
      <c r="M592" s="386"/>
      <c r="N592" s="386"/>
      <c r="O592" s="386"/>
      <c r="P592" s="386"/>
      <c r="Q592" s="386"/>
    </row>
    <row r="593" spans="1:17" ht="30" customHeight="1" x14ac:dyDescent="0.2">
      <c r="A593" s="2204"/>
      <c r="B593" s="2206" t="s">
        <v>2385</v>
      </c>
      <c r="C593" s="2238"/>
      <c r="D593" s="2226"/>
      <c r="E593" s="2297"/>
      <c r="F593" s="2226"/>
      <c r="G593" s="2213"/>
      <c r="H593" s="2213"/>
      <c r="I593" s="473"/>
      <c r="J593" s="2213">
        <f t="shared" si="65"/>
        <v>0</v>
      </c>
      <c r="K593" s="2260">
        <f>F593-J593</f>
        <v>0</v>
      </c>
      <c r="L593" s="2271"/>
      <c r="M593" s="386"/>
      <c r="N593" s="386"/>
      <c r="O593" s="386"/>
      <c r="P593" s="386"/>
      <c r="Q593" s="386"/>
    </row>
    <row r="594" spans="1:17" ht="30" customHeight="1" x14ac:dyDescent="0.2">
      <c r="A594" s="4459"/>
      <c r="B594" s="4457" t="s">
        <v>2388</v>
      </c>
      <c r="C594" s="4537" t="s">
        <v>4280</v>
      </c>
      <c r="D594" s="2730">
        <v>25000000</v>
      </c>
      <c r="E594" s="436">
        <v>0.05</v>
      </c>
      <c r="F594" s="2730">
        <f>D594*E594</f>
        <v>1250000</v>
      </c>
      <c r="G594" s="2731">
        <v>1250000</v>
      </c>
      <c r="H594" s="2731" t="s">
        <v>4253</v>
      </c>
      <c r="I594" s="2696" t="s">
        <v>4254</v>
      </c>
      <c r="J594" s="2731">
        <f>G594</f>
        <v>1250000</v>
      </c>
      <c r="K594" s="2729">
        <f>F594-J594</f>
        <v>0</v>
      </c>
      <c r="L594" s="2271" t="s">
        <v>4279</v>
      </c>
      <c r="M594" s="386"/>
      <c r="N594" s="386"/>
      <c r="O594" s="386"/>
      <c r="P594" s="386"/>
      <c r="Q594" s="386"/>
    </row>
    <row r="595" spans="1:17" ht="30" customHeight="1" x14ac:dyDescent="0.2">
      <c r="A595" s="4460"/>
      <c r="B595" s="4458"/>
      <c r="C595" s="4538"/>
      <c r="D595" s="2738">
        <v>40000000</v>
      </c>
      <c r="E595" s="436">
        <v>0.05</v>
      </c>
      <c r="F595" s="2730">
        <f t="shared" ref="F595" si="66">D595*E595</f>
        <v>2000000</v>
      </c>
      <c r="G595" s="4469" t="s">
        <v>4749</v>
      </c>
      <c r="H595" s="4470"/>
      <c r="I595" s="4470"/>
      <c r="J595" s="4471"/>
      <c r="K595" s="2740"/>
      <c r="L595" s="2743"/>
      <c r="M595" s="386"/>
      <c r="N595" s="386"/>
      <c r="O595" s="386"/>
      <c r="P595" s="386"/>
      <c r="Q595" s="386"/>
    </row>
    <row r="596" spans="1:17" ht="30" customHeight="1" x14ac:dyDescent="0.2">
      <c r="A596" s="4459"/>
      <c r="B596" s="4457" t="s">
        <v>2647</v>
      </c>
      <c r="C596" s="4620" t="s">
        <v>1652</v>
      </c>
      <c r="D596" s="2213">
        <v>100000000</v>
      </c>
      <c r="E596" s="2265">
        <v>0.05</v>
      </c>
      <c r="F596" s="2213">
        <f t="shared" ref="F596:F604" si="67">D596*E596</f>
        <v>5000000</v>
      </c>
      <c r="G596" s="4413">
        <v>16000000</v>
      </c>
      <c r="H596" s="4413" t="s">
        <v>3920</v>
      </c>
      <c r="I596" s="4413" t="s">
        <v>3921</v>
      </c>
      <c r="J596" s="4413">
        <f t="shared" si="65"/>
        <v>16000000</v>
      </c>
      <c r="K596" s="4603">
        <f>(F596+F597)-J596</f>
        <v>0</v>
      </c>
      <c r="L596" s="4675" t="s">
        <v>3213</v>
      </c>
      <c r="M596" s="386"/>
      <c r="N596" s="386"/>
      <c r="O596" s="386"/>
      <c r="P596" s="386"/>
      <c r="Q596" s="386"/>
    </row>
    <row r="597" spans="1:17" ht="30" customHeight="1" x14ac:dyDescent="0.2">
      <c r="A597" s="4464"/>
      <c r="B597" s="4488"/>
      <c r="C597" s="4620"/>
      <c r="D597" s="2213">
        <v>220000000</v>
      </c>
      <c r="E597" s="2265">
        <v>0.05</v>
      </c>
      <c r="F597" s="2213">
        <f t="shared" si="67"/>
        <v>11000000</v>
      </c>
      <c r="G597" s="4415"/>
      <c r="H597" s="4415"/>
      <c r="I597" s="4415"/>
      <c r="J597" s="4415"/>
      <c r="K597" s="4604"/>
      <c r="L597" s="4676"/>
      <c r="M597" s="386"/>
      <c r="N597" s="386"/>
      <c r="O597" s="386"/>
      <c r="P597" s="386"/>
      <c r="Q597" s="386"/>
    </row>
    <row r="598" spans="1:17" ht="30" customHeight="1" x14ac:dyDescent="0.2">
      <c r="A598" s="4464"/>
      <c r="B598" s="4488"/>
      <c r="C598" s="4537" t="s">
        <v>3390</v>
      </c>
      <c r="D598" s="4413">
        <v>1000000000</v>
      </c>
      <c r="E598" s="4476">
        <v>6.5000000000000002E-2</v>
      </c>
      <c r="F598" s="4413">
        <f>D598*E598</f>
        <v>65000000</v>
      </c>
      <c r="G598" s="2213">
        <v>50000000</v>
      </c>
      <c r="H598" s="2213" t="s">
        <v>4119</v>
      </c>
      <c r="I598" s="2213" t="s">
        <v>4120</v>
      </c>
      <c r="J598" s="4413">
        <f>G598+G599</f>
        <v>65000000</v>
      </c>
      <c r="K598" s="4603">
        <f>F598-J598</f>
        <v>0</v>
      </c>
      <c r="L598" s="2252"/>
      <c r="M598" s="386"/>
      <c r="N598" s="386"/>
      <c r="O598" s="386"/>
      <c r="P598" s="386"/>
      <c r="Q598" s="386"/>
    </row>
    <row r="599" spans="1:17" ht="30" customHeight="1" x14ac:dyDescent="0.2">
      <c r="A599" s="4460"/>
      <c r="B599" s="4458"/>
      <c r="C599" s="4538"/>
      <c r="D599" s="4415"/>
      <c r="E599" s="4477"/>
      <c r="F599" s="4415"/>
      <c r="G599" s="2201">
        <v>15000000</v>
      </c>
      <c r="H599" s="2201" t="s">
        <v>4121</v>
      </c>
      <c r="I599" s="2201" t="s">
        <v>4120</v>
      </c>
      <c r="J599" s="4415"/>
      <c r="K599" s="4604"/>
      <c r="L599" s="2271" t="s">
        <v>3690</v>
      </c>
      <c r="M599" s="386"/>
      <c r="N599" s="386"/>
      <c r="O599" s="386"/>
      <c r="P599" s="386"/>
      <c r="Q599" s="386"/>
    </row>
    <row r="600" spans="1:17" ht="30" customHeight="1" x14ac:dyDescent="0.2">
      <c r="A600" s="2204"/>
      <c r="B600" s="2206" t="s">
        <v>2407</v>
      </c>
      <c r="C600" s="2238"/>
      <c r="D600" s="2213">
        <v>20000000</v>
      </c>
      <c r="E600" s="2265">
        <v>0.05</v>
      </c>
      <c r="F600" s="2213">
        <f t="shared" si="67"/>
        <v>1000000</v>
      </c>
      <c r="G600" s="2213">
        <v>1000000</v>
      </c>
      <c r="H600" s="2213" t="s">
        <v>4109</v>
      </c>
      <c r="I600" s="473" t="s">
        <v>4126</v>
      </c>
      <c r="J600" s="2213">
        <f>G600</f>
        <v>1000000</v>
      </c>
      <c r="K600" s="2255">
        <f>F600-J600</f>
        <v>0</v>
      </c>
      <c r="L600" s="2271"/>
      <c r="M600" s="386"/>
      <c r="N600" s="386"/>
      <c r="O600" s="386"/>
      <c r="P600" s="386"/>
      <c r="Q600" s="386"/>
    </row>
    <row r="601" spans="1:17" ht="30" customHeight="1" x14ac:dyDescent="0.2">
      <c r="A601" s="2269"/>
      <c r="B601" s="19" t="s">
        <v>2471</v>
      </c>
      <c r="C601" s="2266" t="s">
        <v>889</v>
      </c>
      <c r="D601" s="2213">
        <v>57120000</v>
      </c>
      <c r="E601" s="2265">
        <v>0.06</v>
      </c>
      <c r="F601" s="2213">
        <f t="shared" si="67"/>
        <v>3427200</v>
      </c>
      <c r="G601" s="2201">
        <f>F601*2</f>
        <v>6854400</v>
      </c>
      <c r="H601" s="2201" t="s">
        <v>4038</v>
      </c>
      <c r="I601" s="233" t="s">
        <v>4043</v>
      </c>
      <c r="J601" s="2201" t="e">
        <f>#REF!</f>
        <v>#REF!</v>
      </c>
      <c r="K601" s="1605"/>
      <c r="L601" s="2271" t="s">
        <v>4044</v>
      </c>
      <c r="M601" s="386"/>
      <c r="N601" s="386"/>
      <c r="O601" s="386"/>
      <c r="P601" s="386"/>
      <c r="Q601" s="386"/>
    </row>
    <row r="602" spans="1:17" ht="30" customHeight="1" x14ac:dyDescent="0.2">
      <c r="A602" s="4459"/>
      <c r="B602" s="4457" t="s">
        <v>2517</v>
      </c>
      <c r="C602" s="4537" t="s">
        <v>1080</v>
      </c>
      <c r="D602" s="2733">
        <v>114000000</v>
      </c>
      <c r="E602" s="2265">
        <v>0.05</v>
      </c>
      <c r="F602" s="2213">
        <f t="shared" si="67"/>
        <v>5700000</v>
      </c>
      <c r="G602" s="4469" t="s">
        <v>4736</v>
      </c>
      <c r="H602" s="4470"/>
      <c r="I602" s="4470"/>
      <c r="J602" s="4471"/>
      <c r="K602" s="2201">
        <f>F602-J602</f>
        <v>5700000</v>
      </c>
      <c r="L602" s="2271"/>
      <c r="M602" s="386"/>
      <c r="N602" s="386"/>
      <c r="O602" s="386"/>
      <c r="P602" s="386"/>
      <c r="Q602" s="386"/>
    </row>
    <row r="603" spans="1:17" ht="30" customHeight="1" x14ac:dyDescent="0.2">
      <c r="A603" s="4464"/>
      <c r="B603" s="4488"/>
      <c r="C603" s="4540"/>
      <c r="D603" s="2733">
        <v>5700000</v>
      </c>
      <c r="E603" s="2742">
        <v>0.05</v>
      </c>
      <c r="F603" s="2733">
        <f t="shared" si="67"/>
        <v>285000</v>
      </c>
      <c r="G603" s="4469"/>
      <c r="H603" s="4470"/>
      <c r="I603" s="4470"/>
      <c r="J603" s="4471"/>
      <c r="K603" s="2732"/>
      <c r="L603" s="2743"/>
      <c r="M603" s="386"/>
      <c r="N603" s="386"/>
      <c r="O603" s="386"/>
      <c r="P603" s="386"/>
      <c r="Q603" s="386"/>
    </row>
    <row r="604" spans="1:17" ht="30" customHeight="1" x14ac:dyDescent="0.2">
      <c r="A604" s="4464"/>
      <c r="B604" s="4488"/>
      <c r="C604" s="4540"/>
      <c r="D604" s="2733">
        <v>14950000</v>
      </c>
      <c r="E604" s="2742">
        <v>0.05</v>
      </c>
      <c r="F604" s="2733">
        <f t="shared" si="67"/>
        <v>747500</v>
      </c>
      <c r="G604" s="4469" t="s">
        <v>4733</v>
      </c>
      <c r="H604" s="4470"/>
      <c r="I604" s="4470"/>
      <c r="J604" s="4471"/>
      <c r="K604" s="2732"/>
      <c r="L604" s="2743"/>
      <c r="M604" s="386"/>
      <c r="N604" s="386"/>
      <c r="O604" s="386"/>
      <c r="P604" s="386"/>
      <c r="Q604" s="386"/>
    </row>
    <row r="605" spans="1:17" ht="30" customHeight="1" x14ac:dyDescent="0.2">
      <c r="A605" s="4464"/>
      <c r="B605" s="4488"/>
      <c r="C605" s="4540"/>
      <c r="D605" s="2733">
        <v>50000</v>
      </c>
      <c r="E605" s="4610" t="s">
        <v>4262</v>
      </c>
      <c r="F605" s="4611"/>
      <c r="G605" s="4469"/>
      <c r="H605" s="4470"/>
      <c r="I605" s="4470"/>
      <c r="J605" s="4471"/>
      <c r="K605" s="2732"/>
      <c r="L605" s="2743"/>
      <c r="M605" s="386"/>
      <c r="N605" s="386"/>
      <c r="O605" s="386"/>
      <c r="P605" s="386"/>
      <c r="Q605" s="386"/>
    </row>
    <row r="606" spans="1:17" ht="30" customHeight="1" x14ac:dyDescent="0.2">
      <c r="A606" s="4464"/>
      <c r="B606" s="4488"/>
      <c r="C606" s="4538"/>
      <c r="D606" s="2746">
        <f>D602+D603+D604+D605</f>
        <v>134700000</v>
      </c>
      <c r="E606" s="897">
        <v>0.05</v>
      </c>
      <c r="F606" s="2746">
        <f>D606*E606</f>
        <v>6735000</v>
      </c>
      <c r="G606" s="4469" t="s">
        <v>4737</v>
      </c>
      <c r="H606" s="4470"/>
      <c r="I606" s="4470"/>
      <c r="J606" s="4471"/>
      <c r="K606" s="2732"/>
      <c r="L606" s="2743"/>
      <c r="M606" s="386"/>
      <c r="N606" s="386"/>
      <c r="O606" s="386"/>
      <c r="P606" s="386"/>
      <c r="Q606" s="386"/>
    </row>
    <row r="607" spans="1:17" ht="30" customHeight="1" x14ac:dyDescent="0.2">
      <c r="A607" s="4459"/>
      <c r="B607" s="4457" t="s">
        <v>2551</v>
      </c>
      <c r="C607" s="4537"/>
      <c r="D607" s="2213">
        <v>10000000</v>
      </c>
      <c r="E607" s="2265"/>
      <c r="F607" s="2213"/>
      <c r="G607" s="2213"/>
      <c r="H607" s="2213"/>
      <c r="I607" s="473"/>
      <c r="J607" s="2213"/>
      <c r="K607" s="2255"/>
      <c r="L607" s="2271" t="s">
        <v>2552</v>
      </c>
      <c r="M607" s="386"/>
      <c r="N607" s="386"/>
      <c r="O607" s="386"/>
      <c r="P607" s="386"/>
      <c r="Q607" s="386"/>
    </row>
    <row r="608" spans="1:17" ht="30" customHeight="1" x14ac:dyDescent="0.2">
      <c r="A608" s="4460"/>
      <c r="B608" s="4458"/>
      <c r="C608" s="4538"/>
      <c r="D608" s="2213">
        <v>5000000</v>
      </c>
      <c r="E608" s="2265"/>
      <c r="F608" s="2213"/>
      <c r="G608" s="2213"/>
      <c r="H608" s="2213"/>
      <c r="I608" s="473"/>
      <c r="J608" s="2213"/>
      <c r="K608" s="2255"/>
      <c r="L608" s="2251" t="s">
        <v>3870</v>
      </c>
      <c r="M608" s="386"/>
      <c r="N608" s="386"/>
      <c r="O608" s="386"/>
      <c r="P608" s="386"/>
      <c r="Q608" s="386"/>
    </row>
    <row r="609" spans="1:17" ht="30" customHeight="1" x14ac:dyDescent="0.2">
      <c r="A609" s="4459"/>
      <c r="B609" s="4457" t="s">
        <v>2714</v>
      </c>
      <c r="C609" s="4537" t="s">
        <v>262</v>
      </c>
      <c r="D609" s="4413">
        <v>186000000</v>
      </c>
      <c r="E609" s="4476">
        <v>5.5E-2</v>
      </c>
      <c r="F609" s="4413">
        <f>D609*E609</f>
        <v>10230000</v>
      </c>
      <c r="G609" s="2201">
        <v>1000000</v>
      </c>
      <c r="H609" s="2201" t="s">
        <v>3929</v>
      </c>
      <c r="I609" s="1030" t="s">
        <v>2574</v>
      </c>
      <c r="J609" s="2201">
        <f>G609</f>
        <v>1000000</v>
      </c>
      <c r="K609" s="2198"/>
      <c r="L609" s="2251" t="s">
        <v>4262</v>
      </c>
      <c r="M609" s="386"/>
      <c r="N609" s="386"/>
      <c r="O609" s="386"/>
      <c r="P609" s="386"/>
      <c r="Q609" s="386"/>
    </row>
    <row r="610" spans="1:17" ht="30" customHeight="1" x14ac:dyDescent="0.2">
      <c r="A610" s="4464"/>
      <c r="B610" s="4488"/>
      <c r="C610" s="4540"/>
      <c r="D610" s="4414"/>
      <c r="E610" s="4516"/>
      <c r="F610" s="4414"/>
      <c r="G610" s="2213">
        <v>13530000</v>
      </c>
      <c r="H610" s="2213" t="s">
        <v>3966</v>
      </c>
      <c r="I610" s="2232" t="s">
        <v>3987</v>
      </c>
      <c r="J610" s="2213">
        <f>G610</f>
        <v>13530000</v>
      </c>
      <c r="K610" s="2255">
        <f>(F609+F615)-G610</f>
        <v>0</v>
      </c>
      <c r="L610" s="2251" t="s">
        <v>3953</v>
      </c>
      <c r="M610" s="386"/>
      <c r="N610" s="386"/>
      <c r="O610" s="386"/>
      <c r="P610" s="386"/>
      <c r="Q610" s="386"/>
    </row>
    <row r="611" spans="1:17" ht="30" customHeight="1" x14ac:dyDescent="0.2">
      <c r="A611" s="4464"/>
      <c r="B611" s="4488"/>
      <c r="C611" s="4540"/>
      <c r="D611" s="4415"/>
      <c r="E611" s="4477"/>
      <c r="F611" s="4415"/>
      <c r="G611" s="2213">
        <v>1000000</v>
      </c>
      <c r="H611" s="2213" t="s">
        <v>4190</v>
      </c>
      <c r="I611" s="1030" t="s">
        <v>2574</v>
      </c>
      <c r="J611" s="2213">
        <f>G611</f>
        <v>1000000</v>
      </c>
      <c r="K611" s="2255"/>
      <c r="L611" s="2251" t="s">
        <v>4262</v>
      </c>
      <c r="M611" s="386"/>
      <c r="N611" s="386"/>
      <c r="O611" s="386"/>
      <c r="P611" s="386"/>
      <c r="Q611" s="386"/>
    </row>
    <row r="612" spans="1:17" ht="30" customHeight="1" x14ac:dyDescent="0.2">
      <c r="A612" s="4464"/>
      <c r="B612" s="4488"/>
      <c r="C612" s="4540"/>
      <c r="D612" s="2213">
        <v>10000000</v>
      </c>
      <c r="E612" s="2210"/>
      <c r="F612" s="2213"/>
      <c r="G612" s="2213"/>
      <c r="H612" s="2213"/>
      <c r="I612" s="473"/>
      <c r="J612" s="2213"/>
      <c r="K612" s="2255"/>
      <c r="L612" s="2251" t="s">
        <v>4196</v>
      </c>
      <c r="M612" s="386"/>
      <c r="N612" s="386"/>
      <c r="O612" s="386"/>
      <c r="P612" s="386"/>
      <c r="Q612" s="386"/>
    </row>
    <row r="613" spans="1:17" ht="30" customHeight="1" x14ac:dyDescent="0.2">
      <c r="A613" s="4464"/>
      <c r="B613" s="4488"/>
      <c r="C613" s="4540"/>
      <c r="D613" s="2213">
        <v>4000000</v>
      </c>
      <c r="E613" s="2210"/>
      <c r="F613" s="2213"/>
      <c r="G613" s="2213"/>
      <c r="H613" s="2213"/>
      <c r="I613" s="473"/>
      <c r="J613" s="2213"/>
      <c r="K613" s="2255"/>
      <c r="L613" s="2251" t="s">
        <v>4114</v>
      </c>
      <c r="M613" s="386"/>
      <c r="N613" s="386"/>
      <c r="O613" s="386"/>
      <c r="P613" s="386"/>
      <c r="Q613" s="386"/>
    </row>
    <row r="614" spans="1:17" ht="30" customHeight="1" x14ac:dyDescent="0.2">
      <c r="A614" s="4460"/>
      <c r="B614" s="4458"/>
      <c r="C614" s="4538"/>
      <c r="D614" s="2219">
        <v>200000000</v>
      </c>
      <c r="E614" s="2217"/>
      <c r="F614" s="2219"/>
      <c r="G614" s="2288"/>
      <c r="H614" s="2289"/>
      <c r="I614" s="2059"/>
      <c r="J614" s="2290"/>
      <c r="K614" s="2058"/>
      <c r="L614" s="2251" t="s">
        <v>2685</v>
      </c>
      <c r="M614" s="386"/>
      <c r="N614" s="386"/>
      <c r="O614" s="386"/>
      <c r="P614" s="386"/>
      <c r="Q614" s="386"/>
    </row>
    <row r="615" spans="1:17" ht="30" customHeight="1" x14ac:dyDescent="0.2">
      <c r="A615" s="2269"/>
      <c r="B615" s="2206" t="s">
        <v>2573</v>
      </c>
      <c r="C615" s="2238" t="s">
        <v>1172</v>
      </c>
      <c r="D615" s="2213">
        <v>60000000</v>
      </c>
      <c r="E615" s="2210">
        <v>5.5E-2</v>
      </c>
      <c r="F615" s="2213">
        <f>D615*E615</f>
        <v>3300000</v>
      </c>
      <c r="G615" s="4922" t="s">
        <v>4261</v>
      </c>
      <c r="H615" s="4923"/>
      <c r="I615" s="4923"/>
      <c r="J615" s="4924"/>
      <c r="K615" s="2255">
        <v>0</v>
      </c>
      <c r="L615" s="2271" t="s">
        <v>3522</v>
      </c>
      <c r="M615" s="386"/>
      <c r="N615" s="386"/>
      <c r="O615" s="386"/>
      <c r="P615" s="386"/>
      <c r="Q615" s="386"/>
    </row>
    <row r="616" spans="1:17" ht="30" customHeight="1" x14ac:dyDescent="0.2">
      <c r="A616" s="2204"/>
      <c r="B616" s="2206" t="s">
        <v>2609</v>
      </c>
      <c r="C616" s="2238"/>
      <c r="D616" s="2226"/>
      <c r="E616" s="2297"/>
      <c r="F616" s="2226"/>
      <c r="G616" s="2213"/>
      <c r="H616" s="2213"/>
      <c r="I616" s="473"/>
      <c r="J616" s="2213">
        <f>G616</f>
        <v>0</v>
      </c>
      <c r="K616" s="2260">
        <f>F616-J616</f>
        <v>0</v>
      </c>
      <c r="L616" s="2271"/>
      <c r="M616" s="386"/>
      <c r="N616" s="386"/>
      <c r="O616" s="386"/>
      <c r="P616" s="386"/>
      <c r="Q616" s="386"/>
    </row>
    <row r="617" spans="1:17" ht="30" customHeight="1" x14ac:dyDescent="0.2">
      <c r="A617" s="4459"/>
      <c r="B617" s="4457" t="s">
        <v>2611</v>
      </c>
      <c r="C617" s="4537" t="s">
        <v>5083</v>
      </c>
      <c r="D617" s="3244">
        <v>4215000000</v>
      </c>
      <c r="E617" s="1299">
        <v>0.05</v>
      </c>
      <c r="F617" s="3244">
        <f>D617*E617</f>
        <v>210750000</v>
      </c>
      <c r="G617" s="2213">
        <v>75000000</v>
      </c>
      <c r="H617" s="2213" t="s">
        <v>4190</v>
      </c>
      <c r="I617" s="473" t="s">
        <v>4255</v>
      </c>
      <c r="J617" s="4413">
        <f>G617</f>
        <v>75000000</v>
      </c>
      <c r="K617" s="4603">
        <f>F622-J617</f>
        <v>791250000</v>
      </c>
      <c r="L617" s="4603"/>
      <c r="M617" s="386"/>
      <c r="N617" s="386"/>
      <c r="O617" s="386"/>
      <c r="P617" s="386"/>
      <c r="Q617" s="386"/>
    </row>
    <row r="618" spans="1:17" ht="30" customHeight="1" x14ac:dyDescent="0.2">
      <c r="A618" s="4464"/>
      <c r="B618" s="4488"/>
      <c r="C618" s="4540"/>
      <c r="D618" s="3244">
        <v>2000000000</v>
      </c>
      <c r="E618" s="1299">
        <v>7.0000000000000007E-2</v>
      </c>
      <c r="F618" s="3244">
        <f t="shared" ref="F618:F621" si="68">D618*E618</f>
        <v>140000000</v>
      </c>
      <c r="G618" s="2273">
        <v>80000000</v>
      </c>
      <c r="H618" s="2273" t="s">
        <v>4190</v>
      </c>
      <c r="I618" s="2049" t="s">
        <v>4258</v>
      </c>
      <c r="J618" s="4414"/>
      <c r="K618" s="4609"/>
      <c r="L618" s="4604"/>
      <c r="M618" s="386"/>
      <c r="N618" s="386"/>
      <c r="O618" s="386"/>
      <c r="P618" s="386"/>
      <c r="Q618" s="386"/>
    </row>
    <row r="619" spans="1:17" ht="30" customHeight="1" x14ac:dyDescent="0.2">
      <c r="A619" s="4464"/>
      <c r="B619" s="4488"/>
      <c r="C619" s="4540"/>
      <c r="D619" s="3244">
        <v>3785000000</v>
      </c>
      <c r="E619" s="1299">
        <v>0.06</v>
      </c>
      <c r="F619" s="3244">
        <f t="shared" si="68"/>
        <v>227100000</v>
      </c>
      <c r="G619" s="2273">
        <v>63750000</v>
      </c>
      <c r="H619" s="2273" t="s">
        <v>3878</v>
      </c>
      <c r="I619" s="2049" t="s">
        <v>4258</v>
      </c>
      <c r="J619" s="4414"/>
      <c r="K619" s="4609"/>
      <c r="L619" s="2252"/>
      <c r="M619" s="386"/>
      <c r="N619" s="386"/>
      <c r="O619" s="386"/>
      <c r="P619" s="386"/>
      <c r="Q619" s="386"/>
    </row>
    <row r="620" spans="1:17" ht="30" customHeight="1" x14ac:dyDescent="0.2">
      <c r="A620" s="4464"/>
      <c r="B620" s="4488"/>
      <c r="C620" s="4540"/>
      <c r="D620" s="3246">
        <v>2915000000</v>
      </c>
      <c r="E620" s="3252">
        <v>0.08</v>
      </c>
      <c r="F620" s="3246">
        <f t="shared" si="68"/>
        <v>233200000</v>
      </c>
      <c r="G620" s="4325" t="s">
        <v>5141</v>
      </c>
      <c r="H620" s="4326"/>
      <c r="I620" s="4563"/>
      <c r="J620" s="4414"/>
      <c r="K620" s="4609"/>
      <c r="L620" s="2252"/>
      <c r="M620" s="386"/>
      <c r="N620" s="386"/>
      <c r="O620" s="386"/>
      <c r="P620" s="386"/>
      <c r="Q620" s="386"/>
    </row>
    <row r="621" spans="1:17" ht="30" customHeight="1" x14ac:dyDescent="0.2">
      <c r="A621" s="4464"/>
      <c r="B621" s="4488"/>
      <c r="C621" s="4540"/>
      <c r="D621" s="3246">
        <v>690000000</v>
      </c>
      <c r="E621" s="3252">
        <v>0.08</v>
      </c>
      <c r="F621" s="3246">
        <f t="shared" si="68"/>
        <v>55200000</v>
      </c>
      <c r="G621" s="4612"/>
      <c r="H621" s="4359"/>
      <c r="I621" s="4613"/>
      <c r="J621" s="4414"/>
      <c r="K621" s="4609"/>
      <c r="L621" s="2252"/>
      <c r="M621" s="386"/>
      <c r="N621" s="386"/>
      <c r="O621" s="386"/>
      <c r="P621" s="386"/>
      <c r="Q621" s="386"/>
    </row>
    <row r="622" spans="1:17" ht="30" customHeight="1" x14ac:dyDescent="0.2">
      <c r="A622" s="4464"/>
      <c r="B622" s="4488"/>
      <c r="C622" s="4540"/>
      <c r="D622" s="4925">
        <f>SUM(D617:D621)</f>
        <v>13605000000</v>
      </c>
      <c r="E622" s="4926"/>
      <c r="F622" s="4861">
        <f>SUM(F617:F621)</f>
        <v>866250000</v>
      </c>
      <c r="G622" s="4564"/>
      <c r="H622" s="4596"/>
      <c r="I622" s="4565"/>
      <c r="J622" s="4415"/>
      <c r="K622" s="4604"/>
      <c r="L622" s="2255"/>
      <c r="M622" s="386"/>
      <c r="N622" s="386"/>
      <c r="O622" s="386"/>
      <c r="P622" s="386"/>
      <c r="Q622" s="386"/>
    </row>
    <row r="623" spans="1:17" ht="30" customHeight="1" x14ac:dyDescent="0.2">
      <c r="A623" s="4464"/>
      <c r="B623" s="4488"/>
      <c r="C623" s="4540"/>
      <c r="D623" s="4927"/>
      <c r="E623" s="4928"/>
      <c r="F623" s="4863"/>
      <c r="G623" s="4303" t="s">
        <v>5140</v>
      </c>
      <c r="H623" s="4324"/>
      <c r="I623" s="4355"/>
      <c r="J623" s="3222">
        <f>G617+10000000</f>
        <v>85000000</v>
      </c>
      <c r="K623" s="3228">
        <f>F622-G617-10000000-781250000</f>
        <v>0</v>
      </c>
      <c r="L623" s="3228"/>
      <c r="M623" s="386"/>
      <c r="N623" s="386"/>
      <c r="O623" s="386"/>
      <c r="P623" s="386"/>
      <c r="Q623" s="386"/>
    </row>
    <row r="624" spans="1:17" ht="30" customHeight="1" x14ac:dyDescent="0.2">
      <c r="A624" s="4460"/>
      <c r="B624" s="4488"/>
      <c r="C624" s="4540"/>
      <c r="D624" s="3222">
        <v>925000000</v>
      </c>
      <c r="E624" s="3229">
        <v>0.08</v>
      </c>
      <c r="F624" s="3222">
        <f>D624*E624</f>
        <v>74000000</v>
      </c>
      <c r="G624" s="4469" t="s">
        <v>5084</v>
      </c>
      <c r="H624" s="4470"/>
      <c r="I624" s="4471"/>
      <c r="J624" s="2213">
        <f>F617+F618+F619</f>
        <v>577850000</v>
      </c>
      <c r="K624" s="2255"/>
      <c r="L624" s="2255"/>
      <c r="M624" s="386"/>
      <c r="N624" s="386"/>
      <c r="O624" s="386"/>
      <c r="P624" s="386"/>
      <c r="Q624" s="386"/>
    </row>
    <row r="625" spans="1:17" ht="30" customHeight="1" x14ac:dyDescent="0.2">
      <c r="A625" s="3132"/>
      <c r="B625" s="4458"/>
      <c r="C625" s="4538"/>
      <c r="D625" s="4852">
        <f>D622+D624</f>
        <v>14530000000</v>
      </c>
      <c r="E625" s="4929"/>
      <c r="F625" s="3161">
        <f>F622+F624</f>
        <v>940250000</v>
      </c>
      <c r="G625" s="3159"/>
      <c r="H625" s="3160"/>
      <c r="I625" s="3160"/>
      <c r="J625" s="3136">
        <f>F620+F621+F624</f>
        <v>362400000</v>
      </c>
      <c r="K625" s="3147">
        <f>K617+G618+G619</f>
        <v>935000000</v>
      </c>
      <c r="L625" s="3147"/>
      <c r="M625" s="386"/>
      <c r="N625" s="386"/>
      <c r="O625" s="386"/>
      <c r="P625" s="386"/>
      <c r="Q625" s="386"/>
    </row>
    <row r="626" spans="1:17" ht="30" customHeight="1" x14ac:dyDescent="0.2">
      <c r="A626" s="4459"/>
      <c r="B626" s="4457" t="s">
        <v>2622</v>
      </c>
      <c r="C626" s="4537"/>
      <c r="D626" s="2213">
        <v>100000000</v>
      </c>
      <c r="E626" s="2265">
        <v>4.4999999999999998E-2</v>
      </c>
      <c r="F626" s="2213">
        <f>D626*E626</f>
        <v>4500000</v>
      </c>
      <c r="G626" s="2213">
        <v>4500000</v>
      </c>
      <c r="H626" s="2213" t="s">
        <v>3966</v>
      </c>
      <c r="I626" s="473" t="s">
        <v>1728</v>
      </c>
      <c r="J626" s="2213">
        <f t="shared" ref="J626:J638" si="69">G626</f>
        <v>4500000</v>
      </c>
      <c r="K626" s="2255">
        <f t="shared" ref="K626:K639" si="70">F626-J626</f>
        <v>0</v>
      </c>
      <c r="L626" s="2271"/>
      <c r="M626" s="386"/>
      <c r="N626" s="386"/>
      <c r="O626" s="386"/>
      <c r="P626" s="386"/>
      <c r="Q626" s="386"/>
    </row>
    <row r="627" spans="1:17" ht="30" customHeight="1" x14ac:dyDescent="0.2">
      <c r="A627" s="4464"/>
      <c r="B627" s="4488"/>
      <c r="C627" s="4540"/>
      <c r="D627" s="2213">
        <v>50000000</v>
      </c>
      <c r="E627" s="2265">
        <v>4.4999999999999998E-2</v>
      </c>
      <c r="F627" s="2213">
        <f t="shared" ref="F627:F628" si="71">D627*E627</f>
        <v>2250000</v>
      </c>
      <c r="G627" s="4469" t="s">
        <v>4005</v>
      </c>
      <c r="H627" s="4470"/>
      <c r="I627" s="4470"/>
      <c r="J627" s="4471"/>
      <c r="K627" s="2255">
        <f>F626+F627+F628</f>
        <v>7200000</v>
      </c>
      <c r="L627" s="2271"/>
      <c r="M627" s="386"/>
      <c r="N627" s="386"/>
      <c r="O627" s="386"/>
      <c r="P627" s="386"/>
      <c r="Q627" s="386"/>
    </row>
    <row r="628" spans="1:17" ht="30" customHeight="1" x14ac:dyDescent="0.2">
      <c r="A628" s="4460"/>
      <c r="B628" s="4458"/>
      <c r="C628" s="4538"/>
      <c r="D628" s="2213">
        <v>10000000</v>
      </c>
      <c r="E628" s="2265">
        <v>4.4999999999999998E-2</v>
      </c>
      <c r="F628" s="2213">
        <f t="shared" si="71"/>
        <v>450000</v>
      </c>
      <c r="G628" s="4469" t="s">
        <v>4218</v>
      </c>
      <c r="H628" s="4470"/>
      <c r="I628" s="4470"/>
      <c r="J628" s="4471"/>
      <c r="K628" s="2255"/>
      <c r="L628" s="2271"/>
      <c r="M628" s="386"/>
      <c r="N628" s="386"/>
      <c r="O628" s="386"/>
      <c r="P628" s="386"/>
      <c r="Q628" s="386"/>
    </row>
    <row r="629" spans="1:17" ht="30" customHeight="1" x14ac:dyDescent="0.2">
      <c r="A629" s="2269"/>
      <c r="B629" s="2267" t="s">
        <v>2639</v>
      </c>
      <c r="C629" s="2238" t="s">
        <v>1172</v>
      </c>
      <c r="D629" s="2213">
        <v>80000000</v>
      </c>
      <c r="E629" s="2265">
        <v>0.05</v>
      </c>
      <c r="F629" s="2213">
        <f>D629*E629</f>
        <v>4000000</v>
      </c>
      <c r="G629" s="2213">
        <v>4000000</v>
      </c>
      <c r="H629" s="2213" t="s">
        <v>4017</v>
      </c>
      <c r="I629" s="473" t="s">
        <v>4021</v>
      </c>
      <c r="J629" s="2213">
        <f t="shared" si="69"/>
        <v>4000000</v>
      </c>
      <c r="K629" s="2255">
        <f t="shared" si="70"/>
        <v>0</v>
      </c>
      <c r="L629" s="2271" t="s">
        <v>3688</v>
      </c>
      <c r="M629" s="386"/>
      <c r="N629" s="386"/>
      <c r="O629" s="386"/>
      <c r="P629" s="386"/>
      <c r="Q629" s="386"/>
    </row>
    <row r="630" spans="1:17" ht="30" customHeight="1" x14ac:dyDescent="0.2">
      <c r="A630" s="2269"/>
      <c r="B630" s="2267" t="s">
        <v>4022</v>
      </c>
      <c r="C630" s="2238" t="s">
        <v>1172</v>
      </c>
      <c r="D630" s="2213">
        <v>100000000</v>
      </c>
      <c r="E630" s="2265">
        <v>0.05</v>
      </c>
      <c r="F630" s="2213">
        <f>D630*E630</f>
        <v>5000000</v>
      </c>
      <c r="G630" s="2213">
        <v>5000000</v>
      </c>
      <c r="H630" s="2213" t="s">
        <v>4062</v>
      </c>
      <c r="I630" s="473" t="s">
        <v>4065</v>
      </c>
      <c r="J630" s="2213">
        <f>G630</f>
        <v>5000000</v>
      </c>
      <c r="K630" s="2255">
        <f>F630-J630</f>
        <v>0</v>
      </c>
      <c r="L630" s="2271"/>
      <c r="M630" s="386"/>
      <c r="N630" s="386"/>
      <c r="O630" s="386"/>
      <c r="P630" s="386"/>
      <c r="Q630" s="386"/>
    </row>
    <row r="631" spans="1:17" ht="30" customHeight="1" x14ac:dyDescent="0.2">
      <c r="A631" s="2269"/>
      <c r="B631" s="2267" t="s">
        <v>3998</v>
      </c>
      <c r="C631" s="2266" t="s">
        <v>1652</v>
      </c>
      <c r="D631" s="2201">
        <v>25000000</v>
      </c>
      <c r="E631" s="2265">
        <v>0.04</v>
      </c>
      <c r="F631" s="2201">
        <f>D631*E631</f>
        <v>1000000</v>
      </c>
      <c r="G631" s="2201">
        <v>2000000</v>
      </c>
      <c r="H631" s="2201" t="s">
        <v>3994</v>
      </c>
      <c r="I631" s="1030" t="s">
        <v>3999</v>
      </c>
      <c r="J631" s="2201">
        <f t="shared" si="69"/>
        <v>2000000</v>
      </c>
      <c r="K631" s="2198">
        <f t="shared" si="70"/>
        <v>-1000000</v>
      </c>
      <c r="L631" s="2271" t="s">
        <v>4000</v>
      </c>
      <c r="M631" s="386"/>
      <c r="N631" s="386"/>
      <c r="O631" s="386"/>
      <c r="P631" s="386"/>
      <c r="Q631" s="386"/>
    </row>
    <row r="632" spans="1:17" ht="30" customHeight="1" x14ac:dyDescent="0.2">
      <c r="A632" s="4459"/>
      <c r="B632" s="4474" t="s">
        <v>2692</v>
      </c>
      <c r="C632" s="4599"/>
      <c r="D632" s="4413">
        <v>200000000</v>
      </c>
      <c r="E632" s="4476">
        <v>7.0000000000000007E-2</v>
      </c>
      <c r="F632" s="4413">
        <f>D632*E632</f>
        <v>14000000.000000002</v>
      </c>
      <c r="G632" s="2213">
        <v>1000000</v>
      </c>
      <c r="H632" s="2213" t="s">
        <v>3923</v>
      </c>
      <c r="I632" s="473" t="s">
        <v>3974</v>
      </c>
      <c r="J632" s="2213">
        <f t="shared" si="69"/>
        <v>1000000</v>
      </c>
      <c r="K632" s="2255"/>
      <c r="L632" s="2271" t="s">
        <v>4042</v>
      </c>
      <c r="M632" s="386"/>
      <c r="N632" s="386"/>
      <c r="O632" s="386"/>
      <c r="P632" s="386"/>
      <c r="Q632" s="386"/>
    </row>
    <row r="633" spans="1:17" ht="30" customHeight="1" x14ac:dyDescent="0.2">
      <c r="A633" s="4460"/>
      <c r="B633" s="4475"/>
      <c r="C633" s="4607"/>
      <c r="D633" s="4415"/>
      <c r="E633" s="4477"/>
      <c r="F633" s="4415"/>
      <c r="G633" s="2213">
        <v>14000000</v>
      </c>
      <c r="H633" s="2213" t="s">
        <v>4038</v>
      </c>
      <c r="I633" s="473" t="s">
        <v>2693</v>
      </c>
      <c r="J633" s="2213">
        <f>G633</f>
        <v>14000000</v>
      </c>
      <c r="K633" s="2255">
        <f>F632-J633</f>
        <v>0</v>
      </c>
      <c r="L633" s="2271"/>
      <c r="M633" s="386"/>
      <c r="N633" s="386"/>
      <c r="O633" s="386"/>
      <c r="P633" s="386"/>
      <c r="Q633" s="386"/>
    </row>
    <row r="634" spans="1:17" ht="30" customHeight="1" x14ac:dyDescent="0.2">
      <c r="A634" s="2269"/>
      <c r="B634" s="2267" t="s">
        <v>2702</v>
      </c>
      <c r="C634" s="2238" t="s">
        <v>262</v>
      </c>
      <c r="D634" s="2213">
        <v>30000000</v>
      </c>
      <c r="E634" s="2265">
        <v>0.05</v>
      </c>
      <c r="F634" s="2213">
        <f t="shared" ref="F634:F639" si="72">D634*E634</f>
        <v>1500000</v>
      </c>
      <c r="G634" s="2201">
        <v>1500000</v>
      </c>
      <c r="H634" s="2201" t="s">
        <v>3966</v>
      </c>
      <c r="I634" s="2201" t="s">
        <v>3536</v>
      </c>
      <c r="J634" s="2201">
        <f t="shared" si="69"/>
        <v>1500000</v>
      </c>
      <c r="K634" s="2255">
        <f t="shared" si="70"/>
        <v>0</v>
      </c>
      <c r="L634" s="2271"/>
      <c r="M634" s="386"/>
      <c r="N634" s="386"/>
      <c r="O634" s="386"/>
      <c r="P634" s="386"/>
      <c r="Q634" s="386"/>
    </row>
    <row r="635" spans="1:17" ht="30" customHeight="1" x14ac:dyDescent="0.2">
      <c r="A635" s="2269"/>
      <c r="B635" s="2267" t="s">
        <v>2727</v>
      </c>
      <c r="C635" s="2238" t="s">
        <v>392</v>
      </c>
      <c r="D635" s="2213">
        <v>140000000</v>
      </c>
      <c r="E635" s="2265">
        <v>7.0000000000000007E-2</v>
      </c>
      <c r="F635" s="2213">
        <f t="shared" si="72"/>
        <v>9800000.0000000019</v>
      </c>
      <c r="G635" s="2201"/>
      <c r="H635" s="2201"/>
      <c r="I635" s="2201" t="s">
        <v>3526</v>
      </c>
      <c r="J635" s="2201">
        <f t="shared" si="69"/>
        <v>0</v>
      </c>
      <c r="K635" s="2255">
        <f t="shared" si="70"/>
        <v>9800000.0000000019</v>
      </c>
      <c r="L635" s="2271" t="s">
        <v>3392</v>
      </c>
      <c r="M635" s="386"/>
      <c r="N635" s="386"/>
      <c r="O635" s="386"/>
      <c r="P635" s="386"/>
      <c r="Q635" s="386"/>
    </row>
    <row r="636" spans="1:17" ht="30" customHeight="1" x14ac:dyDescent="0.2">
      <c r="A636" s="2269"/>
      <c r="B636" s="2267" t="s">
        <v>2735</v>
      </c>
      <c r="C636" s="2238" t="s">
        <v>889</v>
      </c>
      <c r="D636" s="2213">
        <v>85000000</v>
      </c>
      <c r="E636" s="2265">
        <v>0.05</v>
      </c>
      <c r="F636" s="2213">
        <f t="shared" si="72"/>
        <v>4250000</v>
      </c>
      <c r="G636" s="2201">
        <v>4250000</v>
      </c>
      <c r="H636" s="2201" t="s">
        <v>4062</v>
      </c>
      <c r="I636" s="1030" t="s">
        <v>3529</v>
      </c>
      <c r="J636" s="2201">
        <f t="shared" si="69"/>
        <v>4250000</v>
      </c>
      <c r="K636" s="2255">
        <f t="shared" si="70"/>
        <v>0</v>
      </c>
      <c r="L636" s="2271"/>
      <c r="M636" s="386"/>
      <c r="N636" s="386"/>
      <c r="O636" s="386"/>
      <c r="P636" s="386"/>
      <c r="Q636" s="386"/>
    </row>
    <row r="637" spans="1:17" ht="30" customHeight="1" x14ac:dyDescent="0.2">
      <c r="A637" s="2269"/>
      <c r="B637" s="2267" t="s">
        <v>3534</v>
      </c>
      <c r="C637" s="2238" t="s">
        <v>372</v>
      </c>
      <c r="D637" s="2213">
        <v>50000000</v>
      </c>
      <c r="E637" s="2265">
        <v>0.05</v>
      </c>
      <c r="F637" s="2213">
        <f t="shared" si="72"/>
        <v>2500000</v>
      </c>
      <c r="G637" s="2201">
        <v>2500000</v>
      </c>
      <c r="H637" s="2201" t="s">
        <v>4045</v>
      </c>
      <c r="I637" s="2201" t="s">
        <v>4093</v>
      </c>
      <c r="J637" s="2201">
        <f t="shared" si="69"/>
        <v>2500000</v>
      </c>
      <c r="K637" s="2255">
        <f t="shared" si="70"/>
        <v>0</v>
      </c>
      <c r="L637" s="2271"/>
      <c r="M637" s="386"/>
      <c r="N637" s="386"/>
      <c r="O637" s="386"/>
      <c r="P637" s="386"/>
      <c r="Q637" s="386"/>
    </row>
    <row r="638" spans="1:17" ht="30" customHeight="1" x14ac:dyDescent="0.2">
      <c r="A638" s="2269"/>
      <c r="B638" s="2267" t="s">
        <v>2738</v>
      </c>
      <c r="C638" s="2238" t="s">
        <v>372</v>
      </c>
      <c r="D638" s="2213">
        <v>25000000</v>
      </c>
      <c r="E638" s="2265">
        <v>0.05</v>
      </c>
      <c r="F638" s="2213">
        <f t="shared" si="72"/>
        <v>1250000</v>
      </c>
      <c r="G638" s="2201">
        <v>1250000</v>
      </c>
      <c r="H638" s="2201" t="s">
        <v>4017</v>
      </c>
      <c r="I638" s="2201" t="s">
        <v>4018</v>
      </c>
      <c r="J638" s="2201">
        <f t="shared" si="69"/>
        <v>1250000</v>
      </c>
      <c r="K638" s="2255">
        <f t="shared" si="70"/>
        <v>0</v>
      </c>
      <c r="L638" s="2271"/>
      <c r="M638" s="386"/>
      <c r="N638" s="386"/>
      <c r="O638" s="386"/>
      <c r="P638" s="386"/>
      <c r="Q638" s="386"/>
    </row>
    <row r="639" spans="1:17" ht="30" customHeight="1" x14ac:dyDescent="0.2">
      <c r="A639" s="4459"/>
      <c r="B639" s="4457" t="s">
        <v>2767</v>
      </c>
      <c r="C639" s="4537"/>
      <c r="D639" s="4413">
        <v>300000000</v>
      </c>
      <c r="E639" s="4476">
        <v>5.5E-2</v>
      </c>
      <c r="F639" s="4413">
        <f t="shared" si="72"/>
        <v>16500000</v>
      </c>
      <c r="G639" s="4413">
        <v>16500000</v>
      </c>
      <c r="H639" s="4413" t="s">
        <v>3806</v>
      </c>
      <c r="I639" s="4413" t="s">
        <v>3477</v>
      </c>
      <c r="J639" s="4413">
        <f>G639+G640</f>
        <v>16500000</v>
      </c>
      <c r="K639" s="4603">
        <f t="shared" si="70"/>
        <v>0</v>
      </c>
      <c r="L639" s="4675" t="s">
        <v>2768</v>
      </c>
      <c r="M639" s="386"/>
      <c r="N639" s="386"/>
      <c r="O639" s="386"/>
      <c r="P639" s="386"/>
      <c r="Q639" s="386"/>
    </row>
    <row r="640" spans="1:17" ht="30" customHeight="1" x14ac:dyDescent="0.2">
      <c r="A640" s="4460"/>
      <c r="B640" s="4458"/>
      <c r="C640" s="4538"/>
      <c r="D640" s="4415"/>
      <c r="E640" s="4477"/>
      <c r="F640" s="4415"/>
      <c r="G640" s="4415"/>
      <c r="H640" s="4415"/>
      <c r="I640" s="4415"/>
      <c r="J640" s="4415"/>
      <c r="K640" s="4604"/>
      <c r="L640" s="4676"/>
      <c r="M640" s="386"/>
      <c r="N640" s="386"/>
      <c r="O640" s="386"/>
      <c r="P640" s="386"/>
      <c r="Q640" s="386"/>
    </row>
    <row r="641" spans="1:17" ht="30" customHeight="1" x14ac:dyDescent="0.2">
      <c r="A641" s="2269"/>
      <c r="B641" s="2267" t="s">
        <v>2799</v>
      </c>
      <c r="C641" s="2238"/>
      <c r="D641" s="2213">
        <v>85000000</v>
      </c>
      <c r="E641" s="2265"/>
      <c r="F641" s="2213"/>
      <c r="G641" s="2201"/>
      <c r="H641" s="2201"/>
      <c r="I641" s="2201"/>
      <c r="J641" s="2201"/>
      <c r="K641" s="2255"/>
      <c r="L641" s="2271" t="s">
        <v>2800</v>
      </c>
      <c r="M641" s="386"/>
      <c r="N641" s="386"/>
      <c r="O641" s="386"/>
      <c r="P641" s="386"/>
      <c r="Q641" s="386"/>
    </row>
    <row r="642" spans="1:17" ht="30" customHeight="1" x14ac:dyDescent="0.2">
      <c r="A642" s="2269"/>
      <c r="B642" s="2267" t="s">
        <v>2802</v>
      </c>
      <c r="C642" s="2238" t="s">
        <v>359</v>
      </c>
      <c r="D642" s="2213">
        <v>20000000</v>
      </c>
      <c r="E642" s="2265">
        <v>0.05</v>
      </c>
      <c r="F642" s="2213">
        <f>D642*E642</f>
        <v>1000000</v>
      </c>
      <c r="G642" s="2201">
        <v>1000000</v>
      </c>
      <c r="H642" s="2201" t="s">
        <v>4045</v>
      </c>
      <c r="I642" s="2201" t="s">
        <v>3556</v>
      </c>
      <c r="J642" s="2201">
        <f>G642</f>
        <v>1000000</v>
      </c>
      <c r="K642" s="2255">
        <f>F642-J642</f>
        <v>0</v>
      </c>
      <c r="L642" s="2271"/>
      <c r="M642" s="386"/>
      <c r="N642" s="386"/>
      <c r="O642" s="386"/>
      <c r="P642" s="386"/>
      <c r="Q642" s="386"/>
    </row>
    <row r="643" spans="1:17" ht="30" customHeight="1" x14ac:dyDescent="0.2">
      <c r="A643" s="2202"/>
      <c r="B643" s="2263" t="s">
        <v>2904</v>
      </c>
      <c r="C643" s="2266" t="s">
        <v>1081</v>
      </c>
      <c r="D643" s="2201">
        <v>40000000</v>
      </c>
      <c r="E643" s="2265">
        <v>0.04</v>
      </c>
      <c r="F643" s="2201">
        <f>D643*E643</f>
        <v>1600000</v>
      </c>
      <c r="G643" s="2201"/>
      <c r="H643" s="2201"/>
      <c r="I643" s="2201" t="s">
        <v>3340</v>
      </c>
      <c r="J643" s="2201">
        <f>G643</f>
        <v>0</v>
      </c>
      <c r="K643" s="2255">
        <f>F643-J643</f>
        <v>1600000</v>
      </c>
      <c r="L643" s="2271"/>
      <c r="M643" s="386"/>
      <c r="N643" s="386"/>
      <c r="O643" s="386"/>
      <c r="P643" s="386"/>
      <c r="Q643" s="386"/>
    </row>
    <row r="644" spans="1:17" ht="30" customHeight="1" x14ac:dyDescent="0.2">
      <c r="A644" s="2269"/>
      <c r="B644" s="2267" t="s">
        <v>2834</v>
      </c>
      <c r="C644" s="2238" t="s">
        <v>2849</v>
      </c>
      <c r="D644" s="2213">
        <v>20000000</v>
      </c>
      <c r="E644" s="2210">
        <v>0.05</v>
      </c>
      <c r="F644" s="2213">
        <f>D644*E644</f>
        <v>1000000</v>
      </c>
      <c r="G644" s="2201">
        <v>1000000</v>
      </c>
      <c r="H644" s="2201" t="s">
        <v>4045</v>
      </c>
      <c r="I644" s="2201" t="s">
        <v>3681</v>
      </c>
      <c r="J644" s="2201">
        <f>G644</f>
        <v>1000000</v>
      </c>
      <c r="K644" s="2255">
        <f>G644-J644</f>
        <v>0</v>
      </c>
      <c r="L644" s="2271" t="s">
        <v>2835</v>
      </c>
      <c r="M644" s="386"/>
      <c r="N644" s="386"/>
      <c r="O644" s="386"/>
      <c r="P644" s="386"/>
      <c r="Q644" s="386"/>
    </row>
    <row r="645" spans="1:17" ht="30" customHeight="1" x14ac:dyDescent="0.2">
      <c r="A645" s="4459"/>
      <c r="B645" s="1548" t="s">
        <v>2867</v>
      </c>
      <c r="C645" s="4695" t="s">
        <v>2898</v>
      </c>
      <c r="D645" s="4885">
        <v>70000000</v>
      </c>
      <c r="E645" s="4878">
        <v>0.05</v>
      </c>
      <c r="F645" s="4881">
        <f>D645*E645</f>
        <v>3500000</v>
      </c>
      <c r="G645" s="2201">
        <v>5000000</v>
      </c>
      <c r="H645" s="2201" t="s">
        <v>4166</v>
      </c>
      <c r="I645" s="2201" t="s">
        <v>4167</v>
      </c>
      <c r="J645" s="4413">
        <f>G645</f>
        <v>5000000</v>
      </c>
      <c r="K645" s="4603">
        <f>(F645+F648+F649+1800000)-J645</f>
        <v>14300000</v>
      </c>
      <c r="L645" s="2251"/>
      <c r="M645" s="386"/>
      <c r="N645" s="386"/>
      <c r="O645" s="386"/>
      <c r="P645" s="386"/>
      <c r="Q645" s="386"/>
    </row>
    <row r="646" spans="1:17" ht="30" customHeight="1" x14ac:dyDescent="0.2">
      <c r="A646" s="4464"/>
      <c r="B646" s="1549"/>
      <c r="C646" s="4698"/>
      <c r="D646" s="4886"/>
      <c r="E646" s="4879"/>
      <c r="F646" s="4881"/>
      <c r="G646" s="178"/>
      <c r="H646" s="178"/>
      <c r="I646" s="178"/>
      <c r="J646" s="4414"/>
      <c r="K646" s="4609"/>
      <c r="L646" s="2272" t="s">
        <v>2901</v>
      </c>
      <c r="M646" s="386"/>
      <c r="N646" s="386"/>
      <c r="O646" s="386"/>
      <c r="P646" s="386"/>
      <c r="Q646" s="386"/>
    </row>
    <row r="647" spans="1:17" ht="30" customHeight="1" x14ac:dyDescent="0.2">
      <c r="A647" s="4460"/>
      <c r="B647" s="1550"/>
      <c r="C647" s="4696"/>
      <c r="D647" s="4887"/>
      <c r="E647" s="4880"/>
      <c r="F647" s="4881"/>
      <c r="G647" s="178"/>
      <c r="H647" s="178"/>
      <c r="I647" s="178"/>
      <c r="J647" s="4414"/>
      <c r="K647" s="4609"/>
      <c r="L647" s="2272" t="s">
        <v>2900</v>
      </c>
      <c r="M647" s="386"/>
      <c r="N647" s="386"/>
      <c r="O647" s="386"/>
      <c r="P647" s="386"/>
      <c r="Q647" s="386"/>
    </row>
    <row r="648" spans="1:17" ht="30" customHeight="1" x14ac:dyDescent="0.2">
      <c r="A648" s="4459"/>
      <c r="B648" s="4693" t="s">
        <v>2899</v>
      </c>
      <c r="C648" s="4695" t="s">
        <v>402</v>
      </c>
      <c r="D648" s="2285">
        <v>190000000</v>
      </c>
      <c r="E648" s="1217">
        <v>4.4999999999999998E-2</v>
      </c>
      <c r="F648" s="2285">
        <v>8600000</v>
      </c>
      <c r="G648" s="178"/>
      <c r="H648" s="178"/>
      <c r="I648" s="178"/>
      <c r="J648" s="4414"/>
      <c r="K648" s="4609"/>
      <c r="L648" s="2272"/>
      <c r="M648" s="386"/>
      <c r="N648" s="386"/>
      <c r="O648" s="386"/>
      <c r="P648" s="386"/>
      <c r="Q648" s="386"/>
    </row>
    <row r="649" spans="1:17" ht="30" customHeight="1" x14ac:dyDescent="0.2">
      <c r="A649" s="4460"/>
      <c r="B649" s="4694"/>
      <c r="C649" s="4696"/>
      <c r="D649" s="2285">
        <v>90000000</v>
      </c>
      <c r="E649" s="1217">
        <v>0.06</v>
      </c>
      <c r="F649" s="2285">
        <f>D649*E649</f>
        <v>5400000</v>
      </c>
      <c r="G649" s="7"/>
      <c r="H649" s="7"/>
      <c r="I649" s="7"/>
      <c r="J649" s="4415"/>
      <c r="K649" s="4604"/>
      <c r="L649" s="2272"/>
      <c r="M649" s="386"/>
      <c r="N649" s="386"/>
      <c r="O649" s="386"/>
      <c r="P649" s="386"/>
      <c r="Q649" s="386"/>
    </row>
    <row r="650" spans="1:17" ht="30" customHeight="1" x14ac:dyDescent="0.2">
      <c r="A650" s="2269"/>
      <c r="B650" s="2276" t="s">
        <v>2206</v>
      </c>
      <c r="C650" s="2277" t="s">
        <v>1306</v>
      </c>
      <c r="D650" s="2285">
        <v>150000000</v>
      </c>
      <c r="E650" s="1217">
        <v>0.05</v>
      </c>
      <c r="F650" s="2285">
        <f>D650*E650</f>
        <v>7500000</v>
      </c>
      <c r="G650" s="2213">
        <v>7500000</v>
      </c>
      <c r="H650" s="2213" t="s">
        <v>4130</v>
      </c>
      <c r="I650" s="2232" t="s">
        <v>4541</v>
      </c>
      <c r="J650" s="2213">
        <f>G650</f>
        <v>7500000</v>
      </c>
      <c r="K650" s="2255">
        <f>F650-J650</f>
        <v>0</v>
      </c>
      <c r="L650" s="2252"/>
      <c r="M650" s="386"/>
      <c r="N650" s="386"/>
      <c r="O650" s="386"/>
      <c r="P650" s="386"/>
      <c r="Q650" s="386"/>
    </row>
    <row r="651" spans="1:17" ht="30" customHeight="1" x14ac:dyDescent="0.2">
      <c r="A651" s="2269"/>
      <c r="B651" s="2267"/>
      <c r="C651" s="2238"/>
      <c r="D651" s="2213"/>
      <c r="E651" s="2265"/>
      <c r="F651" s="2213"/>
      <c r="G651" s="2213"/>
      <c r="H651" s="2213"/>
      <c r="I651" s="2232"/>
      <c r="J651" s="2213"/>
      <c r="K651" s="2255"/>
      <c r="L651" s="2271"/>
      <c r="M651" s="386"/>
      <c r="N651" s="386"/>
      <c r="O651" s="386"/>
      <c r="P651" s="386"/>
      <c r="Q651" s="386"/>
    </row>
    <row r="652" spans="1:17" ht="30" customHeight="1" x14ac:dyDescent="0.2">
      <c r="A652" s="2269"/>
      <c r="B652" s="19" t="s">
        <v>180</v>
      </c>
      <c r="C652" s="2238" t="s">
        <v>2849</v>
      </c>
      <c r="D652" s="2213">
        <v>100000000</v>
      </c>
      <c r="E652" s="2265"/>
      <c r="F652" s="2213"/>
      <c r="G652" s="2201"/>
      <c r="H652" s="2201"/>
      <c r="I652" s="2201" t="s">
        <v>2870</v>
      </c>
      <c r="J652" s="2201">
        <f>G652</f>
        <v>0</v>
      </c>
      <c r="K652" s="2255">
        <f>F652-J652</f>
        <v>0</v>
      </c>
      <c r="L652" s="2271"/>
      <c r="M652" s="386"/>
      <c r="N652" s="386"/>
      <c r="O652" s="386"/>
      <c r="P652" s="386"/>
      <c r="Q652" s="386"/>
    </row>
    <row r="653" spans="1:17" ht="30" customHeight="1" x14ac:dyDescent="0.2">
      <c r="A653" s="2269"/>
      <c r="B653" s="2267" t="s">
        <v>2873</v>
      </c>
      <c r="C653" s="2238" t="s">
        <v>1172</v>
      </c>
      <c r="D653" s="2213">
        <v>40000000</v>
      </c>
      <c r="E653" s="2265">
        <v>0.05</v>
      </c>
      <c r="F653" s="2213">
        <f>D653*E653</f>
        <v>2000000</v>
      </c>
      <c r="G653" s="2213">
        <v>2000000</v>
      </c>
      <c r="H653" s="2213" t="s">
        <v>4076</v>
      </c>
      <c r="I653" s="2232" t="s">
        <v>4080</v>
      </c>
      <c r="J653" s="2213">
        <f>G653</f>
        <v>2000000</v>
      </c>
      <c r="K653" s="2255">
        <f>F653-J653</f>
        <v>0</v>
      </c>
      <c r="L653" s="2271"/>
      <c r="M653" s="386"/>
      <c r="N653" s="386"/>
      <c r="O653" s="386"/>
      <c r="P653" s="386"/>
      <c r="Q653" s="386"/>
    </row>
    <row r="654" spans="1:17" ht="30" customHeight="1" x14ac:dyDescent="0.2">
      <c r="A654" s="2269"/>
      <c r="B654" s="2267" t="s">
        <v>2878</v>
      </c>
      <c r="C654" s="2238" t="s">
        <v>1718</v>
      </c>
      <c r="D654" s="2213">
        <v>25000000</v>
      </c>
      <c r="E654" s="2265">
        <v>0.04</v>
      </c>
      <c r="F654" s="2213">
        <f>D654*E654</f>
        <v>1000000</v>
      </c>
      <c r="G654" s="2213">
        <v>1000000</v>
      </c>
      <c r="H654" s="2213" t="s">
        <v>4062</v>
      </c>
      <c r="I654" s="2232" t="s">
        <v>4064</v>
      </c>
      <c r="J654" s="2213">
        <f>G654</f>
        <v>1000000</v>
      </c>
      <c r="K654" s="2255">
        <f>F654-J654</f>
        <v>0</v>
      </c>
      <c r="L654" s="2271"/>
      <c r="M654" s="386"/>
      <c r="N654" s="386"/>
      <c r="O654" s="386"/>
      <c r="P654" s="386"/>
      <c r="Q654" s="386"/>
    </row>
    <row r="655" spans="1:17" ht="30" customHeight="1" x14ac:dyDescent="0.2">
      <c r="A655" s="2269"/>
      <c r="B655" s="2267" t="s">
        <v>2932</v>
      </c>
      <c r="C655" s="2238"/>
      <c r="D655" s="2213">
        <v>50000000</v>
      </c>
      <c r="E655" s="2265">
        <v>0.05</v>
      </c>
      <c r="F655" s="2213">
        <f>D655*E655</f>
        <v>2500000</v>
      </c>
      <c r="G655" s="2213">
        <v>2500000</v>
      </c>
      <c r="H655" s="2213" t="s">
        <v>4045</v>
      </c>
      <c r="I655" s="2232" t="s">
        <v>4094</v>
      </c>
      <c r="J655" s="2213">
        <f t="shared" ref="J655:J667" si="73">G655</f>
        <v>2500000</v>
      </c>
      <c r="K655" s="2255">
        <f>F655-J655</f>
        <v>0</v>
      </c>
      <c r="L655" s="2271"/>
      <c r="M655" s="386"/>
      <c r="N655" s="386"/>
      <c r="O655" s="386"/>
      <c r="P655" s="386"/>
      <c r="Q655" s="386"/>
    </row>
    <row r="656" spans="1:17" ht="30" customHeight="1" x14ac:dyDescent="0.2">
      <c r="A656" s="4459"/>
      <c r="B656" s="4457" t="s">
        <v>2938</v>
      </c>
      <c r="C656" s="4537"/>
      <c r="D656" s="4506"/>
      <c r="E656" s="4512"/>
      <c r="F656" s="4506"/>
      <c r="G656" s="2213"/>
      <c r="H656" s="2213"/>
      <c r="I656" s="2232" t="s">
        <v>3430</v>
      </c>
      <c r="J656" s="2213">
        <f t="shared" si="73"/>
        <v>0</v>
      </c>
      <c r="K656" s="2260">
        <f>F656-J656</f>
        <v>0</v>
      </c>
      <c r="L656" s="2271"/>
      <c r="M656" s="386"/>
      <c r="N656" s="386"/>
      <c r="O656" s="386"/>
      <c r="P656" s="386"/>
      <c r="Q656" s="386"/>
    </row>
    <row r="657" spans="1:17" ht="30" customHeight="1" x14ac:dyDescent="0.2">
      <c r="A657" s="4460"/>
      <c r="B657" s="4458"/>
      <c r="C657" s="4538"/>
      <c r="D657" s="4508"/>
      <c r="E657" s="4514"/>
      <c r="F657" s="4508"/>
      <c r="G657" s="2213"/>
      <c r="H657" s="2213"/>
      <c r="I657" s="2232" t="s">
        <v>3430</v>
      </c>
      <c r="J657" s="2213">
        <f t="shared" si="73"/>
        <v>0</v>
      </c>
      <c r="K657" s="2260">
        <f>F656-J657</f>
        <v>0</v>
      </c>
      <c r="L657" s="2271"/>
      <c r="M657" s="386"/>
      <c r="N657" s="386"/>
      <c r="O657" s="386"/>
      <c r="P657" s="386"/>
      <c r="Q657" s="386"/>
    </row>
    <row r="658" spans="1:17" ht="30" customHeight="1" x14ac:dyDescent="0.2">
      <c r="A658" s="2269"/>
      <c r="B658" s="2267" t="s">
        <v>2943</v>
      </c>
      <c r="C658" s="2238"/>
      <c r="D658" s="2226"/>
      <c r="E658" s="2297"/>
      <c r="F658" s="2226"/>
      <c r="G658" s="2213"/>
      <c r="H658" s="2213"/>
      <c r="I658" s="2232"/>
      <c r="J658" s="2213">
        <f t="shared" si="73"/>
        <v>0</v>
      </c>
      <c r="K658" s="2260">
        <f>F658-J658</f>
        <v>0</v>
      </c>
      <c r="L658" s="2271"/>
      <c r="M658" s="386"/>
      <c r="N658" s="386"/>
      <c r="O658" s="386"/>
      <c r="P658" s="386"/>
      <c r="Q658" s="386"/>
    </row>
    <row r="659" spans="1:17" ht="30" customHeight="1" x14ac:dyDescent="0.2">
      <c r="A659" s="4459"/>
      <c r="B659" s="4457" t="s">
        <v>3446</v>
      </c>
      <c r="C659" s="4537" t="s">
        <v>1172</v>
      </c>
      <c r="D659" s="4413">
        <v>180000000</v>
      </c>
      <c r="E659" s="4476">
        <v>5.5E-2</v>
      </c>
      <c r="F659" s="4413">
        <v>10000000</v>
      </c>
      <c r="G659" s="2213">
        <v>10000000</v>
      </c>
      <c r="H659" s="2213" t="s">
        <v>1846</v>
      </c>
      <c r="I659" s="2232" t="s">
        <v>3922</v>
      </c>
      <c r="J659" s="2213">
        <f t="shared" si="73"/>
        <v>10000000</v>
      </c>
      <c r="K659" s="2255">
        <f>F659-J659</f>
        <v>0</v>
      </c>
      <c r="L659" s="2271"/>
      <c r="M659" s="386"/>
      <c r="N659" s="386"/>
      <c r="O659" s="386"/>
      <c r="P659" s="386"/>
      <c r="Q659" s="386"/>
    </row>
    <row r="660" spans="1:17" ht="30" customHeight="1" x14ac:dyDescent="0.2">
      <c r="A660" s="4464"/>
      <c r="B660" s="4488"/>
      <c r="C660" s="4540"/>
      <c r="D660" s="4414"/>
      <c r="E660" s="4516"/>
      <c r="F660" s="4414"/>
      <c r="G660" s="2213">
        <v>2500000</v>
      </c>
      <c r="H660" s="2213" t="s">
        <v>3929</v>
      </c>
      <c r="I660" s="2232" t="s">
        <v>3930</v>
      </c>
      <c r="J660" s="2213">
        <f>G660</f>
        <v>2500000</v>
      </c>
      <c r="K660" s="2255"/>
      <c r="L660" s="2271" t="s">
        <v>4186</v>
      </c>
      <c r="M660" s="386"/>
      <c r="N660" s="386"/>
      <c r="O660" s="386"/>
      <c r="P660" s="386"/>
      <c r="Q660" s="386"/>
    </row>
    <row r="661" spans="1:17" ht="30" customHeight="1" x14ac:dyDescent="0.2">
      <c r="A661" s="4464"/>
      <c r="B661" s="4488"/>
      <c r="C661" s="4540"/>
      <c r="D661" s="4415"/>
      <c r="E661" s="4477"/>
      <c r="F661" s="4415"/>
      <c r="G661" s="2213">
        <v>5437000</v>
      </c>
      <c r="H661" s="2213" t="s">
        <v>3078</v>
      </c>
      <c r="I661" s="2232" t="s">
        <v>3447</v>
      </c>
      <c r="J661" s="2213">
        <f>G661</f>
        <v>5437000</v>
      </c>
      <c r="K661" s="2255"/>
      <c r="L661" s="2271" t="s">
        <v>4187</v>
      </c>
      <c r="M661" s="386"/>
      <c r="N661" s="386"/>
      <c r="O661" s="386"/>
      <c r="P661" s="386"/>
      <c r="Q661" s="386"/>
    </row>
    <row r="662" spans="1:17" ht="30" customHeight="1" x14ac:dyDescent="0.2">
      <c r="A662" s="4464"/>
      <c r="B662" s="4488"/>
      <c r="C662" s="4540"/>
      <c r="D662" s="4325" t="s">
        <v>4351</v>
      </c>
      <c r="E662" s="4326"/>
      <c r="F662" s="4563"/>
      <c r="G662" s="2213">
        <v>10000000</v>
      </c>
      <c r="H662" s="2213" t="s">
        <v>4146</v>
      </c>
      <c r="I662" s="2232" t="s">
        <v>4185</v>
      </c>
      <c r="J662" s="4413">
        <f>G662+G663+G664+G665+G666</f>
        <v>80000000</v>
      </c>
      <c r="K662" s="4603">
        <f>D659-J662</f>
        <v>100000000</v>
      </c>
      <c r="L662" s="4675" t="s">
        <v>4191</v>
      </c>
      <c r="M662" s="386"/>
      <c r="N662" s="386"/>
      <c r="O662" s="386"/>
      <c r="P662" s="386"/>
      <c r="Q662" s="386"/>
    </row>
    <row r="663" spans="1:17" ht="30" customHeight="1" x14ac:dyDescent="0.2">
      <c r="A663" s="4464"/>
      <c r="B663" s="4488"/>
      <c r="C663" s="4540"/>
      <c r="D663" s="4612"/>
      <c r="E663" s="4359"/>
      <c r="F663" s="4613"/>
      <c r="G663" s="2213">
        <v>10000000</v>
      </c>
      <c r="H663" s="2213" t="s">
        <v>4161</v>
      </c>
      <c r="I663" s="2232" t="s">
        <v>4185</v>
      </c>
      <c r="J663" s="4414"/>
      <c r="K663" s="4609"/>
      <c r="L663" s="4782"/>
      <c r="M663" s="386"/>
      <c r="N663" s="386"/>
      <c r="O663" s="386"/>
      <c r="P663" s="386"/>
      <c r="Q663" s="386"/>
    </row>
    <row r="664" spans="1:17" ht="30" customHeight="1" x14ac:dyDescent="0.2">
      <c r="A664" s="4464"/>
      <c r="B664" s="4488"/>
      <c r="C664" s="4540"/>
      <c r="D664" s="4612"/>
      <c r="E664" s="4359"/>
      <c r="F664" s="4613"/>
      <c r="G664" s="2213">
        <v>40000000</v>
      </c>
      <c r="H664" s="2213" t="s">
        <v>4166</v>
      </c>
      <c r="I664" s="2232" t="s">
        <v>4185</v>
      </c>
      <c r="J664" s="4414"/>
      <c r="K664" s="4609"/>
      <c r="L664" s="4782"/>
      <c r="M664" s="386"/>
      <c r="N664" s="386"/>
      <c r="O664" s="386"/>
      <c r="P664" s="386"/>
      <c r="Q664" s="386"/>
    </row>
    <row r="665" spans="1:17" ht="30" customHeight="1" x14ac:dyDescent="0.2">
      <c r="A665" s="4464"/>
      <c r="B665" s="4488"/>
      <c r="C665" s="4540"/>
      <c r="D665" s="4612"/>
      <c r="E665" s="4359"/>
      <c r="F665" s="4613"/>
      <c r="G665" s="2213">
        <v>20000000</v>
      </c>
      <c r="H665" s="2213" t="s">
        <v>4190</v>
      </c>
      <c r="I665" s="2232" t="s">
        <v>3922</v>
      </c>
      <c r="J665" s="4414"/>
      <c r="K665" s="4609"/>
      <c r="L665" s="4782"/>
      <c r="M665" s="386"/>
      <c r="N665" s="386"/>
      <c r="O665" s="386"/>
      <c r="P665" s="386"/>
      <c r="Q665" s="386"/>
    </row>
    <row r="666" spans="1:17" ht="30" customHeight="1" x14ac:dyDescent="0.2">
      <c r="A666" s="4460"/>
      <c r="B666" s="4458"/>
      <c r="C666" s="4538"/>
      <c r="D666" s="4564"/>
      <c r="E666" s="4596"/>
      <c r="F666" s="4565"/>
      <c r="G666" s="2213"/>
      <c r="H666" s="2213"/>
      <c r="I666" s="2232"/>
      <c r="J666" s="4415"/>
      <c r="K666" s="4604"/>
      <c r="L666" s="4676"/>
      <c r="M666" s="386"/>
      <c r="N666" s="386"/>
      <c r="O666" s="386"/>
      <c r="P666" s="386"/>
      <c r="Q666" s="386"/>
    </row>
    <row r="667" spans="1:17" ht="30" customHeight="1" x14ac:dyDescent="0.2">
      <c r="A667" s="2269"/>
      <c r="B667" s="2267" t="s">
        <v>3037</v>
      </c>
      <c r="C667" s="2238"/>
      <c r="D667" s="2213">
        <v>30000000</v>
      </c>
      <c r="E667" s="2265">
        <v>0.05</v>
      </c>
      <c r="F667" s="2213">
        <f>D667*E667</f>
        <v>1500000</v>
      </c>
      <c r="G667" s="2201">
        <v>1500000</v>
      </c>
      <c r="H667" s="2201" t="s">
        <v>4136</v>
      </c>
      <c r="I667" s="2201" t="s">
        <v>3719</v>
      </c>
      <c r="J667" s="2201">
        <f t="shared" si="73"/>
        <v>1500000</v>
      </c>
      <c r="K667" s="2255">
        <f>F667-J667</f>
        <v>0</v>
      </c>
      <c r="L667" s="2271" t="s">
        <v>3393</v>
      </c>
      <c r="M667" s="386"/>
      <c r="N667" s="386"/>
      <c r="O667" s="386"/>
      <c r="P667" s="386"/>
      <c r="Q667" s="386"/>
    </row>
    <row r="668" spans="1:17" ht="30" customHeight="1" x14ac:dyDescent="0.2">
      <c r="A668" s="2269"/>
      <c r="B668" s="2267" t="s">
        <v>3040</v>
      </c>
      <c r="C668" s="2238"/>
      <c r="D668" s="2213">
        <f>1000000000+19000000</f>
        <v>1019000000</v>
      </c>
      <c r="E668" s="2265">
        <v>7.0000000000000007E-2</v>
      </c>
      <c r="F668" s="2213">
        <f>D668*E668</f>
        <v>71330000</v>
      </c>
      <c r="G668" s="2213">
        <f>F668*2</f>
        <v>142660000</v>
      </c>
      <c r="H668" s="2213" t="s">
        <v>4062</v>
      </c>
      <c r="I668" s="2232" t="s">
        <v>4090</v>
      </c>
      <c r="J668" s="2213">
        <f>G668</f>
        <v>142660000</v>
      </c>
      <c r="K668" s="2255">
        <v>0</v>
      </c>
      <c r="L668" s="2271" t="s">
        <v>4091</v>
      </c>
      <c r="M668" s="386"/>
      <c r="N668" s="386"/>
      <c r="O668" s="386"/>
      <c r="P668" s="386"/>
      <c r="Q668" s="386"/>
    </row>
    <row r="669" spans="1:17" ht="30" customHeight="1" x14ac:dyDescent="0.2">
      <c r="A669" s="2269"/>
      <c r="B669" s="2267" t="s">
        <v>3071</v>
      </c>
      <c r="C669" s="2238" t="s">
        <v>889</v>
      </c>
      <c r="D669" s="2213">
        <v>100000000</v>
      </c>
      <c r="E669" s="2265">
        <v>0.05</v>
      </c>
      <c r="F669" s="2213">
        <f>D669*E669</f>
        <v>5000000</v>
      </c>
      <c r="G669" s="2213">
        <v>5000000</v>
      </c>
      <c r="H669" s="2213" t="s">
        <v>3966</v>
      </c>
      <c r="I669" s="2232" t="s">
        <v>3967</v>
      </c>
      <c r="J669" s="2213">
        <f>G669</f>
        <v>5000000</v>
      </c>
      <c r="K669" s="2255">
        <f>F669-J669</f>
        <v>0</v>
      </c>
      <c r="L669" s="4623" t="s">
        <v>3072</v>
      </c>
      <c r="M669" s="4624"/>
      <c r="N669" s="4624"/>
      <c r="O669" s="4624"/>
      <c r="P669" s="4625"/>
      <c r="Q669" s="386"/>
    </row>
    <row r="670" spans="1:17" ht="30" customHeight="1" x14ac:dyDescent="0.2">
      <c r="A670" s="4459"/>
      <c r="B670" s="4457" t="s">
        <v>3764</v>
      </c>
      <c r="C670" s="4537"/>
      <c r="D670" s="4413">
        <v>30000000</v>
      </c>
      <c r="E670" s="4476">
        <v>7.0000000000000007E-2</v>
      </c>
      <c r="F670" s="4413">
        <f>D670*E670</f>
        <v>2100000</v>
      </c>
      <c r="G670" s="4413">
        <v>2100000</v>
      </c>
      <c r="H670" s="4413" t="s">
        <v>4136</v>
      </c>
      <c r="I670" s="4413" t="s">
        <v>4143</v>
      </c>
      <c r="J670" s="4413">
        <f>G670</f>
        <v>2100000</v>
      </c>
      <c r="K670" s="4603">
        <f>F670-J670</f>
        <v>0</v>
      </c>
      <c r="L670" s="4675" t="s">
        <v>3121</v>
      </c>
      <c r="M670" s="386"/>
      <c r="N670" s="386"/>
      <c r="O670" s="386"/>
      <c r="P670" s="386"/>
      <c r="Q670" s="386"/>
    </row>
    <row r="671" spans="1:17" ht="30" customHeight="1" x14ac:dyDescent="0.2">
      <c r="A671" s="4460"/>
      <c r="B671" s="4458"/>
      <c r="C671" s="4538"/>
      <c r="D671" s="4415"/>
      <c r="E671" s="4477"/>
      <c r="F671" s="4415"/>
      <c r="G671" s="4415"/>
      <c r="H671" s="4415"/>
      <c r="I671" s="4415"/>
      <c r="J671" s="4415"/>
      <c r="K671" s="4604"/>
      <c r="L671" s="4676"/>
      <c r="M671" s="386"/>
      <c r="N671" s="386"/>
      <c r="O671" s="386"/>
      <c r="P671" s="386"/>
      <c r="Q671" s="386"/>
    </row>
    <row r="672" spans="1:17" ht="30" customHeight="1" x14ac:dyDescent="0.2">
      <c r="A672" s="2204"/>
      <c r="B672" s="1340" t="s">
        <v>3955</v>
      </c>
      <c r="C672" s="2238"/>
      <c r="D672" s="2213">
        <v>200000000</v>
      </c>
      <c r="E672" s="2210">
        <v>0.05</v>
      </c>
      <c r="F672" s="2213">
        <f>D672*E672</f>
        <v>10000000</v>
      </c>
      <c r="G672" s="2201">
        <v>10000000</v>
      </c>
      <c r="H672" s="2201" t="s">
        <v>4146</v>
      </c>
      <c r="I672" s="2201" t="s">
        <v>4149</v>
      </c>
      <c r="J672" s="2201">
        <f>G672</f>
        <v>10000000</v>
      </c>
      <c r="K672" s="2255"/>
      <c r="L672" s="2252" t="s">
        <v>3160</v>
      </c>
      <c r="M672" s="386"/>
      <c r="N672" s="386"/>
      <c r="O672" s="386"/>
      <c r="P672" s="386"/>
      <c r="Q672" s="386"/>
    </row>
    <row r="673" spans="1:17" ht="30" customHeight="1" x14ac:dyDescent="0.2">
      <c r="A673" s="2204"/>
      <c r="B673" s="1340" t="s">
        <v>3159</v>
      </c>
      <c r="C673" s="2238"/>
      <c r="D673" s="2213">
        <v>50000000</v>
      </c>
      <c r="E673" s="2210">
        <v>0.05</v>
      </c>
      <c r="F673" s="2213">
        <f>D673*E673</f>
        <v>2500000</v>
      </c>
      <c r="G673" s="2201"/>
      <c r="H673" s="2201"/>
      <c r="I673" s="2201"/>
      <c r="J673" s="2201"/>
      <c r="K673" s="2255"/>
      <c r="L673" s="2252" t="s">
        <v>3161</v>
      </c>
      <c r="M673" s="386"/>
      <c r="N673" s="386"/>
      <c r="O673" s="386"/>
      <c r="P673" s="386"/>
      <c r="Q673" s="386"/>
    </row>
    <row r="674" spans="1:17" ht="30" customHeight="1" x14ac:dyDescent="0.2">
      <c r="A674" s="2269"/>
      <c r="B674" s="2224"/>
      <c r="C674" s="1340"/>
      <c r="D674" s="2213"/>
      <c r="E674" s="2213"/>
      <c r="F674" s="2210"/>
      <c r="G674" s="2201"/>
      <c r="H674" s="2201"/>
      <c r="I674" s="2201"/>
      <c r="J674" s="2201"/>
      <c r="K674" s="2255"/>
      <c r="L674" s="2271"/>
      <c r="M674" s="386"/>
      <c r="N674" s="386"/>
      <c r="O674" s="386"/>
      <c r="P674" s="386"/>
      <c r="Q674" s="386"/>
    </row>
    <row r="675" spans="1:17" ht="30" customHeight="1" x14ac:dyDescent="0.2">
      <c r="A675" s="4459"/>
      <c r="B675" s="4474" t="s">
        <v>825</v>
      </c>
      <c r="C675" s="1340"/>
      <c r="D675" s="2238"/>
      <c r="E675" s="2213"/>
      <c r="F675" s="2210"/>
      <c r="G675" s="2201"/>
      <c r="H675" s="4413"/>
      <c r="I675" s="4413" t="s">
        <v>855</v>
      </c>
      <c r="J675" s="4413">
        <f>G675+G676</f>
        <v>0</v>
      </c>
      <c r="K675" s="4603"/>
      <c r="L675" s="2271" t="s">
        <v>3867</v>
      </c>
      <c r="M675" s="386"/>
      <c r="N675" s="386"/>
      <c r="O675" s="386"/>
      <c r="P675" s="386"/>
      <c r="Q675" s="386"/>
    </row>
    <row r="676" spans="1:17" ht="30" customHeight="1" x14ac:dyDescent="0.2">
      <c r="A676" s="4460"/>
      <c r="B676" s="4475"/>
      <c r="C676" s="1340"/>
      <c r="D676" s="2238"/>
      <c r="E676" s="2213"/>
      <c r="F676" s="2210"/>
      <c r="G676" s="2201"/>
      <c r="H676" s="4415"/>
      <c r="I676" s="4415"/>
      <c r="J676" s="4415"/>
      <c r="K676" s="4604"/>
      <c r="L676" s="2271" t="s">
        <v>3502</v>
      </c>
      <c r="M676" s="386"/>
      <c r="N676" s="386"/>
      <c r="O676" s="386"/>
      <c r="P676" s="386"/>
      <c r="Q676" s="386"/>
    </row>
    <row r="677" spans="1:17" ht="30" customHeight="1" x14ac:dyDescent="0.2">
      <c r="A677" s="146"/>
      <c r="B677" s="2224" t="s">
        <v>3215</v>
      </c>
      <c r="C677" s="2238" t="s">
        <v>3216</v>
      </c>
      <c r="D677" s="2213">
        <v>120000000</v>
      </c>
      <c r="E677" s="2265">
        <v>0.04</v>
      </c>
      <c r="F677" s="2213">
        <f>D677*E677</f>
        <v>4800000</v>
      </c>
      <c r="G677" s="2201">
        <v>4800000</v>
      </c>
      <c r="H677" s="2201" t="s">
        <v>4109</v>
      </c>
      <c r="I677" s="2201" t="s">
        <v>1946</v>
      </c>
      <c r="J677" s="2201">
        <f>G677</f>
        <v>4800000</v>
      </c>
      <c r="K677" s="2255">
        <f>F677-J677</f>
        <v>0</v>
      </c>
      <c r="L677" s="2271" t="s">
        <v>3217</v>
      </c>
      <c r="M677" s="386"/>
      <c r="N677" s="386"/>
      <c r="O677" s="386"/>
      <c r="P677" s="386"/>
      <c r="Q677" s="386"/>
    </row>
    <row r="678" spans="1:17" ht="30" customHeight="1" x14ac:dyDescent="0.2">
      <c r="A678" s="146"/>
      <c r="B678" s="2224" t="s">
        <v>3218</v>
      </c>
      <c r="C678" s="2238" t="s">
        <v>3219</v>
      </c>
      <c r="D678" s="2213">
        <v>100000000</v>
      </c>
      <c r="E678" s="2265">
        <v>0.05</v>
      </c>
      <c r="F678" s="2213">
        <f>D678*E678</f>
        <v>5000000</v>
      </c>
      <c r="G678" s="2201"/>
      <c r="H678" s="2201"/>
      <c r="I678" s="2201"/>
      <c r="J678" s="2201"/>
      <c r="K678" s="2255"/>
      <c r="L678" s="2271" t="s">
        <v>3217</v>
      </c>
      <c r="M678" s="386"/>
      <c r="N678" s="386"/>
      <c r="O678" s="386"/>
      <c r="P678" s="386"/>
      <c r="Q678" s="386"/>
    </row>
    <row r="679" spans="1:17" ht="30" customHeight="1" x14ac:dyDescent="0.2">
      <c r="A679" s="146"/>
      <c r="B679" s="2224" t="s">
        <v>3221</v>
      </c>
      <c r="C679" s="2238" t="s">
        <v>1796</v>
      </c>
      <c r="D679" s="2213">
        <v>50000000</v>
      </c>
      <c r="E679" s="2265">
        <v>0.05</v>
      </c>
      <c r="F679" s="2213">
        <f>D679*E679</f>
        <v>2500000</v>
      </c>
      <c r="G679" s="2201">
        <v>2500000</v>
      </c>
      <c r="H679" s="2201" t="s">
        <v>4190</v>
      </c>
      <c r="I679" s="2201" t="s">
        <v>4264</v>
      </c>
      <c r="J679" s="2201">
        <f>G679</f>
        <v>2500000</v>
      </c>
      <c r="K679" s="2255">
        <f>F679-J679</f>
        <v>0</v>
      </c>
      <c r="L679" s="2271" t="s">
        <v>3217</v>
      </c>
      <c r="M679" s="386"/>
      <c r="N679" s="386"/>
      <c r="O679" s="386"/>
      <c r="P679" s="386"/>
      <c r="Q679" s="386"/>
    </row>
    <row r="680" spans="1:17" ht="30" customHeight="1" x14ac:dyDescent="0.2">
      <c r="A680" s="146"/>
      <c r="B680" s="2224" t="s">
        <v>3224</v>
      </c>
      <c r="C680" s="2238"/>
      <c r="D680" s="2253"/>
      <c r="E680" s="2297"/>
      <c r="F680" s="2226"/>
      <c r="G680" s="2201"/>
      <c r="H680" s="2201"/>
      <c r="I680" s="2201"/>
      <c r="J680" s="2201">
        <f>G680</f>
        <v>0</v>
      </c>
      <c r="K680" s="2260">
        <f>F680-J680</f>
        <v>0</v>
      </c>
      <c r="L680" s="2271" t="s">
        <v>3230</v>
      </c>
      <c r="M680" s="386"/>
      <c r="N680" s="386"/>
      <c r="O680" s="386"/>
      <c r="P680" s="386"/>
      <c r="Q680" s="386"/>
    </row>
    <row r="681" spans="1:17" ht="30" customHeight="1" x14ac:dyDescent="0.2">
      <c r="A681" s="146"/>
      <c r="B681" s="2224" t="s">
        <v>3257</v>
      </c>
      <c r="C681" s="2238" t="s">
        <v>402</v>
      </c>
      <c r="D681" s="2213">
        <v>40000000</v>
      </c>
      <c r="E681" s="2265">
        <v>0.05</v>
      </c>
      <c r="F681" s="2213">
        <f>D681*E681</f>
        <v>2000000</v>
      </c>
      <c r="G681" s="2201"/>
      <c r="H681" s="2201"/>
      <c r="I681" s="1932"/>
      <c r="J681" s="1932"/>
      <c r="K681" s="1932"/>
      <c r="L681" s="2271"/>
      <c r="M681" s="386"/>
      <c r="N681" s="386"/>
      <c r="O681" s="386"/>
      <c r="P681" s="386"/>
      <c r="Q681" s="386"/>
    </row>
    <row r="682" spans="1:17" ht="30" customHeight="1" x14ac:dyDescent="0.2">
      <c r="A682" s="146"/>
      <c r="B682" s="2224" t="s">
        <v>3293</v>
      </c>
      <c r="C682" s="2224"/>
      <c r="D682" s="2213">
        <v>15000000</v>
      </c>
      <c r="E682" s="2265">
        <v>0.05</v>
      </c>
      <c r="F682" s="2213">
        <f>D682*E682</f>
        <v>750000</v>
      </c>
      <c r="G682" s="2201">
        <v>750000</v>
      </c>
      <c r="H682" s="2201" t="s">
        <v>4190</v>
      </c>
      <c r="I682" s="2201" t="s">
        <v>3950</v>
      </c>
      <c r="J682" s="2201">
        <f>G682</f>
        <v>750000</v>
      </c>
      <c r="K682" s="2255">
        <f>F682-J682</f>
        <v>0</v>
      </c>
      <c r="L682" s="2271" t="s">
        <v>3868</v>
      </c>
      <c r="M682" s="386"/>
      <c r="N682" s="386"/>
      <c r="O682" s="386"/>
      <c r="P682" s="386"/>
      <c r="Q682" s="386"/>
    </row>
    <row r="683" spans="1:17" ht="30" customHeight="1" x14ac:dyDescent="0.2">
      <c r="A683" s="2269"/>
      <c r="B683" s="3" t="s">
        <v>3296</v>
      </c>
      <c r="C683" s="2238" t="s">
        <v>942</v>
      </c>
      <c r="D683" s="2213">
        <v>150000000</v>
      </c>
      <c r="E683" s="2265">
        <v>0.05</v>
      </c>
      <c r="F683" s="2213">
        <f>D683*E683</f>
        <v>7500000</v>
      </c>
      <c r="G683" s="2201"/>
      <c r="H683" s="2201"/>
      <c r="I683" s="2201" t="s">
        <v>3887</v>
      </c>
      <c r="J683" s="2201">
        <f>G683</f>
        <v>0</v>
      </c>
      <c r="K683" s="2255"/>
      <c r="L683" s="2271"/>
      <c r="M683" s="386"/>
      <c r="N683" s="386"/>
      <c r="O683" s="386"/>
      <c r="P683" s="386"/>
      <c r="Q683" s="386"/>
    </row>
    <row r="684" spans="1:17" ht="30" customHeight="1" x14ac:dyDescent="0.2">
      <c r="A684" s="2269"/>
      <c r="B684" s="3" t="s">
        <v>3308</v>
      </c>
      <c r="C684" s="2238" t="s">
        <v>3323</v>
      </c>
      <c r="D684" s="2213">
        <v>20000000</v>
      </c>
      <c r="E684" s="2265">
        <v>0.05</v>
      </c>
      <c r="F684" s="2213">
        <f>D684*E684</f>
        <v>1000000</v>
      </c>
      <c r="G684" s="2201"/>
      <c r="H684" s="2201"/>
      <c r="I684" s="2201" t="s">
        <v>3901</v>
      </c>
      <c r="J684" s="2201">
        <f>G684</f>
        <v>0</v>
      </c>
      <c r="K684" s="2255">
        <f>F684-J684</f>
        <v>1000000</v>
      </c>
      <c r="L684" s="2271" t="s">
        <v>3309</v>
      </c>
      <c r="M684" s="386"/>
      <c r="N684" s="386"/>
      <c r="O684" s="386"/>
      <c r="P684" s="386"/>
      <c r="Q684" s="386"/>
    </row>
    <row r="685" spans="1:17" ht="30" customHeight="1" x14ac:dyDescent="0.2">
      <c r="A685" s="2269"/>
      <c r="B685" s="3" t="s">
        <v>3324</v>
      </c>
      <c r="C685" s="2238" t="s">
        <v>889</v>
      </c>
      <c r="D685" s="2213">
        <v>200000000</v>
      </c>
      <c r="E685" s="2265">
        <v>0.05</v>
      </c>
      <c r="F685" s="2213">
        <f>D685*E685</f>
        <v>10000000</v>
      </c>
      <c r="G685" s="2201"/>
      <c r="H685" s="2201"/>
      <c r="I685" s="2201"/>
      <c r="J685" s="2201"/>
      <c r="K685" s="2260"/>
      <c r="L685" s="2271" t="s">
        <v>3325</v>
      </c>
      <c r="M685" s="386"/>
      <c r="N685" s="386"/>
      <c r="O685" s="386"/>
      <c r="P685" s="386"/>
      <c r="Q685" s="386"/>
    </row>
    <row r="686" spans="1:17" ht="30" customHeight="1" x14ac:dyDescent="0.2">
      <c r="A686" s="2269"/>
      <c r="B686" s="3" t="s">
        <v>3332</v>
      </c>
      <c r="C686" s="2224"/>
      <c r="D686" s="2253"/>
      <c r="E686" s="2297"/>
      <c r="F686" s="2226"/>
      <c r="G686" s="2201"/>
      <c r="H686" s="2201"/>
      <c r="I686" s="2201"/>
      <c r="J686" s="2201">
        <f t="shared" ref="J686:J693" si="74">G686</f>
        <v>0</v>
      </c>
      <c r="K686" s="2260"/>
      <c r="L686" s="2271"/>
      <c r="M686" s="386"/>
      <c r="N686" s="386"/>
      <c r="O686" s="386"/>
      <c r="P686" s="386"/>
      <c r="Q686" s="386"/>
    </row>
    <row r="687" spans="1:17" ht="30" customHeight="1" x14ac:dyDescent="0.2">
      <c r="A687" s="4459"/>
      <c r="B687" s="4474" t="s">
        <v>3395</v>
      </c>
      <c r="C687" s="2238" t="s">
        <v>889</v>
      </c>
      <c r="D687" s="2213">
        <v>1000000000</v>
      </c>
      <c r="E687" s="2265">
        <v>0.06</v>
      </c>
      <c r="F687" s="2213">
        <f>D687*E687</f>
        <v>60000000</v>
      </c>
      <c r="G687" s="2213">
        <v>61666000</v>
      </c>
      <c r="H687" s="2213" t="s">
        <v>3940</v>
      </c>
      <c r="I687" s="2232" t="s">
        <v>3941</v>
      </c>
      <c r="J687" s="2213">
        <f t="shared" si="74"/>
        <v>61666000</v>
      </c>
      <c r="K687" s="2255">
        <v>0</v>
      </c>
      <c r="L687" s="2271" t="s">
        <v>3722</v>
      </c>
      <c r="M687" s="386"/>
      <c r="N687" s="386"/>
      <c r="O687" s="386"/>
      <c r="P687" s="386"/>
      <c r="Q687" s="386"/>
    </row>
    <row r="688" spans="1:17" ht="30" customHeight="1" x14ac:dyDescent="0.2">
      <c r="A688" s="4460"/>
      <c r="B688" s="4475"/>
      <c r="C688" s="2238" t="s">
        <v>1298</v>
      </c>
      <c r="D688" s="2213">
        <v>500000000</v>
      </c>
      <c r="E688" s="2265">
        <v>6.5000000000000002E-2</v>
      </c>
      <c r="F688" s="2213">
        <f>D688*E688</f>
        <v>32500000</v>
      </c>
      <c r="G688" s="2213">
        <v>32500000</v>
      </c>
      <c r="H688" s="2213" t="s">
        <v>4109</v>
      </c>
      <c r="I688" s="2232" t="s">
        <v>3941</v>
      </c>
      <c r="J688" s="2213">
        <f t="shared" si="74"/>
        <v>32500000</v>
      </c>
      <c r="K688" s="2255">
        <f>F688-J688</f>
        <v>0</v>
      </c>
      <c r="L688" s="2271"/>
      <c r="M688" s="386"/>
      <c r="N688" s="386"/>
      <c r="O688" s="386"/>
      <c r="P688" s="386"/>
      <c r="Q688" s="386"/>
    </row>
    <row r="689" spans="1:17" ht="30" customHeight="1" x14ac:dyDescent="0.2">
      <c r="A689" s="2269"/>
      <c r="B689" s="3" t="s">
        <v>3514</v>
      </c>
      <c r="C689" s="2238"/>
      <c r="D689" s="2226"/>
      <c r="E689" s="2297"/>
      <c r="F689" s="2226"/>
      <c r="G689" s="2213">
        <v>6000000</v>
      </c>
      <c r="H689" s="2213" t="s">
        <v>3923</v>
      </c>
      <c r="I689" s="2232" t="s">
        <v>678</v>
      </c>
      <c r="J689" s="2213">
        <f t="shared" si="74"/>
        <v>6000000</v>
      </c>
      <c r="K689" s="2260">
        <f>F689-J689</f>
        <v>-6000000</v>
      </c>
      <c r="L689" s="2271"/>
      <c r="M689" s="386"/>
      <c r="N689" s="386"/>
      <c r="O689" s="386"/>
      <c r="P689" s="386"/>
      <c r="Q689" s="386"/>
    </row>
    <row r="690" spans="1:17" ht="30" customHeight="1" x14ac:dyDescent="0.2">
      <c r="A690" s="2202"/>
      <c r="B690" s="2223" t="s">
        <v>3424</v>
      </c>
      <c r="C690" s="2239"/>
      <c r="D690" s="2235"/>
      <c r="E690" s="2227"/>
      <c r="F690" s="2235"/>
      <c r="G690" s="2212"/>
      <c r="H690" s="2212"/>
      <c r="I690" s="2268" t="s">
        <v>3425</v>
      </c>
      <c r="J690" s="2212">
        <f t="shared" si="74"/>
        <v>0</v>
      </c>
      <c r="K690" s="1114"/>
      <c r="L690" s="2251"/>
      <c r="M690" s="386"/>
      <c r="N690" s="386"/>
      <c r="O690" s="386"/>
      <c r="P690" s="386"/>
      <c r="Q690" s="386"/>
    </row>
    <row r="691" spans="1:17" s="1540" customFormat="1" ht="30" customHeight="1" x14ac:dyDescent="0.2">
      <c r="A691" s="2269"/>
      <c r="B691" s="3" t="s">
        <v>3455</v>
      </c>
      <c r="C691" s="2266" t="s">
        <v>3483</v>
      </c>
      <c r="D691" s="2201">
        <v>25000000</v>
      </c>
      <c r="E691" s="2265">
        <v>0.05</v>
      </c>
      <c r="F691" s="2201">
        <f t="shared" ref="F691:F698" si="75">D691*E691</f>
        <v>1250000</v>
      </c>
      <c r="G691" s="2201">
        <v>1250000</v>
      </c>
      <c r="H691" s="2201" t="s">
        <v>3966</v>
      </c>
      <c r="I691" s="2201" t="s">
        <v>3993</v>
      </c>
      <c r="J691" s="2201">
        <f t="shared" si="74"/>
        <v>1250000</v>
      </c>
      <c r="K691" s="2198">
        <f>F691-J691</f>
        <v>0</v>
      </c>
      <c r="L691" s="2271" t="s">
        <v>3456</v>
      </c>
      <c r="M691" s="387"/>
      <c r="N691" s="387"/>
      <c r="O691" s="387"/>
      <c r="P691" s="387"/>
      <c r="Q691" s="387"/>
    </row>
    <row r="692" spans="1:17" s="184" customFormat="1" ht="30" customHeight="1" x14ac:dyDescent="0.2">
      <c r="A692" s="2269"/>
      <c r="B692" s="3" t="s">
        <v>3459</v>
      </c>
      <c r="C692" s="2266"/>
      <c r="D692" s="2229">
        <v>600000000</v>
      </c>
      <c r="E692" s="2297">
        <v>0.06</v>
      </c>
      <c r="F692" s="2229">
        <f t="shared" si="75"/>
        <v>36000000</v>
      </c>
      <c r="G692" s="2229">
        <v>51000000</v>
      </c>
      <c r="H692" s="2229" t="s">
        <v>4017</v>
      </c>
      <c r="I692" s="2229" t="s">
        <v>1401</v>
      </c>
      <c r="J692" s="2229">
        <f t="shared" si="74"/>
        <v>51000000</v>
      </c>
      <c r="K692" s="1031">
        <f>F692-J692</f>
        <v>-15000000</v>
      </c>
      <c r="L692" s="2271"/>
      <c r="M692" s="386"/>
      <c r="N692" s="386"/>
      <c r="O692" s="386"/>
      <c r="P692" s="386"/>
      <c r="Q692" s="386"/>
    </row>
    <row r="693" spans="1:17" s="184" customFormat="1" ht="30" customHeight="1" x14ac:dyDescent="0.2">
      <c r="A693" s="4459"/>
      <c r="B693" s="4474" t="s">
        <v>3460</v>
      </c>
      <c r="C693" s="4537" t="s">
        <v>3483</v>
      </c>
      <c r="D693" s="2201">
        <v>140000000</v>
      </c>
      <c r="E693" s="2265">
        <v>0.04</v>
      </c>
      <c r="F693" s="2201">
        <f t="shared" si="75"/>
        <v>5600000</v>
      </c>
      <c r="G693" s="4413">
        <v>5067000</v>
      </c>
      <c r="H693" s="4413" t="s">
        <v>4076</v>
      </c>
      <c r="I693" s="4413" t="s">
        <v>4078</v>
      </c>
      <c r="J693" s="4413">
        <f t="shared" si="74"/>
        <v>5067000</v>
      </c>
      <c r="K693" s="4603">
        <v>0</v>
      </c>
      <c r="L693" s="2252" t="s">
        <v>4077</v>
      </c>
      <c r="M693" s="386"/>
      <c r="N693" s="386"/>
      <c r="O693" s="386"/>
      <c r="P693" s="386"/>
      <c r="Q693" s="386"/>
    </row>
    <row r="694" spans="1:17" s="184" customFormat="1" ht="30" customHeight="1" x14ac:dyDescent="0.2">
      <c r="A694" s="4460"/>
      <c r="B694" s="4475"/>
      <c r="C694" s="4538"/>
      <c r="D694" s="2201">
        <v>80000000</v>
      </c>
      <c r="E694" s="2265">
        <v>0.04</v>
      </c>
      <c r="F694" s="2201">
        <f t="shared" si="75"/>
        <v>3200000</v>
      </c>
      <c r="G694" s="4415"/>
      <c r="H694" s="4415"/>
      <c r="I694" s="4415"/>
      <c r="J694" s="4415"/>
      <c r="K694" s="4604"/>
      <c r="L694" s="2252" t="s">
        <v>3484</v>
      </c>
      <c r="M694" s="386"/>
      <c r="N694" s="386"/>
      <c r="O694" s="386"/>
      <c r="P694" s="386"/>
      <c r="Q694" s="386"/>
    </row>
    <row r="695" spans="1:17" s="184" customFormat="1" ht="30" customHeight="1" x14ac:dyDescent="0.2">
      <c r="A695" s="2269"/>
      <c r="B695" s="3" t="s">
        <v>3480</v>
      </c>
      <c r="C695" s="2266" t="s">
        <v>372</v>
      </c>
      <c r="D695" s="2201">
        <v>85000000</v>
      </c>
      <c r="E695" s="2265">
        <v>7.0000000000000007E-2</v>
      </c>
      <c r="F695" s="2201">
        <f t="shared" si="75"/>
        <v>5950000.0000000009</v>
      </c>
      <c r="G695" s="2201"/>
      <c r="H695" s="2201"/>
      <c r="I695" s="2201" t="s">
        <v>3481</v>
      </c>
      <c r="J695" s="2201">
        <f>G695</f>
        <v>0</v>
      </c>
      <c r="K695" s="2198">
        <f>F695-J695</f>
        <v>5950000.0000000009</v>
      </c>
      <c r="L695" s="2271"/>
      <c r="M695" s="386"/>
      <c r="N695" s="386"/>
      <c r="O695" s="386"/>
      <c r="P695" s="386"/>
      <c r="Q695" s="386"/>
    </row>
    <row r="696" spans="1:17" s="184" customFormat="1" ht="30" customHeight="1" x14ac:dyDescent="0.2">
      <c r="A696" s="2269"/>
      <c r="B696" s="3" t="s">
        <v>3482</v>
      </c>
      <c r="C696" s="2266" t="s">
        <v>3483</v>
      </c>
      <c r="D696" s="2201">
        <v>70000000</v>
      </c>
      <c r="E696" s="2265">
        <v>0.05</v>
      </c>
      <c r="F696" s="2201">
        <f t="shared" si="75"/>
        <v>3500000</v>
      </c>
      <c r="G696" s="2201">
        <v>3500000</v>
      </c>
      <c r="H696" s="2201" t="s">
        <v>4062</v>
      </c>
      <c r="I696" s="2201" t="s">
        <v>4071</v>
      </c>
      <c r="J696" s="2201">
        <f>G696</f>
        <v>3500000</v>
      </c>
      <c r="K696" s="2198">
        <f>F696-J696</f>
        <v>0</v>
      </c>
      <c r="L696" s="2271" t="s">
        <v>3484</v>
      </c>
      <c r="M696" s="386"/>
      <c r="N696" s="386"/>
      <c r="O696" s="386"/>
      <c r="P696" s="386"/>
      <c r="Q696" s="386"/>
    </row>
    <row r="697" spans="1:17" s="184" customFormat="1" ht="30" customHeight="1" x14ac:dyDescent="0.2">
      <c r="A697" s="2269"/>
      <c r="B697" s="3" t="s">
        <v>3980</v>
      </c>
      <c r="C697" s="2266" t="s">
        <v>889</v>
      </c>
      <c r="D697" s="2201">
        <v>20000000</v>
      </c>
      <c r="E697" s="2265">
        <v>0.05</v>
      </c>
      <c r="F697" s="2201">
        <f t="shared" si="75"/>
        <v>1000000</v>
      </c>
      <c r="G697" s="2201">
        <v>1000000</v>
      </c>
      <c r="H697" s="2201" t="s">
        <v>3966</v>
      </c>
      <c r="I697" s="2201" t="s">
        <v>3981</v>
      </c>
      <c r="J697" s="2201">
        <f>G697</f>
        <v>1000000</v>
      </c>
      <c r="K697" s="2198">
        <f>F697-J697</f>
        <v>0</v>
      </c>
      <c r="L697" s="2271" t="s">
        <v>3982</v>
      </c>
      <c r="M697" s="386"/>
      <c r="N697" s="386"/>
      <c r="O697" s="386"/>
      <c r="P697" s="386"/>
      <c r="Q697" s="386"/>
    </row>
    <row r="698" spans="1:17" s="184" customFormat="1" ht="30" customHeight="1" x14ac:dyDescent="0.2">
      <c r="A698" s="2269"/>
      <c r="B698" s="3" t="s">
        <v>2952</v>
      </c>
      <c r="C698" s="2266" t="s">
        <v>402</v>
      </c>
      <c r="D698" s="2201">
        <v>150000000</v>
      </c>
      <c r="E698" s="2265">
        <v>0.06</v>
      </c>
      <c r="F698" s="2201">
        <f t="shared" si="75"/>
        <v>9000000</v>
      </c>
      <c r="G698" s="2201">
        <v>9000000</v>
      </c>
      <c r="H698" s="2201" t="s">
        <v>3806</v>
      </c>
      <c r="I698" s="2201" t="s">
        <v>3964</v>
      </c>
      <c r="J698" s="2201">
        <f>G698</f>
        <v>9000000</v>
      </c>
      <c r="K698" s="2201">
        <f>F698-J698</f>
        <v>0</v>
      </c>
      <c r="L698" s="2271"/>
      <c r="M698" s="386"/>
      <c r="N698" s="386"/>
      <c r="O698" s="386"/>
      <c r="P698" s="386"/>
      <c r="Q698" s="386"/>
    </row>
    <row r="699" spans="1:17" s="9" customFormat="1" ht="30" customHeight="1" x14ac:dyDescent="0.2">
      <c r="A699" s="2278"/>
      <c r="B699" s="2267" t="s">
        <v>153</v>
      </c>
      <c r="C699" s="2266"/>
      <c r="D699" s="2201">
        <v>10000000</v>
      </c>
      <c r="E699" s="2265">
        <v>0.05</v>
      </c>
      <c r="F699" s="2201">
        <f>D699*E699</f>
        <v>500000</v>
      </c>
      <c r="G699" s="2201"/>
      <c r="H699" s="2201"/>
      <c r="I699" s="2201"/>
      <c r="J699" s="2201"/>
      <c r="K699" s="2201"/>
      <c r="L699" s="2271" t="s">
        <v>3545</v>
      </c>
      <c r="M699" s="387"/>
      <c r="N699" s="387"/>
      <c r="O699" s="387"/>
      <c r="P699" s="387"/>
      <c r="Q699" s="387"/>
    </row>
    <row r="700" spans="1:17" s="1660" customFormat="1" ht="30" customHeight="1" x14ac:dyDescent="0.2">
      <c r="A700" s="2278"/>
      <c r="B700" s="2267" t="s">
        <v>3554</v>
      </c>
      <c r="C700" s="2238" t="s">
        <v>372</v>
      </c>
      <c r="D700" s="2201">
        <v>10000000</v>
      </c>
      <c r="E700" s="2265">
        <v>0.05</v>
      </c>
      <c r="F700" s="2201">
        <f>D700*E700</f>
        <v>500000</v>
      </c>
      <c r="G700" s="2213">
        <v>500000</v>
      </c>
      <c r="H700" s="2213" t="s">
        <v>4017</v>
      </c>
      <c r="I700" s="2232" t="s">
        <v>3555</v>
      </c>
      <c r="J700" s="2213">
        <f>G700</f>
        <v>500000</v>
      </c>
      <c r="K700" s="2213">
        <f>F700-J700</f>
        <v>0</v>
      </c>
      <c r="L700" s="2252"/>
      <c r="M700" s="386"/>
      <c r="N700" s="386"/>
      <c r="O700" s="386"/>
      <c r="P700" s="386"/>
      <c r="Q700" s="386"/>
    </row>
    <row r="701" spans="1:17" s="1660" customFormat="1" ht="30" customHeight="1" x14ac:dyDescent="0.2">
      <c r="A701" s="2364"/>
      <c r="B701" s="19" t="s">
        <v>4444</v>
      </c>
      <c r="C701" s="2369" t="s">
        <v>4225</v>
      </c>
      <c r="D701" s="2357">
        <v>100000000</v>
      </c>
      <c r="E701" s="2366">
        <v>0.05</v>
      </c>
      <c r="F701" s="2357">
        <f>D701*E701</f>
        <v>5000000</v>
      </c>
      <c r="G701" s="4303" t="s">
        <v>4445</v>
      </c>
      <c r="H701" s="4324"/>
      <c r="I701" s="4324"/>
      <c r="J701" s="4355"/>
      <c r="K701" s="2357">
        <v>0</v>
      </c>
      <c r="L701" s="387"/>
      <c r="M701" s="386"/>
      <c r="N701" s="386"/>
      <c r="O701" s="386"/>
      <c r="P701" s="386"/>
      <c r="Q701" s="386"/>
    </row>
    <row r="702" spans="1:17" s="1660" customFormat="1" ht="30" customHeight="1" x14ac:dyDescent="0.2">
      <c r="A702" s="2278"/>
      <c r="B702" s="2267" t="s">
        <v>3566</v>
      </c>
      <c r="C702" s="2266"/>
      <c r="D702" s="2201">
        <v>6000000</v>
      </c>
      <c r="E702" s="2265">
        <f>F702/D702</f>
        <v>0.05</v>
      </c>
      <c r="F702" s="2201">
        <v>300000</v>
      </c>
      <c r="G702" s="2201">
        <v>1000000</v>
      </c>
      <c r="H702" s="2201" t="s">
        <v>4076</v>
      </c>
      <c r="I702" s="2201" t="s">
        <v>3567</v>
      </c>
      <c r="J702" s="2201">
        <f>G702</f>
        <v>1000000</v>
      </c>
      <c r="K702" s="2201">
        <f>F702-J702</f>
        <v>-700000</v>
      </c>
      <c r="L702" s="1661" t="s">
        <v>3568</v>
      </c>
      <c r="M702" s="386"/>
      <c r="N702" s="386"/>
      <c r="O702" s="386"/>
      <c r="P702" s="386"/>
      <c r="Q702" s="386"/>
    </row>
    <row r="703" spans="1:17" s="1660" customFormat="1" ht="30" customHeight="1" x14ac:dyDescent="0.2">
      <c r="A703" s="2278"/>
      <c r="B703" s="2267" t="s">
        <v>3590</v>
      </c>
      <c r="C703" s="2266"/>
      <c r="D703" s="2201">
        <v>870000000</v>
      </c>
      <c r="E703" s="2265">
        <v>7.0999999999999994E-2</v>
      </c>
      <c r="F703" s="2201">
        <v>62000000</v>
      </c>
      <c r="G703" s="2201">
        <v>61000000</v>
      </c>
      <c r="H703" s="2201" t="s">
        <v>4076</v>
      </c>
      <c r="I703" s="2201" t="s">
        <v>1610</v>
      </c>
      <c r="J703" s="2201">
        <f>G703</f>
        <v>61000000</v>
      </c>
      <c r="K703" s="2201">
        <f>F703-J703</f>
        <v>1000000</v>
      </c>
      <c r="L703" s="2252" t="s">
        <v>4098</v>
      </c>
      <c r="M703" s="386"/>
      <c r="N703" s="386"/>
      <c r="O703" s="386"/>
      <c r="P703" s="386"/>
      <c r="Q703" s="386"/>
    </row>
    <row r="704" spans="1:17" s="1660" customFormat="1" ht="30" customHeight="1" x14ac:dyDescent="0.2">
      <c r="A704" s="4599"/>
      <c r="B704" s="4457" t="s">
        <v>3597</v>
      </c>
      <c r="C704" s="4537" t="s">
        <v>889</v>
      </c>
      <c r="D704" s="4413">
        <v>200000000</v>
      </c>
      <c r="E704" s="4476">
        <v>0.05</v>
      </c>
      <c r="F704" s="4413">
        <f>D704*E704</f>
        <v>10000000</v>
      </c>
      <c r="G704" s="4413">
        <v>10000000</v>
      </c>
      <c r="H704" s="4413" t="s">
        <v>3923</v>
      </c>
      <c r="I704" s="4413" t="s">
        <v>3598</v>
      </c>
      <c r="J704" s="4413">
        <f>G704</f>
        <v>10000000</v>
      </c>
      <c r="K704" s="4413">
        <f>F704-J704</f>
        <v>0</v>
      </c>
      <c r="L704" s="2252" t="s">
        <v>3847</v>
      </c>
      <c r="M704" s="386"/>
      <c r="N704" s="386"/>
      <c r="O704" s="386"/>
      <c r="P704" s="386"/>
      <c r="Q704" s="386"/>
    </row>
    <row r="705" spans="1:17" s="1660" customFormat="1" ht="30" customHeight="1" x14ac:dyDescent="0.2">
      <c r="A705" s="4607"/>
      <c r="B705" s="4458"/>
      <c r="C705" s="4538"/>
      <c r="D705" s="4415"/>
      <c r="E705" s="4477"/>
      <c r="F705" s="4415"/>
      <c r="G705" s="4415"/>
      <c r="H705" s="4415"/>
      <c r="I705" s="4415"/>
      <c r="J705" s="4415"/>
      <c r="K705" s="4415"/>
      <c r="L705" s="2252" t="s">
        <v>3599</v>
      </c>
      <c r="M705" s="386"/>
      <c r="N705" s="386"/>
      <c r="O705" s="386"/>
      <c r="P705" s="386"/>
      <c r="Q705" s="386"/>
    </row>
    <row r="706" spans="1:17" s="1660" customFormat="1" ht="30" customHeight="1" x14ac:dyDescent="0.2">
      <c r="A706" s="2278"/>
      <c r="B706" s="2267" t="s">
        <v>3612</v>
      </c>
      <c r="C706" s="2266" t="s">
        <v>2278</v>
      </c>
      <c r="D706" s="2201">
        <v>100000000</v>
      </c>
      <c r="E706" s="2265">
        <v>0.05</v>
      </c>
      <c r="F706" s="2201">
        <f>D706*E706</f>
        <v>5000000</v>
      </c>
      <c r="G706" s="2201">
        <v>5000000</v>
      </c>
      <c r="H706" s="2201" t="s">
        <v>4109</v>
      </c>
      <c r="I706" s="2201" t="s">
        <v>4127</v>
      </c>
      <c r="J706" s="2201">
        <f>G706</f>
        <v>5000000</v>
      </c>
      <c r="K706" s="2201">
        <f>F706-J706</f>
        <v>0</v>
      </c>
      <c r="L706" s="2252" t="s">
        <v>3217</v>
      </c>
      <c r="M706" s="386"/>
      <c r="N706" s="386"/>
      <c r="O706" s="386"/>
      <c r="P706" s="386"/>
      <c r="Q706" s="386"/>
    </row>
    <row r="707" spans="1:17" s="1660" customFormat="1" ht="30" customHeight="1" x14ac:dyDescent="0.2">
      <c r="A707" s="2278"/>
      <c r="B707" s="2267" t="s">
        <v>4057</v>
      </c>
      <c r="C707" s="2266" t="s">
        <v>2278</v>
      </c>
      <c r="D707" s="2201">
        <v>130000000</v>
      </c>
      <c r="E707" s="2265">
        <v>0.05</v>
      </c>
      <c r="F707" s="2201">
        <f>D707*E707</f>
        <v>6500000</v>
      </c>
      <c r="G707" s="2201">
        <v>6500000</v>
      </c>
      <c r="H707" s="2201" t="s">
        <v>4109</v>
      </c>
      <c r="I707" s="2201" t="s">
        <v>3776</v>
      </c>
      <c r="J707" s="2201">
        <f>G707</f>
        <v>6500000</v>
      </c>
      <c r="K707" s="2201">
        <f>F707-J707</f>
        <v>0</v>
      </c>
      <c r="L707" s="2252" t="s">
        <v>3217</v>
      </c>
      <c r="M707" s="386"/>
      <c r="N707" s="386"/>
      <c r="O707" s="386"/>
      <c r="P707" s="386"/>
      <c r="Q707" s="386"/>
    </row>
    <row r="708" spans="1:17" s="1660" customFormat="1" ht="30" customHeight="1" x14ac:dyDescent="0.2">
      <c r="A708" s="4599"/>
      <c r="B708" s="4457" t="s">
        <v>3674</v>
      </c>
      <c r="C708" s="4537"/>
      <c r="D708" s="2201">
        <v>1140000000</v>
      </c>
      <c r="E708" s="2265">
        <v>7.0000000000000007E-2</v>
      </c>
      <c r="F708" s="2201">
        <f>D708*E708</f>
        <v>79800000.000000015</v>
      </c>
      <c r="G708" s="2201">
        <v>50000000</v>
      </c>
      <c r="H708" s="2201" t="s">
        <v>4146</v>
      </c>
      <c r="I708" s="2201" t="s">
        <v>1613</v>
      </c>
      <c r="J708" s="4413">
        <f>G708+G709</f>
        <v>91000000</v>
      </c>
      <c r="K708" s="4413">
        <f>F709-J708</f>
        <v>0</v>
      </c>
      <c r="L708" s="2252" t="s">
        <v>3919</v>
      </c>
      <c r="M708" s="386"/>
      <c r="N708" s="386"/>
      <c r="O708" s="386"/>
      <c r="P708" s="386"/>
      <c r="Q708" s="386"/>
    </row>
    <row r="709" spans="1:17" s="1660" customFormat="1" ht="30" customHeight="1" x14ac:dyDescent="0.2">
      <c r="A709" s="4607"/>
      <c r="B709" s="4458"/>
      <c r="C709" s="4538"/>
      <c r="D709" s="2200">
        <v>1300000000</v>
      </c>
      <c r="E709" s="436">
        <v>7.0000000000000007E-2</v>
      </c>
      <c r="F709" s="2200">
        <f>D709*E709</f>
        <v>91000000.000000015</v>
      </c>
      <c r="G709" s="2201">
        <v>41000000</v>
      </c>
      <c r="H709" s="2201" t="s">
        <v>4166</v>
      </c>
      <c r="I709" s="2201" t="s">
        <v>1613</v>
      </c>
      <c r="J709" s="4415"/>
      <c r="K709" s="4415"/>
      <c r="L709" s="2252" t="s">
        <v>3709</v>
      </c>
      <c r="M709" s="386"/>
      <c r="N709" s="386"/>
      <c r="O709" s="386"/>
      <c r="P709" s="386"/>
      <c r="Q709" s="386"/>
    </row>
    <row r="710" spans="1:17" s="1660" customFormat="1" ht="30" customHeight="1" x14ac:dyDescent="0.2">
      <c r="A710" s="2278"/>
      <c r="B710" s="2267" t="s">
        <v>3707</v>
      </c>
      <c r="C710" s="2266" t="s">
        <v>3390</v>
      </c>
      <c r="D710" s="2201">
        <v>10000000</v>
      </c>
      <c r="E710" s="2265">
        <v>0.05</v>
      </c>
      <c r="F710" s="2201">
        <f>D710*E710</f>
        <v>500000</v>
      </c>
      <c r="G710" s="2201">
        <v>500000</v>
      </c>
      <c r="H710" s="2201" t="s">
        <v>4146</v>
      </c>
      <c r="I710" s="2201" t="s">
        <v>4156</v>
      </c>
      <c r="J710" s="2201">
        <f>G710</f>
        <v>500000</v>
      </c>
      <c r="K710" s="2201">
        <f>F710-J710</f>
        <v>0</v>
      </c>
      <c r="L710" s="2252" t="s">
        <v>3708</v>
      </c>
      <c r="M710" s="386"/>
      <c r="N710" s="386"/>
      <c r="O710" s="386"/>
      <c r="P710" s="386"/>
      <c r="Q710" s="386"/>
    </row>
    <row r="711" spans="1:17" s="1660" customFormat="1" ht="30" customHeight="1" x14ac:dyDescent="0.2">
      <c r="A711" s="2278"/>
      <c r="B711" s="2267" t="s">
        <v>3710</v>
      </c>
      <c r="C711" s="2266" t="s">
        <v>1652</v>
      </c>
      <c r="D711" s="2201">
        <v>58000000</v>
      </c>
      <c r="E711" s="2265"/>
      <c r="F711" s="2201"/>
      <c r="G711" s="2201"/>
      <c r="H711" s="2201"/>
      <c r="I711" s="2201"/>
      <c r="J711" s="2201"/>
      <c r="K711" s="2201"/>
      <c r="L711" s="2252" t="s">
        <v>3711</v>
      </c>
      <c r="M711" s="386"/>
      <c r="N711" s="386"/>
      <c r="O711" s="386"/>
      <c r="P711" s="386"/>
      <c r="Q711" s="386"/>
    </row>
    <row r="712" spans="1:17" s="1660" customFormat="1" ht="30" customHeight="1" x14ac:dyDescent="0.2">
      <c r="A712" s="2278"/>
      <c r="B712" s="2267" t="s">
        <v>3742</v>
      </c>
      <c r="C712" s="2266" t="s">
        <v>1300</v>
      </c>
      <c r="D712" s="2201">
        <v>100000000</v>
      </c>
      <c r="E712" s="2265">
        <v>0.05</v>
      </c>
      <c r="F712" s="2201">
        <f>D712*E712</f>
        <v>5000000</v>
      </c>
      <c r="G712" s="2201">
        <v>5000000</v>
      </c>
      <c r="H712" s="2201" t="s">
        <v>3078</v>
      </c>
      <c r="I712" s="2201" t="s">
        <v>4054</v>
      </c>
      <c r="J712" s="2201">
        <f>G712</f>
        <v>5000000</v>
      </c>
      <c r="K712" s="2201">
        <f>F712-J712</f>
        <v>0</v>
      </c>
      <c r="L712" s="2252" t="s">
        <v>4056</v>
      </c>
      <c r="M712" s="386"/>
      <c r="N712" s="386"/>
      <c r="O712" s="386"/>
      <c r="P712" s="386"/>
      <c r="Q712" s="386"/>
    </row>
    <row r="713" spans="1:17" s="1660" customFormat="1" ht="30" customHeight="1" x14ac:dyDescent="0.2">
      <c r="A713" s="2278"/>
      <c r="B713" s="2267" t="s">
        <v>3743</v>
      </c>
      <c r="C713" s="2238"/>
      <c r="D713" s="2213">
        <v>96000000</v>
      </c>
      <c r="E713" s="2210">
        <v>0.05</v>
      </c>
      <c r="F713" s="2213">
        <v>5000000</v>
      </c>
      <c r="G713" s="2201">
        <v>5000000</v>
      </c>
      <c r="H713" s="2201" t="s">
        <v>3078</v>
      </c>
      <c r="I713" s="2201" t="s">
        <v>4055</v>
      </c>
      <c r="J713" s="2201">
        <f>G713</f>
        <v>5000000</v>
      </c>
      <c r="K713" s="2201">
        <f>F713-J713</f>
        <v>0</v>
      </c>
      <c r="L713" s="2252" t="s">
        <v>4056</v>
      </c>
      <c r="M713" s="386"/>
      <c r="N713" s="386"/>
      <c r="O713" s="386"/>
      <c r="P713" s="386"/>
      <c r="Q713" s="386"/>
    </row>
    <row r="714" spans="1:17" s="1660" customFormat="1" ht="30" customHeight="1" x14ac:dyDescent="0.2">
      <c r="A714" s="2278"/>
      <c r="B714" s="2267" t="s">
        <v>3869</v>
      </c>
      <c r="C714" s="2266" t="s">
        <v>3219</v>
      </c>
      <c r="D714" s="2213">
        <v>100000000</v>
      </c>
      <c r="E714" s="2210">
        <v>0.06</v>
      </c>
      <c r="F714" s="2213">
        <f>D714*E714</f>
        <v>6000000</v>
      </c>
      <c r="G714" s="2213"/>
      <c r="H714" s="2213"/>
      <c r="I714" s="2232"/>
      <c r="J714" s="2213"/>
      <c r="K714" s="2213"/>
      <c r="L714" s="2252" t="s">
        <v>3872</v>
      </c>
      <c r="M714" s="386"/>
      <c r="N714" s="386"/>
      <c r="O714" s="386"/>
      <c r="P714" s="386"/>
      <c r="Q714" s="386"/>
    </row>
    <row r="715" spans="1:17" s="1660" customFormat="1" ht="30" customHeight="1" x14ac:dyDescent="0.2">
      <c r="A715" s="2278"/>
      <c r="B715" s="2267" t="s">
        <v>3871</v>
      </c>
      <c r="C715" s="2266" t="s">
        <v>3390</v>
      </c>
      <c r="D715" s="2201">
        <v>50000000</v>
      </c>
      <c r="E715" s="2210">
        <v>0.05</v>
      </c>
      <c r="F715" s="2213">
        <f>D715*E715</f>
        <v>2500000</v>
      </c>
      <c r="G715" s="2213"/>
      <c r="H715" s="2213"/>
      <c r="I715" s="2232"/>
      <c r="J715" s="2213"/>
      <c r="K715" s="2213"/>
      <c r="L715" s="2252"/>
      <c r="M715" s="386"/>
      <c r="N715" s="386"/>
      <c r="O715" s="386"/>
      <c r="P715" s="386"/>
      <c r="Q715" s="386"/>
    </row>
    <row r="716" spans="1:17" s="1660" customFormat="1" ht="30" customHeight="1" x14ac:dyDescent="0.2">
      <c r="A716" s="2278"/>
      <c r="B716" s="2267" t="s">
        <v>3890</v>
      </c>
      <c r="C716" s="2266"/>
      <c r="D716" s="2229"/>
      <c r="E716" s="2229"/>
      <c r="F716" s="2229"/>
      <c r="G716" s="2213"/>
      <c r="H716" s="2213"/>
      <c r="I716" s="2232" t="s">
        <v>3891</v>
      </c>
      <c r="J716" s="2213">
        <f>G716</f>
        <v>0</v>
      </c>
      <c r="K716" s="2213">
        <f>F716-J716</f>
        <v>0</v>
      </c>
      <c r="L716" s="2252"/>
      <c r="M716" s="386"/>
      <c r="N716" s="386"/>
      <c r="O716" s="386"/>
      <c r="P716" s="386"/>
      <c r="Q716" s="386"/>
    </row>
    <row r="717" spans="1:17" s="1660" customFormat="1" ht="30" customHeight="1" x14ac:dyDescent="0.2">
      <c r="A717" s="4599"/>
      <c r="B717" s="4457" t="s">
        <v>3895</v>
      </c>
      <c r="C717" s="2266" t="s">
        <v>4107</v>
      </c>
      <c r="D717" s="2201">
        <v>120000000</v>
      </c>
      <c r="E717" s="2210">
        <v>0.05</v>
      </c>
      <c r="F717" s="2213">
        <f>D717*E717</f>
        <v>6000000</v>
      </c>
      <c r="G717" s="233"/>
      <c r="H717" s="233"/>
      <c r="I717" s="233"/>
      <c r="J717" s="233"/>
      <c r="K717" s="2213"/>
      <c r="L717" s="2252" t="s">
        <v>3897</v>
      </c>
      <c r="M717" s="386"/>
      <c r="N717" s="386"/>
      <c r="O717" s="386"/>
      <c r="P717" s="386"/>
      <c r="Q717" s="386"/>
    </row>
    <row r="718" spans="1:17" s="1660" customFormat="1" ht="30" customHeight="1" x14ac:dyDescent="0.2">
      <c r="A718" s="4607"/>
      <c r="B718" s="4458"/>
      <c r="C718" s="2238"/>
      <c r="D718" s="2213">
        <v>50000000</v>
      </c>
      <c r="E718" s="2210">
        <v>7.0000000000000007E-2</v>
      </c>
      <c r="F718" s="2213">
        <f>D718*E718</f>
        <v>3500000.0000000005</v>
      </c>
      <c r="G718" s="7"/>
      <c r="H718" s="7"/>
      <c r="I718" s="1967"/>
      <c r="J718" s="7"/>
      <c r="K718" s="2213"/>
      <c r="L718" s="2024" t="s">
        <v>4217</v>
      </c>
      <c r="M718" s="386"/>
      <c r="N718" s="386"/>
      <c r="O718" s="386"/>
      <c r="P718" s="386"/>
      <c r="Q718" s="386"/>
    </row>
    <row r="719" spans="1:17" s="1660" customFormat="1" ht="30" customHeight="1" x14ac:dyDescent="0.2">
      <c r="A719" s="2278"/>
      <c r="B719" s="2296" t="s">
        <v>3931</v>
      </c>
      <c r="C719" s="2238"/>
      <c r="D719" s="2226"/>
      <c r="E719" s="2228"/>
      <c r="F719" s="2226"/>
      <c r="G719" s="2213">
        <v>1105000</v>
      </c>
      <c r="H719" s="2213" t="s">
        <v>3932</v>
      </c>
      <c r="I719" s="2232" t="s">
        <v>3933</v>
      </c>
      <c r="J719" s="2213">
        <f>G719</f>
        <v>1105000</v>
      </c>
      <c r="K719" s="2213"/>
      <c r="L719" s="2252"/>
      <c r="M719" s="386"/>
      <c r="N719" s="386"/>
      <c r="O719" s="386"/>
      <c r="P719" s="386"/>
      <c r="Q719" s="386"/>
    </row>
    <row r="720" spans="1:17" s="1660" customFormat="1" ht="30" customHeight="1" x14ac:dyDescent="0.2">
      <c r="A720" s="2278"/>
      <c r="B720" s="2296" t="s">
        <v>3935</v>
      </c>
      <c r="C720" s="2238"/>
      <c r="D720" s="2226"/>
      <c r="E720" s="2228"/>
      <c r="F720" s="2226"/>
      <c r="G720" s="2213">
        <v>1100000</v>
      </c>
      <c r="H720" s="2213" t="s">
        <v>1215</v>
      </c>
      <c r="I720" s="2232" t="s">
        <v>3936</v>
      </c>
      <c r="J720" s="2213">
        <f>G720</f>
        <v>1100000</v>
      </c>
      <c r="K720" s="2213"/>
      <c r="L720" s="2252"/>
      <c r="M720" s="386"/>
      <c r="N720" s="386"/>
      <c r="O720" s="386"/>
      <c r="P720" s="386"/>
      <c r="Q720" s="386"/>
    </row>
    <row r="721" spans="1:17" s="1660" customFormat="1" ht="30" customHeight="1" x14ac:dyDescent="0.2">
      <c r="A721" s="2278"/>
      <c r="B721" s="2267" t="s">
        <v>3957</v>
      </c>
      <c r="C721" s="2238"/>
      <c r="D721" s="2213">
        <v>50000000</v>
      </c>
      <c r="E721" s="2210">
        <v>0.05</v>
      </c>
      <c r="F721" s="2213">
        <f>D721*E721</f>
        <v>2500000</v>
      </c>
      <c r="G721" s="2213">
        <v>2500000</v>
      </c>
      <c r="H721" s="2213" t="s">
        <v>4109</v>
      </c>
      <c r="I721" s="2232" t="s">
        <v>4123</v>
      </c>
      <c r="J721" s="2213">
        <f>G721</f>
        <v>2500000</v>
      </c>
      <c r="K721" s="2213"/>
      <c r="L721" s="2252"/>
      <c r="M721" s="386"/>
      <c r="N721" s="386"/>
      <c r="O721" s="386"/>
      <c r="P721" s="386"/>
      <c r="Q721" s="386"/>
    </row>
    <row r="722" spans="1:17" s="1660" customFormat="1" ht="30" customHeight="1" x14ac:dyDescent="0.2">
      <c r="A722" s="2278"/>
      <c r="B722" s="2267" t="s">
        <v>3962</v>
      </c>
      <c r="C722" s="2238"/>
      <c r="D722" s="2213">
        <f>25000000+10000000+10000000+250000+2500000+1500000+500000</f>
        <v>49750000</v>
      </c>
      <c r="E722" s="2210"/>
      <c r="F722" s="2213"/>
      <c r="G722" s="2213"/>
      <c r="H722" s="2213"/>
      <c r="I722" s="2232"/>
      <c r="J722" s="2213"/>
      <c r="K722" s="2213"/>
      <c r="L722" s="2252" t="s">
        <v>3963</v>
      </c>
      <c r="M722" s="386"/>
      <c r="N722" s="386"/>
      <c r="O722" s="386"/>
      <c r="P722" s="386"/>
      <c r="Q722" s="386"/>
    </row>
    <row r="723" spans="1:17" s="1660" customFormat="1" ht="30" customHeight="1" x14ac:dyDescent="0.2">
      <c r="A723" s="2278"/>
      <c r="B723" s="2267" t="s">
        <v>3965</v>
      </c>
      <c r="C723" s="2238" t="s">
        <v>1652</v>
      </c>
      <c r="D723" s="2213">
        <v>58000000</v>
      </c>
      <c r="E723" s="2210">
        <v>0.05</v>
      </c>
      <c r="F723" s="2213">
        <f>D723*E723</f>
        <v>2900000</v>
      </c>
      <c r="G723" s="2213">
        <v>2900000</v>
      </c>
      <c r="H723" s="2213" t="s">
        <v>3994</v>
      </c>
      <c r="I723" s="2232" t="s">
        <v>3997</v>
      </c>
      <c r="J723" s="2213">
        <f>G723</f>
        <v>2900000</v>
      </c>
      <c r="K723" s="2213">
        <f>F723-J723</f>
        <v>0</v>
      </c>
      <c r="L723" s="2252"/>
      <c r="M723" s="386"/>
      <c r="N723" s="386"/>
      <c r="O723" s="386"/>
      <c r="P723" s="386"/>
      <c r="Q723" s="386"/>
    </row>
    <row r="724" spans="1:17" s="1660" customFormat="1" ht="30" customHeight="1" x14ac:dyDescent="0.2">
      <c r="A724" s="2278"/>
      <c r="B724" s="2267" t="s">
        <v>896</v>
      </c>
      <c r="C724" s="2238"/>
      <c r="D724" s="2213">
        <v>130000000</v>
      </c>
      <c r="E724" s="2210">
        <v>0.05</v>
      </c>
      <c r="F724" s="2213">
        <f>D724*E724</f>
        <v>6500000</v>
      </c>
      <c r="G724" s="2213">
        <v>6500000</v>
      </c>
      <c r="H724" s="2213" t="s">
        <v>3966</v>
      </c>
      <c r="I724" s="2232" t="s">
        <v>3988</v>
      </c>
      <c r="J724" s="2213">
        <f>G724</f>
        <v>6500000</v>
      </c>
      <c r="K724" s="2213">
        <f>F724-J724</f>
        <v>0</v>
      </c>
      <c r="L724" s="2252"/>
      <c r="M724" s="386"/>
      <c r="N724" s="386"/>
      <c r="O724" s="386"/>
      <c r="P724" s="386"/>
      <c r="Q724" s="386"/>
    </row>
    <row r="725" spans="1:17" s="1660" customFormat="1" ht="30" customHeight="1" x14ac:dyDescent="0.2">
      <c r="A725" s="2278"/>
      <c r="B725" s="2267" t="s">
        <v>2305</v>
      </c>
      <c r="C725" s="2238"/>
      <c r="D725" s="2226"/>
      <c r="E725" s="2228"/>
      <c r="F725" s="2226"/>
      <c r="G725" s="2213">
        <v>5000000</v>
      </c>
      <c r="H725" s="2213" t="s">
        <v>3966</v>
      </c>
      <c r="I725" s="2232" t="s">
        <v>3995</v>
      </c>
      <c r="J725" s="2213">
        <f>G725</f>
        <v>5000000</v>
      </c>
      <c r="K725" s="2213"/>
      <c r="L725" s="2252"/>
      <c r="M725" s="386"/>
      <c r="N725" s="386"/>
      <c r="O725" s="386"/>
      <c r="P725" s="386"/>
      <c r="Q725" s="386"/>
    </row>
    <row r="726" spans="1:17" s="1660" customFormat="1" ht="30" customHeight="1" x14ac:dyDescent="0.2">
      <c r="A726" s="2278"/>
      <c r="B726" s="2267" t="s">
        <v>4015</v>
      </c>
      <c r="C726" s="2238"/>
      <c r="D726" s="2226"/>
      <c r="E726" s="2228"/>
      <c r="F726" s="2226"/>
      <c r="G726" s="4469" t="s">
        <v>4016</v>
      </c>
      <c r="H726" s="4470"/>
      <c r="I726" s="4470"/>
      <c r="J726" s="4471"/>
      <c r="K726" s="2213"/>
      <c r="L726" s="2252"/>
      <c r="M726" s="386"/>
      <c r="N726" s="386"/>
      <c r="O726" s="386"/>
      <c r="P726" s="386"/>
      <c r="Q726" s="386"/>
    </row>
    <row r="727" spans="1:17" s="1660" customFormat="1" ht="30" customHeight="1" x14ac:dyDescent="0.2">
      <c r="A727" s="2278"/>
      <c r="B727" s="2267" t="s">
        <v>4026</v>
      </c>
      <c r="C727" s="2238"/>
      <c r="D727" s="2213">
        <v>110000000</v>
      </c>
      <c r="E727" s="2210">
        <v>0.04</v>
      </c>
      <c r="F727" s="2213">
        <f>D727*E727</f>
        <v>4400000</v>
      </c>
      <c r="G727" s="2213">
        <v>4400000</v>
      </c>
      <c r="H727" s="2213" t="s">
        <v>4017</v>
      </c>
      <c r="I727" s="2232" t="s">
        <v>3469</v>
      </c>
      <c r="J727" s="2213">
        <f>G727</f>
        <v>4400000</v>
      </c>
      <c r="K727" s="2213">
        <f>F727-J727</f>
        <v>0</v>
      </c>
      <c r="L727" s="2252" t="s">
        <v>4027</v>
      </c>
      <c r="M727" s="386"/>
      <c r="N727" s="386"/>
      <c r="O727" s="386"/>
      <c r="P727" s="386"/>
      <c r="Q727" s="386"/>
    </row>
    <row r="728" spans="1:17" s="1660" customFormat="1" ht="30" customHeight="1" x14ac:dyDescent="0.2">
      <c r="A728" s="2278"/>
      <c r="B728" s="2267" t="s">
        <v>1455</v>
      </c>
      <c r="C728" s="2238"/>
      <c r="D728" s="2213">
        <v>50000000</v>
      </c>
      <c r="E728" s="2210">
        <v>0.05</v>
      </c>
      <c r="F728" s="2213">
        <f>D728*E728</f>
        <v>2500000</v>
      </c>
      <c r="G728" s="4469" t="s">
        <v>4034</v>
      </c>
      <c r="H728" s="4470"/>
      <c r="I728" s="4470"/>
      <c r="J728" s="4471"/>
      <c r="K728" s="2213"/>
      <c r="L728" s="2252"/>
      <c r="M728" s="386"/>
      <c r="N728" s="386"/>
      <c r="O728" s="386"/>
      <c r="P728" s="386"/>
      <c r="Q728" s="386"/>
    </row>
    <row r="729" spans="1:17" s="1660" customFormat="1" ht="30" customHeight="1" x14ac:dyDescent="0.2">
      <c r="A729" s="4599"/>
      <c r="B729" s="4457" t="s">
        <v>4039</v>
      </c>
      <c r="C729" s="4537"/>
      <c r="D729" s="4303" t="s">
        <v>4352</v>
      </c>
      <c r="E729" s="4324"/>
      <c r="F729" s="4355"/>
      <c r="G729" s="2201">
        <v>14000000</v>
      </c>
      <c r="H729" s="2201" t="s">
        <v>4038</v>
      </c>
      <c r="I729" s="2201" t="s">
        <v>4040</v>
      </c>
      <c r="J729" s="2201">
        <f>G729</f>
        <v>14000000</v>
      </c>
      <c r="K729" s="2213"/>
      <c r="L729" s="2252"/>
      <c r="M729" s="386"/>
      <c r="N729" s="386"/>
      <c r="O729" s="386"/>
      <c r="P729" s="386"/>
      <c r="Q729" s="386"/>
    </row>
    <row r="730" spans="1:17" s="1660" customFormat="1" ht="30" customHeight="1" x14ac:dyDescent="0.2">
      <c r="A730" s="4607"/>
      <c r="B730" s="4488"/>
      <c r="C730" s="4540"/>
      <c r="D730" s="2225">
        <v>21000000</v>
      </c>
      <c r="E730" s="2225"/>
      <c r="F730" s="2225"/>
      <c r="G730" s="2235"/>
      <c r="H730" s="2235"/>
      <c r="I730" s="2034"/>
      <c r="J730" s="2225"/>
      <c r="K730" s="2235"/>
      <c r="L730" s="2025" t="s">
        <v>4221</v>
      </c>
      <c r="M730" s="386"/>
      <c r="N730" s="386"/>
      <c r="O730" s="386"/>
      <c r="P730" s="386"/>
      <c r="Q730" s="386"/>
    </row>
    <row r="731" spans="1:17" s="1660" customFormat="1" ht="30" customHeight="1" x14ac:dyDescent="0.2">
      <c r="A731" s="2258"/>
      <c r="B731" s="2267" t="s">
        <v>4228</v>
      </c>
      <c r="C731" s="2266" t="s">
        <v>4107</v>
      </c>
      <c r="D731" s="2201">
        <v>470000000</v>
      </c>
      <c r="E731" s="2265">
        <f>F731/D731</f>
        <v>5.9574468085106386E-2</v>
      </c>
      <c r="F731" s="2201">
        <v>28000000</v>
      </c>
      <c r="G731" s="4303" t="s">
        <v>4353</v>
      </c>
      <c r="H731" s="4324"/>
      <c r="I731" s="4324"/>
      <c r="J731" s="4355"/>
      <c r="K731" s="2201"/>
      <c r="L731" s="2271" t="s">
        <v>4229</v>
      </c>
      <c r="M731" s="386"/>
      <c r="N731" s="386"/>
      <c r="O731" s="386"/>
      <c r="P731" s="386"/>
      <c r="Q731" s="386"/>
    </row>
    <row r="732" spans="1:17" s="1660" customFormat="1" ht="30" customHeight="1" x14ac:dyDescent="0.2">
      <c r="A732" s="4599"/>
      <c r="B732" s="4457" t="s">
        <v>4046</v>
      </c>
      <c r="C732" s="4537"/>
      <c r="D732" s="4325" t="s">
        <v>4352</v>
      </c>
      <c r="E732" s="4326"/>
      <c r="F732" s="4563"/>
      <c r="G732" s="2213">
        <v>50000000</v>
      </c>
      <c r="H732" s="2213" t="s">
        <v>4045</v>
      </c>
      <c r="I732" s="2232" t="s">
        <v>4047</v>
      </c>
      <c r="J732" s="4413">
        <f>G732+G733</f>
        <v>87000000</v>
      </c>
      <c r="K732" s="4413">
        <f>87000000-J732</f>
        <v>0</v>
      </c>
      <c r="L732" s="4603"/>
      <c r="M732" s="386"/>
      <c r="N732" s="386"/>
      <c r="O732" s="386"/>
      <c r="P732" s="386"/>
      <c r="Q732" s="386"/>
    </row>
    <row r="733" spans="1:17" s="1660" customFormat="1" ht="30" customHeight="1" x14ac:dyDescent="0.2">
      <c r="A733" s="4607"/>
      <c r="B733" s="4458"/>
      <c r="C733" s="4538"/>
      <c r="D733" s="4564"/>
      <c r="E733" s="4596"/>
      <c r="F733" s="4565"/>
      <c r="G733" s="2213">
        <v>37000000</v>
      </c>
      <c r="H733" s="2213" t="s">
        <v>4062</v>
      </c>
      <c r="I733" s="2232" t="s">
        <v>4047</v>
      </c>
      <c r="J733" s="4415"/>
      <c r="K733" s="4415"/>
      <c r="L733" s="4604"/>
      <c r="M733" s="386"/>
      <c r="N733" s="386"/>
      <c r="O733" s="386"/>
      <c r="P733" s="386"/>
      <c r="Q733" s="386"/>
    </row>
    <row r="734" spans="1:17" s="1660" customFormat="1" ht="30" customHeight="1" x14ac:dyDescent="0.2">
      <c r="A734" s="4599"/>
      <c r="B734" s="4457" t="s">
        <v>4048</v>
      </c>
      <c r="C734" s="4537" t="s">
        <v>2644</v>
      </c>
      <c r="D734" s="4303" t="s">
        <v>4352</v>
      </c>
      <c r="E734" s="4324"/>
      <c r="F734" s="4355"/>
      <c r="G734" s="2213">
        <v>3000000</v>
      </c>
      <c r="H734" s="2213" t="s">
        <v>4045</v>
      </c>
      <c r="I734" s="2232" t="s">
        <v>4049</v>
      </c>
      <c r="J734" s="2213">
        <f>G734</f>
        <v>3000000</v>
      </c>
      <c r="K734" s="2213"/>
      <c r="L734" s="2252" t="s">
        <v>4222</v>
      </c>
      <c r="M734" s="386"/>
      <c r="N734" s="386"/>
      <c r="O734" s="386"/>
      <c r="P734" s="386"/>
      <c r="Q734" s="386"/>
    </row>
    <row r="735" spans="1:17" s="1660" customFormat="1" ht="30" customHeight="1" x14ac:dyDescent="0.2">
      <c r="A735" s="4600"/>
      <c r="B735" s="4488"/>
      <c r="C735" s="4538"/>
      <c r="D735" s="2201">
        <v>47000000</v>
      </c>
      <c r="E735" s="2585">
        <v>0.05</v>
      </c>
      <c r="F735" s="2201">
        <f>D735*E735</f>
        <v>2350000</v>
      </c>
      <c r="G735" s="2213"/>
      <c r="H735" s="2213"/>
      <c r="I735" s="2232"/>
      <c r="J735" s="2213"/>
      <c r="K735" s="2213"/>
      <c r="L735" s="2252" t="s">
        <v>4050</v>
      </c>
      <c r="M735" s="386"/>
      <c r="N735" s="386"/>
      <c r="O735" s="386"/>
      <c r="P735" s="386"/>
      <c r="Q735" s="386"/>
    </row>
    <row r="736" spans="1:17" s="1660" customFormat="1" ht="30" customHeight="1" x14ac:dyDescent="0.2">
      <c r="A736" s="4607"/>
      <c r="B736" s="4458"/>
      <c r="C736" s="2582" t="s">
        <v>990</v>
      </c>
      <c r="D736" s="2583">
        <v>90000000</v>
      </c>
      <c r="E736" s="2585">
        <v>0.05</v>
      </c>
      <c r="F736" s="2584">
        <f>D736*E736</f>
        <v>4500000</v>
      </c>
      <c r="G736" s="2580"/>
      <c r="H736" s="2580"/>
      <c r="I736" s="2583"/>
      <c r="J736" s="2580"/>
      <c r="K736" s="2580"/>
      <c r="L736" s="2587" t="s">
        <v>4634</v>
      </c>
      <c r="M736" s="386"/>
      <c r="N736" s="386"/>
      <c r="O736" s="386"/>
      <c r="P736" s="386"/>
      <c r="Q736" s="386"/>
    </row>
    <row r="737" spans="1:17" s="1660" customFormat="1" ht="30" customHeight="1" x14ac:dyDescent="0.2">
      <c r="A737" s="2278"/>
      <c r="B737" s="2267" t="s">
        <v>4081</v>
      </c>
      <c r="C737" s="2238" t="s">
        <v>1287</v>
      </c>
      <c r="D737" s="2232">
        <v>100000000</v>
      </c>
      <c r="E737" s="2265">
        <v>0.05</v>
      </c>
      <c r="F737" s="2233">
        <f>D737*E737</f>
        <v>5000000</v>
      </c>
      <c r="G737" s="2213">
        <v>5000000</v>
      </c>
      <c r="H737" s="2213" t="s">
        <v>4076</v>
      </c>
      <c r="I737" s="2232" t="s">
        <v>4082</v>
      </c>
      <c r="J737" s="2213">
        <f>G737</f>
        <v>5000000</v>
      </c>
      <c r="K737" s="2213">
        <f>F737-J737</f>
        <v>0</v>
      </c>
      <c r="L737" s="2252"/>
      <c r="M737" s="386"/>
      <c r="N737" s="386"/>
      <c r="O737" s="386"/>
      <c r="P737" s="386"/>
      <c r="Q737" s="386"/>
    </row>
    <row r="738" spans="1:17" s="1660" customFormat="1" ht="30" customHeight="1" x14ac:dyDescent="0.2">
      <c r="A738" s="2278"/>
      <c r="B738" s="2267" t="s">
        <v>4085</v>
      </c>
      <c r="C738" s="2238"/>
      <c r="D738" s="453"/>
      <c r="E738" s="2228"/>
      <c r="F738" s="598"/>
      <c r="G738" s="2213">
        <v>2000000</v>
      </c>
      <c r="H738" s="2213" t="s">
        <v>4076</v>
      </c>
      <c r="I738" s="938">
        <v>5423044873</v>
      </c>
      <c r="J738" s="2213">
        <f>G738</f>
        <v>2000000</v>
      </c>
      <c r="K738" s="2226"/>
      <c r="L738" s="2252"/>
      <c r="M738" s="386"/>
      <c r="N738" s="386"/>
      <c r="O738" s="386"/>
      <c r="P738" s="386"/>
      <c r="Q738" s="386"/>
    </row>
    <row r="739" spans="1:17" s="1660" customFormat="1" ht="30" customHeight="1" x14ac:dyDescent="0.2">
      <c r="A739" s="2278"/>
      <c r="B739" s="2267" t="s">
        <v>4087</v>
      </c>
      <c r="C739" s="2238"/>
      <c r="D739" s="453"/>
      <c r="E739" s="2228"/>
      <c r="F739" s="598"/>
      <c r="G739" s="2213">
        <v>1100000</v>
      </c>
      <c r="H739" s="2213" t="s">
        <v>3025</v>
      </c>
      <c r="I739" s="2232" t="s">
        <v>4088</v>
      </c>
      <c r="J739" s="2213">
        <f>G739</f>
        <v>1100000</v>
      </c>
      <c r="K739" s="2226"/>
      <c r="L739" s="2252"/>
      <c r="M739" s="386"/>
      <c r="N739" s="386"/>
      <c r="O739" s="386"/>
      <c r="P739" s="386"/>
      <c r="Q739" s="386"/>
    </row>
    <row r="740" spans="1:17" s="1660" customFormat="1" ht="30" customHeight="1" x14ac:dyDescent="0.2">
      <c r="A740" s="2278"/>
      <c r="B740" s="2267" t="s">
        <v>4102</v>
      </c>
      <c r="C740" s="2238" t="s">
        <v>1796</v>
      </c>
      <c r="D740" s="2232">
        <v>11000000</v>
      </c>
      <c r="E740" s="2210">
        <v>0.05</v>
      </c>
      <c r="F740" s="2233">
        <f>D740*E740</f>
        <v>550000</v>
      </c>
      <c r="G740" s="2213"/>
      <c r="H740" s="2213"/>
      <c r="I740" s="2232"/>
      <c r="J740" s="2213"/>
      <c r="K740" s="2213"/>
      <c r="L740" s="2252"/>
      <c r="M740" s="386"/>
      <c r="N740" s="386"/>
      <c r="O740" s="386"/>
      <c r="P740" s="386"/>
      <c r="Q740" s="386"/>
    </row>
    <row r="741" spans="1:17" s="1660" customFormat="1" ht="30" customHeight="1" x14ac:dyDescent="0.2">
      <c r="A741" s="2278"/>
      <c r="B741" s="2267" t="s">
        <v>4116</v>
      </c>
      <c r="C741" s="2238" t="s">
        <v>1172</v>
      </c>
      <c r="D741" s="2232">
        <v>50000000</v>
      </c>
      <c r="E741" s="2210">
        <v>0.05</v>
      </c>
      <c r="F741" s="2233">
        <f>D741*E741</f>
        <v>2500000</v>
      </c>
      <c r="G741" s="2213"/>
      <c r="H741" s="2213"/>
      <c r="I741" s="2232"/>
      <c r="J741" s="2213"/>
      <c r="K741" s="2213"/>
      <c r="L741" s="2252"/>
      <c r="M741" s="386"/>
      <c r="N741" s="386"/>
      <c r="O741" s="386"/>
      <c r="P741" s="386"/>
      <c r="Q741" s="386"/>
    </row>
    <row r="742" spans="1:17" s="1660" customFormat="1" ht="30" customHeight="1" x14ac:dyDescent="0.2">
      <c r="A742" s="2278"/>
      <c r="B742" s="2267" t="s">
        <v>4117</v>
      </c>
      <c r="C742" s="2238"/>
      <c r="D742" s="2232">
        <v>5000000</v>
      </c>
      <c r="E742" s="2210"/>
      <c r="F742" s="2233"/>
      <c r="G742" s="2213"/>
      <c r="H742" s="2213"/>
      <c r="I742" s="2232"/>
      <c r="J742" s="2213"/>
      <c r="K742" s="2213"/>
      <c r="L742" s="2252"/>
      <c r="M742" s="386"/>
      <c r="N742" s="386"/>
      <c r="O742" s="386"/>
      <c r="P742" s="386"/>
      <c r="Q742" s="386"/>
    </row>
    <row r="743" spans="1:17" s="1660" customFormat="1" ht="30" customHeight="1" x14ac:dyDescent="0.2">
      <c r="A743" s="2278"/>
      <c r="B743" s="2267" t="s">
        <v>4118</v>
      </c>
      <c r="C743" s="2238" t="s">
        <v>1172</v>
      </c>
      <c r="D743" s="2232">
        <v>70000000</v>
      </c>
      <c r="E743" s="2210">
        <v>0.06</v>
      </c>
      <c r="F743" s="2233">
        <f>D743*E743</f>
        <v>4200000</v>
      </c>
      <c r="G743" s="2213"/>
      <c r="H743" s="2213"/>
      <c r="I743" s="2232"/>
      <c r="J743" s="2213"/>
      <c r="K743" s="2213"/>
      <c r="L743" s="2252"/>
      <c r="M743" s="386"/>
      <c r="N743" s="386"/>
      <c r="O743" s="386"/>
      <c r="P743" s="386"/>
      <c r="Q743" s="386"/>
    </row>
    <row r="744" spans="1:17" s="1660" customFormat="1" ht="30" customHeight="1" x14ac:dyDescent="0.2">
      <c r="A744" s="2278"/>
      <c r="B744" s="2267" t="s">
        <v>4133</v>
      </c>
      <c r="C744" s="2238"/>
      <c r="D744" s="2232">
        <v>45000000</v>
      </c>
      <c r="E744" s="2210">
        <v>0.05</v>
      </c>
      <c r="F744" s="2233">
        <f>D744*E744</f>
        <v>2250000</v>
      </c>
      <c r="G744" s="4469" t="s">
        <v>4134</v>
      </c>
      <c r="H744" s="4470"/>
      <c r="I744" s="4470"/>
      <c r="J744" s="4471"/>
      <c r="K744" s="2213"/>
      <c r="L744" s="2252"/>
      <c r="M744" s="386"/>
      <c r="N744" s="386"/>
      <c r="O744" s="386"/>
      <c r="P744" s="386"/>
      <c r="Q744" s="386"/>
    </row>
    <row r="745" spans="1:17" s="1660" customFormat="1" ht="30" customHeight="1" x14ac:dyDescent="0.2">
      <c r="A745" s="2278"/>
      <c r="B745" s="2267" t="s">
        <v>4244</v>
      </c>
      <c r="C745" s="2238"/>
      <c r="D745" s="2232">
        <v>60000000</v>
      </c>
      <c r="E745" s="2210"/>
      <c r="F745" s="2233"/>
      <c r="G745" s="2213"/>
      <c r="H745" s="2213"/>
      <c r="I745" s="2232"/>
      <c r="J745" s="2213"/>
      <c r="K745" s="2213"/>
      <c r="L745" s="2252" t="s">
        <v>4135</v>
      </c>
      <c r="M745" s="386"/>
      <c r="N745" s="386"/>
      <c r="O745" s="386"/>
      <c r="P745" s="386"/>
      <c r="Q745" s="386"/>
    </row>
    <row r="746" spans="1:17" s="1660" customFormat="1" ht="30" customHeight="1" x14ac:dyDescent="0.2">
      <c r="A746" s="2278"/>
      <c r="B746" s="2267" t="s">
        <v>4245</v>
      </c>
      <c r="C746" s="2238"/>
      <c r="D746" s="2232">
        <v>10000000</v>
      </c>
      <c r="E746" s="2210"/>
      <c r="F746" s="2233"/>
      <c r="G746" s="2213"/>
      <c r="H746" s="2213"/>
      <c r="I746" s="2232"/>
      <c r="J746" s="2213"/>
      <c r="K746" s="2213"/>
      <c r="L746" s="2252" t="s">
        <v>4246</v>
      </c>
      <c r="M746" s="386"/>
      <c r="N746" s="386"/>
      <c r="O746" s="386"/>
      <c r="P746" s="386"/>
      <c r="Q746" s="386"/>
    </row>
    <row r="747" spans="1:17" s="1660" customFormat="1" ht="30" customHeight="1" x14ac:dyDescent="0.2">
      <c r="A747" s="2278"/>
      <c r="B747" s="2267" t="s">
        <v>4141</v>
      </c>
      <c r="C747" s="2238"/>
      <c r="D747" s="2232">
        <v>10000000</v>
      </c>
      <c r="E747" s="2210"/>
      <c r="F747" s="2233"/>
      <c r="G747" s="2213"/>
      <c r="H747" s="2213"/>
      <c r="I747" s="2232"/>
      <c r="J747" s="2213"/>
      <c r="K747" s="2213"/>
      <c r="L747" s="4469" t="s">
        <v>4142</v>
      </c>
      <c r="M747" s="4470"/>
      <c r="N747" s="4470"/>
      <c r="O747" s="4471"/>
      <c r="P747" s="386"/>
      <c r="Q747" s="386"/>
    </row>
    <row r="748" spans="1:17" s="1660" customFormat="1" ht="30" customHeight="1" x14ac:dyDescent="0.2">
      <c r="A748" s="2278"/>
      <c r="B748" s="2267" t="s">
        <v>4144</v>
      </c>
      <c r="C748" s="2238"/>
      <c r="D748" s="2232">
        <v>200000000</v>
      </c>
      <c r="E748" s="2210">
        <v>7.0000000000000007E-2</v>
      </c>
      <c r="F748" s="2233">
        <f>D748*E748</f>
        <v>14000000.000000002</v>
      </c>
      <c r="G748" s="2232"/>
      <c r="H748" s="2210"/>
      <c r="I748" s="2233"/>
      <c r="J748" s="2232"/>
      <c r="K748" s="2210"/>
      <c r="L748" s="4469" t="s">
        <v>4145</v>
      </c>
      <c r="M748" s="4470"/>
      <c r="N748" s="4470"/>
      <c r="O748" s="4471"/>
      <c r="P748" s="386"/>
      <c r="Q748" s="386"/>
    </row>
    <row r="749" spans="1:17" s="1660" customFormat="1" ht="30" customHeight="1" x14ac:dyDescent="0.2">
      <c r="A749" s="2278"/>
      <c r="B749" s="2296" t="s">
        <v>4157</v>
      </c>
      <c r="C749" s="2238"/>
      <c r="D749" s="453"/>
      <c r="E749" s="2228"/>
      <c r="F749" s="598"/>
      <c r="G749" s="2213">
        <v>2000000</v>
      </c>
      <c r="H749" s="2213" t="s">
        <v>4146</v>
      </c>
      <c r="I749" s="2232" t="s">
        <v>4158</v>
      </c>
      <c r="J749" s="2213">
        <f>G749</f>
        <v>2000000</v>
      </c>
      <c r="K749" s="2213"/>
      <c r="L749" s="2252"/>
      <c r="M749" s="2279"/>
      <c r="N749" s="2279"/>
      <c r="O749" s="2279"/>
      <c r="P749" s="386"/>
      <c r="Q749" s="386"/>
    </row>
    <row r="750" spans="1:17" s="1660" customFormat="1" ht="30" customHeight="1" x14ac:dyDescent="0.2">
      <c r="A750" s="2278"/>
      <c r="B750" s="2296" t="s">
        <v>4159</v>
      </c>
      <c r="C750" s="2238"/>
      <c r="D750" s="453"/>
      <c r="E750" s="2228"/>
      <c r="F750" s="598"/>
      <c r="G750" s="2213">
        <v>10000000</v>
      </c>
      <c r="H750" s="2213" t="s">
        <v>4146</v>
      </c>
      <c r="I750" s="2232" t="s">
        <v>4160</v>
      </c>
      <c r="J750" s="2213">
        <f>G750</f>
        <v>10000000</v>
      </c>
      <c r="K750" s="2213"/>
      <c r="L750" s="2252"/>
      <c r="M750" s="2279"/>
      <c r="N750" s="2279"/>
      <c r="O750" s="2279"/>
      <c r="P750" s="386"/>
      <c r="Q750" s="386"/>
    </row>
    <row r="751" spans="1:17" s="1660" customFormat="1" ht="30" customHeight="1" x14ac:dyDescent="0.2">
      <c r="A751" s="2278"/>
      <c r="B751" s="2296" t="s">
        <v>4162</v>
      </c>
      <c r="C751" s="2238"/>
      <c r="D751" s="453"/>
      <c r="E751" s="2228"/>
      <c r="F751" s="598"/>
      <c r="G751" s="2213">
        <v>40000</v>
      </c>
      <c r="H751" s="2213" t="s">
        <v>4161</v>
      </c>
      <c r="I751" s="2232" t="s">
        <v>4163</v>
      </c>
      <c r="J751" s="2213">
        <f>G751</f>
        <v>40000</v>
      </c>
      <c r="K751" s="2213"/>
      <c r="L751" s="2252"/>
      <c r="M751" s="2279"/>
      <c r="N751" s="2279"/>
      <c r="O751" s="2279"/>
      <c r="P751" s="386"/>
      <c r="Q751" s="386"/>
    </row>
    <row r="752" spans="1:17" s="1660" customFormat="1" ht="30" customHeight="1" x14ac:dyDescent="0.2">
      <c r="A752" s="4599"/>
      <c r="B752" s="4457" t="s">
        <v>4164</v>
      </c>
      <c r="C752" s="4537"/>
      <c r="D752" s="4413">
        <v>70000000</v>
      </c>
      <c r="E752" s="4476">
        <v>0.05</v>
      </c>
      <c r="F752" s="4413">
        <f>D752*E752</f>
        <v>3500000</v>
      </c>
      <c r="G752" s="4413">
        <v>3500000</v>
      </c>
      <c r="H752" s="4413" t="s">
        <v>4161</v>
      </c>
      <c r="I752" s="4413" t="s">
        <v>4165</v>
      </c>
      <c r="J752" s="4413">
        <f>G752</f>
        <v>3500000</v>
      </c>
      <c r="K752" s="4413">
        <f>F752-J752</f>
        <v>0</v>
      </c>
      <c r="L752" s="2249" t="s">
        <v>4210</v>
      </c>
      <c r="M752" s="2279"/>
      <c r="N752" s="2279"/>
      <c r="O752" s="2279"/>
      <c r="P752" s="386"/>
      <c r="Q752" s="386"/>
    </row>
    <row r="753" spans="1:17" s="1660" customFormat="1" ht="30" customHeight="1" x14ac:dyDescent="0.2">
      <c r="A753" s="4600"/>
      <c r="B753" s="4488"/>
      <c r="C753" s="4538"/>
      <c r="D753" s="4415"/>
      <c r="E753" s="4477"/>
      <c r="F753" s="4415"/>
      <c r="G753" s="4415"/>
      <c r="H753" s="4415"/>
      <c r="I753" s="4415"/>
      <c r="J753" s="4415"/>
      <c r="K753" s="4415"/>
      <c r="L753" s="2252" t="s">
        <v>4211</v>
      </c>
      <c r="M753" s="2279"/>
      <c r="N753" s="2279"/>
      <c r="O753" s="2279"/>
      <c r="P753" s="386"/>
      <c r="Q753" s="386"/>
    </row>
    <row r="754" spans="1:17" s="1660" customFormat="1" ht="30" customHeight="1" x14ac:dyDescent="0.2">
      <c r="A754" s="4607"/>
      <c r="B754" s="4458"/>
      <c r="C754" s="2239"/>
      <c r="D754" s="2212">
        <v>10000000</v>
      </c>
      <c r="E754" s="2209">
        <v>0.05</v>
      </c>
      <c r="F754" s="2212">
        <f>D754*E754</f>
        <v>500000</v>
      </c>
      <c r="G754" s="2213"/>
      <c r="H754" s="2213"/>
      <c r="I754" s="2232"/>
      <c r="J754" s="2212"/>
      <c r="K754" s="2212"/>
      <c r="L754" s="2272" t="s">
        <v>4272</v>
      </c>
      <c r="M754" s="2279"/>
      <c r="N754" s="2279"/>
      <c r="O754" s="2279"/>
      <c r="P754" s="386"/>
      <c r="Q754" s="386"/>
    </row>
    <row r="755" spans="1:17" s="1660" customFormat="1" ht="30" customHeight="1" x14ac:dyDescent="0.2">
      <c r="A755" s="4599"/>
      <c r="B755" s="4461" t="s">
        <v>4168</v>
      </c>
      <c r="C755" s="4537"/>
      <c r="D755" s="4506"/>
      <c r="E755" s="4512"/>
      <c r="F755" s="4506"/>
      <c r="G755" s="2213">
        <v>15000000</v>
      </c>
      <c r="H755" s="2213" t="s">
        <v>4166</v>
      </c>
      <c r="I755" s="2232" t="s">
        <v>4169</v>
      </c>
      <c r="J755" s="4413">
        <f>G755+G756</f>
        <v>65000000</v>
      </c>
      <c r="K755" s="4413"/>
      <c r="L755" s="2251"/>
      <c r="M755" s="2279"/>
      <c r="N755" s="2279"/>
      <c r="O755" s="2279"/>
      <c r="P755" s="386"/>
      <c r="Q755" s="386"/>
    </row>
    <row r="756" spans="1:17" s="1660" customFormat="1" ht="30" customHeight="1" x14ac:dyDescent="0.2">
      <c r="A756" s="4607"/>
      <c r="B756" s="4463"/>
      <c r="C756" s="4538"/>
      <c r="D756" s="4508"/>
      <c r="E756" s="4514"/>
      <c r="F756" s="4508"/>
      <c r="G756" s="2213">
        <v>50000000</v>
      </c>
      <c r="H756" s="2213" t="s">
        <v>4166</v>
      </c>
      <c r="I756" s="2232" t="s">
        <v>4169</v>
      </c>
      <c r="J756" s="4415"/>
      <c r="K756" s="4415"/>
      <c r="L756" s="2252"/>
      <c r="M756" s="2279"/>
      <c r="N756" s="2279"/>
      <c r="O756" s="2279"/>
      <c r="P756" s="386"/>
      <c r="Q756" s="386"/>
    </row>
    <row r="757" spans="1:17" s="1660" customFormat="1" ht="30" customHeight="1" x14ac:dyDescent="0.2">
      <c r="A757" s="2278"/>
      <c r="B757" s="2267" t="s">
        <v>4188</v>
      </c>
      <c r="C757" s="2266"/>
      <c r="D757" s="2201">
        <v>120000000</v>
      </c>
      <c r="E757" s="2265"/>
      <c r="F757" s="2201"/>
      <c r="G757" s="2213"/>
      <c r="H757" s="2213"/>
      <c r="I757" s="2232"/>
      <c r="J757" s="2213"/>
      <c r="K757" s="2213"/>
      <c r="L757" s="2252" t="s">
        <v>4189</v>
      </c>
      <c r="M757" s="2279"/>
      <c r="N757" s="2279"/>
      <c r="O757" s="2279"/>
      <c r="P757" s="386"/>
      <c r="Q757" s="386"/>
    </row>
    <row r="758" spans="1:17" s="1660" customFormat="1" ht="30" customHeight="1" x14ac:dyDescent="0.2">
      <c r="A758" s="2278"/>
      <c r="B758" s="2267" t="s">
        <v>4198</v>
      </c>
      <c r="C758" s="2266"/>
      <c r="D758" s="2201">
        <v>100000000</v>
      </c>
      <c r="E758" s="2265"/>
      <c r="F758" s="2201"/>
      <c r="G758" s="2213"/>
      <c r="H758" s="2213"/>
      <c r="I758" s="2232"/>
      <c r="J758" s="2213"/>
      <c r="K758" s="2213"/>
      <c r="L758" s="2252" t="s">
        <v>4199</v>
      </c>
      <c r="M758" s="2279"/>
      <c r="N758" s="2279"/>
      <c r="O758" s="2279"/>
      <c r="P758" s="386"/>
      <c r="Q758" s="386"/>
    </row>
    <row r="759" spans="1:17" s="1660" customFormat="1" ht="30" customHeight="1" x14ac:dyDescent="0.2">
      <c r="A759" s="2278"/>
      <c r="B759" s="2267" t="s">
        <v>4215</v>
      </c>
      <c r="C759" s="2266"/>
      <c r="D759" s="2201">
        <v>100000000</v>
      </c>
      <c r="E759" s="2265"/>
      <c r="F759" s="2201"/>
      <c r="G759" s="2213"/>
      <c r="H759" s="2213"/>
      <c r="I759" s="2232"/>
      <c r="J759" s="2213"/>
      <c r="K759" s="2213"/>
      <c r="L759" s="2023" t="s">
        <v>4216</v>
      </c>
      <c r="M759" s="2279"/>
      <c r="N759" s="2279"/>
      <c r="O759" s="2279"/>
      <c r="P759" s="386"/>
      <c r="Q759" s="386"/>
    </row>
    <row r="760" spans="1:17" s="1660" customFormat="1" ht="30" customHeight="1" x14ac:dyDescent="0.2">
      <c r="A760" s="2515"/>
      <c r="B760" s="2510" t="s">
        <v>229</v>
      </c>
      <c r="C760" s="2511"/>
      <c r="D760" s="2504"/>
      <c r="E760" s="2521"/>
      <c r="F760" s="2504"/>
      <c r="G760" s="2498">
        <v>3000000</v>
      </c>
      <c r="H760" s="2498" t="s">
        <v>4130</v>
      </c>
      <c r="I760" s="2505" t="s">
        <v>1063</v>
      </c>
      <c r="J760" s="2498">
        <f>G760</f>
        <v>3000000</v>
      </c>
      <c r="K760" s="2502"/>
      <c r="L760" s="2023"/>
      <c r="M760" s="2516"/>
      <c r="N760" s="2516"/>
      <c r="O760" s="2516"/>
      <c r="P760" s="386"/>
      <c r="Q760" s="386"/>
    </row>
    <row r="761" spans="1:17" s="1660" customFormat="1" ht="30" customHeight="1" x14ac:dyDescent="0.2">
      <c r="A761" s="2515"/>
      <c r="B761" s="2510" t="s">
        <v>4585</v>
      </c>
      <c r="C761" s="2511"/>
      <c r="D761" s="2497"/>
      <c r="E761" s="2508"/>
      <c r="F761" s="2497"/>
      <c r="G761" s="2497">
        <v>10000000</v>
      </c>
      <c r="H761" s="2498" t="s">
        <v>4130</v>
      </c>
      <c r="I761" s="2505" t="s">
        <v>4586</v>
      </c>
      <c r="J761" s="2498">
        <f>G761</f>
        <v>10000000</v>
      </c>
      <c r="K761" s="2498">
        <f>F761-J761</f>
        <v>-10000000</v>
      </c>
      <c r="L761" s="2023"/>
      <c r="M761" s="2516"/>
      <c r="N761" s="2516"/>
      <c r="O761" s="2516"/>
      <c r="P761" s="386"/>
      <c r="Q761" s="386"/>
    </row>
    <row r="762" spans="1:17" s="1660" customFormat="1" ht="30" customHeight="1" x14ac:dyDescent="0.2">
      <c r="A762" s="2648"/>
      <c r="B762" s="2646" t="s">
        <v>4659</v>
      </c>
      <c r="C762" s="2645" t="s">
        <v>990</v>
      </c>
      <c r="D762" s="2626">
        <v>10000000</v>
      </c>
      <c r="E762" s="2644">
        <v>0.05</v>
      </c>
      <c r="F762" s="2626">
        <f>D762*E762</f>
        <v>500000</v>
      </c>
      <c r="G762" s="2626"/>
      <c r="H762" s="2626"/>
      <c r="I762" s="2626"/>
      <c r="J762" s="2626"/>
      <c r="K762" s="2627"/>
      <c r="L762" s="2023" t="s">
        <v>4660</v>
      </c>
      <c r="M762" s="2649"/>
      <c r="N762" s="2649"/>
      <c r="O762" s="2649"/>
      <c r="P762" s="386"/>
      <c r="Q762" s="386"/>
    </row>
    <row r="763" spans="1:17" s="1660" customFormat="1" ht="30" customHeight="1" x14ac:dyDescent="0.2">
      <c r="A763" s="2648"/>
      <c r="B763" s="2646"/>
      <c r="C763" s="2645"/>
      <c r="D763" s="2626"/>
      <c r="E763" s="2644"/>
      <c r="F763" s="2626"/>
      <c r="G763" s="2626"/>
      <c r="H763" s="2626"/>
      <c r="I763" s="2626"/>
      <c r="J763" s="2626"/>
      <c r="K763" s="2627"/>
      <c r="L763" s="2023"/>
      <c r="M763" s="2649"/>
      <c r="N763" s="2649"/>
      <c r="O763" s="2649"/>
      <c r="P763" s="386"/>
      <c r="Q763" s="386"/>
    </row>
    <row r="764" spans="1:17" ht="30" customHeight="1" x14ac:dyDescent="0.2">
      <c r="A764" s="4876" t="s">
        <v>4282</v>
      </c>
      <c r="B764" s="4877"/>
      <c r="C764" s="1032"/>
      <c r="D764" s="294">
        <v>110561703000</v>
      </c>
      <c r="E764" s="2210"/>
      <c r="F764" s="2213"/>
      <c r="G764" s="2213"/>
      <c r="H764" s="2213"/>
      <c r="I764" s="21"/>
      <c r="J764" s="2213"/>
      <c r="K764" s="2213"/>
      <c r="L764" s="2206"/>
    </row>
  </sheetData>
  <mergeCells count="1037">
    <mergeCell ref="D142:F142"/>
    <mergeCell ref="G141:J141"/>
    <mergeCell ref="A356:A357"/>
    <mergeCell ref="B356:B357"/>
    <mergeCell ref="C356:C357"/>
    <mergeCell ref="G357:J357"/>
    <mergeCell ref="L747:O747"/>
    <mergeCell ref="L748:O748"/>
    <mergeCell ref="A752:A754"/>
    <mergeCell ref="B752:B754"/>
    <mergeCell ref="C752:C753"/>
    <mergeCell ref="D752:D753"/>
    <mergeCell ref="E752:E753"/>
    <mergeCell ref="F752:F753"/>
    <mergeCell ref="G752:G753"/>
    <mergeCell ref="J755:J756"/>
    <mergeCell ref="K755:K756"/>
    <mergeCell ref="L732:L733"/>
    <mergeCell ref="C729:C730"/>
    <mergeCell ref="D729:F729"/>
    <mergeCell ref="B734:B736"/>
    <mergeCell ref="A734:A736"/>
    <mergeCell ref="G726:J726"/>
    <mergeCell ref="A704:A705"/>
    <mergeCell ref="B704:B705"/>
    <mergeCell ref="C704:C705"/>
    <mergeCell ref="D704:D705"/>
    <mergeCell ref="E704:E705"/>
    <mergeCell ref="F704:F705"/>
    <mergeCell ref="G704:G705"/>
    <mergeCell ref="K704:K705"/>
    <mergeCell ref="G701:J701"/>
    <mergeCell ref="A764:B764"/>
    <mergeCell ref="G352:J352"/>
    <mergeCell ref="A352:A355"/>
    <mergeCell ref="B352:B355"/>
    <mergeCell ref="C352:C355"/>
    <mergeCell ref="G354:J354"/>
    <mergeCell ref="G355:J355"/>
    <mergeCell ref="H752:H753"/>
    <mergeCell ref="I752:I753"/>
    <mergeCell ref="J752:J753"/>
    <mergeCell ref="K752:K753"/>
    <mergeCell ref="A755:A756"/>
    <mergeCell ref="B755:B756"/>
    <mergeCell ref="C755:C756"/>
    <mergeCell ref="D755:D756"/>
    <mergeCell ref="E755:E756"/>
    <mergeCell ref="F755:F756"/>
    <mergeCell ref="G744:J744"/>
    <mergeCell ref="K732:K733"/>
    <mergeCell ref="A717:A718"/>
    <mergeCell ref="B717:B718"/>
    <mergeCell ref="C734:C735"/>
    <mergeCell ref="D734:F734"/>
    <mergeCell ref="G731:J731"/>
    <mergeCell ref="A732:A733"/>
    <mergeCell ref="B732:B733"/>
    <mergeCell ref="C732:C733"/>
    <mergeCell ref="D732:F733"/>
    <mergeCell ref="J732:J733"/>
    <mergeCell ref="G728:J728"/>
    <mergeCell ref="A729:A730"/>
    <mergeCell ref="B729:B730"/>
    <mergeCell ref="H704:H705"/>
    <mergeCell ref="I704:I705"/>
    <mergeCell ref="J704:J705"/>
    <mergeCell ref="A708:A709"/>
    <mergeCell ref="B708:B709"/>
    <mergeCell ref="C708:C709"/>
    <mergeCell ref="J708:J709"/>
    <mergeCell ref="K708:K709"/>
    <mergeCell ref="I675:I676"/>
    <mergeCell ref="J675:J676"/>
    <mergeCell ref="K675:K676"/>
    <mergeCell ref="G670:G671"/>
    <mergeCell ref="H670:H671"/>
    <mergeCell ref="I670:I671"/>
    <mergeCell ref="J670:J671"/>
    <mergeCell ref="K670:K671"/>
    <mergeCell ref="L670:L671"/>
    <mergeCell ref="A687:A688"/>
    <mergeCell ref="B687:B688"/>
    <mergeCell ref="A693:A694"/>
    <mergeCell ref="B693:B694"/>
    <mergeCell ref="C693:C694"/>
    <mergeCell ref="G693:G694"/>
    <mergeCell ref="A675:A676"/>
    <mergeCell ref="B675:B676"/>
    <mergeCell ref="H675:H676"/>
    <mergeCell ref="H693:H694"/>
    <mergeCell ref="K693:K694"/>
    <mergeCell ref="I693:I694"/>
    <mergeCell ref="J693:J694"/>
    <mergeCell ref="J662:J666"/>
    <mergeCell ref="K662:K666"/>
    <mergeCell ref="L662:L666"/>
    <mergeCell ref="L669:P669"/>
    <mergeCell ref="A670:A671"/>
    <mergeCell ref="B670:B671"/>
    <mergeCell ref="C670:C671"/>
    <mergeCell ref="D670:D671"/>
    <mergeCell ref="E670:E671"/>
    <mergeCell ref="F670:F671"/>
    <mergeCell ref="A659:A666"/>
    <mergeCell ref="B659:B666"/>
    <mergeCell ref="C659:C666"/>
    <mergeCell ref="D659:D661"/>
    <mergeCell ref="E659:E661"/>
    <mergeCell ref="F659:F661"/>
    <mergeCell ref="D662:F666"/>
    <mergeCell ref="G639:G640"/>
    <mergeCell ref="H639:H640"/>
    <mergeCell ref="I639:I640"/>
    <mergeCell ref="J639:J640"/>
    <mergeCell ref="K639:K640"/>
    <mergeCell ref="L639:L640"/>
    <mergeCell ref="A639:A640"/>
    <mergeCell ref="B639:B640"/>
    <mergeCell ref="C639:C640"/>
    <mergeCell ref="D639:D640"/>
    <mergeCell ref="E639:E640"/>
    <mergeCell ref="F639:F640"/>
    <mergeCell ref="K645:K649"/>
    <mergeCell ref="A648:A649"/>
    <mergeCell ref="B648:B649"/>
    <mergeCell ref="C648:C649"/>
    <mergeCell ref="A656:A657"/>
    <mergeCell ref="B656:B657"/>
    <mergeCell ref="C656:C657"/>
    <mergeCell ref="D656:D657"/>
    <mergeCell ref="E656:E657"/>
    <mergeCell ref="F656:F657"/>
    <mergeCell ref="A645:A647"/>
    <mergeCell ref="C645:C647"/>
    <mergeCell ref="D645:D647"/>
    <mergeCell ref="E645:E647"/>
    <mergeCell ref="F645:F647"/>
    <mergeCell ref="J645:J649"/>
    <mergeCell ref="A632:A633"/>
    <mergeCell ref="B632:B633"/>
    <mergeCell ref="C632:C633"/>
    <mergeCell ref="D632:D633"/>
    <mergeCell ref="E632:E633"/>
    <mergeCell ref="F632:F633"/>
    <mergeCell ref="K617:K622"/>
    <mergeCell ref="L617:L618"/>
    <mergeCell ref="G620:I622"/>
    <mergeCell ref="G624:I624"/>
    <mergeCell ref="A626:A628"/>
    <mergeCell ref="B626:B628"/>
    <mergeCell ref="C626:C628"/>
    <mergeCell ref="G627:J627"/>
    <mergeCell ref="G628:J628"/>
    <mergeCell ref="B617:B625"/>
    <mergeCell ref="C617:C625"/>
    <mergeCell ref="D625:E625"/>
    <mergeCell ref="E598:E599"/>
    <mergeCell ref="F598:F599"/>
    <mergeCell ref="J598:J599"/>
    <mergeCell ref="K598:K599"/>
    <mergeCell ref="A602:A606"/>
    <mergeCell ref="B602:B606"/>
    <mergeCell ref="G602:J602"/>
    <mergeCell ref="F609:F611"/>
    <mergeCell ref="G615:J615"/>
    <mergeCell ref="A617:A624"/>
    <mergeCell ref="J617:J622"/>
    <mergeCell ref="G606:J606"/>
    <mergeCell ref="G604:J604"/>
    <mergeCell ref="G605:J605"/>
    <mergeCell ref="G603:J603"/>
    <mergeCell ref="E605:F605"/>
    <mergeCell ref="C602:C606"/>
    <mergeCell ref="G623:I623"/>
    <mergeCell ref="F622:F623"/>
    <mergeCell ref="D622:E623"/>
    <mergeCell ref="A607:A608"/>
    <mergeCell ref="B607:B608"/>
    <mergeCell ref="C607:C608"/>
    <mergeCell ref="A609:A614"/>
    <mergeCell ref="B609:B614"/>
    <mergeCell ref="C609:C614"/>
    <mergeCell ref="D609:D611"/>
    <mergeCell ref="E609:E611"/>
    <mergeCell ref="L569:L570"/>
    <mergeCell ref="A572:A577"/>
    <mergeCell ref="B572:B577"/>
    <mergeCell ref="C573:C577"/>
    <mergeCell ref="D573:D576"/>
    <mergeCell ref="E573:E576"/>
    <mergeCell ref="K573:K576"/>
    <mergeCell ref="F583:F584"/>
    <mergeCell ref="J583:J584"/>
    <mergeCell ref="K583:K584"/>
    <mergeCell ref="L583:L584"/>
    <mergeCell ref="J578:J582"/>
    <mergeCell ref="A596:A599"/>
    <mergeCell ref="B596:B599"/>
    <mergeCell ref="C596:C597"/>
    <mergeCell ref="G596:G597"/>
    <mergeCell ref="H596:H597"/>
    <mergeCell ref="I596:I597"/>
    <mergeCell ref="A578:A584"/>
    <mergeCell ref="C578:C582"/>
    <mergeCell ref="G578:G582"/>
    <mergeCell ref="H578:H582"/>
    <mergeCell ref="I578:I582"/>
    <mergeCell ref="B583:B584"/>
    <mergeCell ref="C583:C584"/>
    <mergeCell ref="D583:D584"/>
    <mergeCell ref="E583:E584"/>
    <mergeCell ref="J596:J597"/>
    <mergeCell ref="K596:K597"/>
    <mergeCell ref="L596:L597"/>
    <mergeCell ref="C598:C599"/>
    <mergeCell ref="D598:D599"/>
    <mergeCell ref="A557:A558"/>
    <mergeCell ref="B557:B558"/>
    <mergeCell ref="C557:C558"/>
    <mergeCell ref="D557:D558"/>
    <mergeCell ref="E557:E558"/>
    <mergeCell ref="F557:F558"/>
    <mergeCell ref="G555:G556"/>
    <mergeCell ref="H555:H556"/>
    <mergeCell ref="I555:I556"/>
    <mergeCell ref="K566:K567"/>
    <mergeCell ref="A569:A570"/>
    <mergeCell ref="B569:B570"/>
    <mergeCell ref="C569:C570"/>
    <mergeCell ref="D569:D570"/>
    <mergeCell ref="E569:E570"/>
    <mergeCell ref="F569:F570"/>
    <mergeCell ref="G569:G570"/>
    <mergeCell ref="H569:H570"/>
    <mergeCell ref="I569:I570"/>
    <mergeCell ref="A566:A567"/>
    <mergeCell ref="B566:B567"/>
    <mergeCell ref="C566:C567"/>
    <mergeCell ref="D566:D567"/>
    <mergeCell ref="E566:E567"/>
    <mergeCell ref="F566:F567"/>
    <mergeCell ref="J569:J570"/>
    <mergeCell ref="K569:K570"/>
    <mergeCell ref="H566:H567"/>
    <mergeCell ref="I566:I567"/>
    <mergeCell ref="J566:J567"/>
    <mergeCell ref="G566:G567"/>
    <mergeCell ref="A546:A547"/>
    <mergeCell ref="B546:B547"/>
    <mergeCell ref="C546:C547"/>
    <mergeCell ref="D546:D547"/>
    <mergeCell ref="E546:E547"/>
    <mergeCell ref="F546:F547"/>
    <mergeCell ref="J539:J540"/>
    <mergeCell ref="K539:K540"/>
    <mergeCell ref="L539:L540"/>
    <mergeCell ref="A541:A544"/>
    <mergeCell ref="B541:B544"/>
    <mergeCell ref="C541:C544"/>
    <mergeCell ref="J555:J556"/>
    <mergeCell ref="K555:K556"/>
    <mergeCell ref="L555:L556"/>
    <mergeCell ref="A555:A556"/>
    <mergeCell ref="B555:B556"/>
    <mergeCell ref="C555:C556"/>
    <mergeCell ref="D555:D556"/>
    <mergeCell ref="E555:E556"/>
    <mergeCell ref="F555:F556"/>
    <mergeCell ref="A530:A532"/>
    <mergeCell ref="B530:B532"/>
    <mergeCell ref="C530:C532"/>
    <mergeCell ref="D530:D532"/>
    <mergeCell ref="E530:E532"/>
    <mergeCell ref="F530:F532"/>
    <mergeCell ref="K518:K519"/>
    <mergeCell ref="L533:O533"/>
    <mergeCell ref="A539:A540"/>
    <mergeCell ref="B539:B540"/>
    <mergeCell ref="C539:C540"/>
    <mergeCell ref="D539:D540"/>
    <mergeCell ref="E539:E540"/>
    <mergeCell ref="F539:F540"/>
    <mergeCell ref="G539:G540"/>
    <mergeCell ref="H539:H540"/>
    <mergeCell ref="I539:I540"/>
    <mergeCell ref="A520:A529"/>
    <mergeCell ref="B520:B529"/>
    <mergeCell ref="C520:C529"/>
    <mergeCell ref="D520:D529"/>
    <mergeCell ref="E520:E529"/>
    <mergeCell ref="F520:F529"/>
    <mergeCell ref="J520:J529"/>
    <mergeCell ref="K520:K529"/>
    <mergeCell ref="H521:I521"/>
    <mergeCell ref="H524:I524"/>
    <mergeCell ref="J516:J517"/>
    <mergeCell ref="K516:K517"/>
    <mergeCell ref="L516:L517"/>
    <mergeCell ref="A518:A519"/>
    <mergeCell ref="B518:B519"/>
    <mergeCell ref="C518:C519"/>
    <mergeCell ref="G518:G519"/>
    <mergeCell ref="H518:H519"/>
    <mergeCell ref="I518:I519"/>
    <mergeCell ref="J518:J519"/>
    <mergeCell ref="A516:A517"/>
    <mergeCell ref="B516:B517"/>
    <mergeCell ref="C516:C517"/>
    <mergeCell ref="D516:D517"/>
    <mergeCell ref="E516:E517"/>
    <mergeCell ref="F516:F517"/>
    <mergeCell ref="L518:L519"/>
    <mergeCell ref="G485:K485"/>
    <mergeCell ref="G486:K486"/>
    <mergeCell ref="G492:J492"/>
    <mergeCell ref="C492:C493"/>
    <mergeCell ref="B492:B493"/>
    <mergeCell ref="A492:A493"/>
    <mergeCell ref="G512:G513"/>
    <mergeCell ref="H512:H513"/>
    <mergeCell ref="I512:I513"/>
    <mergeCell ref="J512:J513"/>
    <mergeCell ref="K512:K513"/>
    <mergeCell ref="L512:L513"/>
    <mergeCell ref="E506:F506"/>
    <mergeCell ref="A509:A510"/>
    <mergeCell ref="B509:B510"/>
    <mergeCell ref="A512:A513"/>
    <mergeCell ref="B512:B513"/>
    <mergeCell ref="C512:C513"/>
    <mergeCell ref="L460:L461"/>
    <mergeCell ref="A469:A470"/>
    <mergeCell ref="B469:B470"/>
    <mergeCell ref="C469:C470"/>
    <mergeCell ref="G469:G470"/>
    <mergeCell ref="H469:H470"/>
    <mergeCell ref="I469:I470"/>
    <mergeCell ref="J469:J470"/>
    <mergeCell ref="K469:K470"/>
    <mergeCell ref="L469:L470"/>
    <mergeCell ref="G464:J464"/>
    <mergeCell ref="A502:A505"/>
    <mergeCell ref="B502:B505"/>
    <mergeCell ref="C502:C505"/>
    <mergeCell ref="J502:J503"/>
    <mergeCell ref="K502:K503"/>
    <mergeCell ref="D503:F505"/>
    <mergeCell ref="G504:J504"/>
    <mergeCell ref="G487:K487"/>
    <mergeCell ref="D488:E488"/>
    <mergeCell ref="G488:K488"/>
    <mergeCell ref="A494:A495"/>
    <mergeCell ref="B494:B495"/>
    <mergeCell ref="C494:C495"/>
    <mergeCell ref="A474:A489"/>
    <mergeCell ref="B474:B489"/>
    <mergeCell ref="C474:C489"/>
    <mergeCell ref="D480:E480"/>
    <mergeCell ref="G482:K482"/>
    <mergeCell ref="G483:K483"/>
    <mergeCell ref="G484:K484"/>
    <mergeCell ref="D485:E485"/>
    <mergeCell ref="J453:J454"/>
    <mergeCell ref="K453:K454"/>
    <mergeCell ref="A456:A457"/>
    <mergeCell ref="B456:B457"/>
    <mergeCell ref="C456:C457"/>
    <mergeCell ref="A460:A461"/>
    <mergeCell ref="B460:B461"/>
    <mergeCell ref="C460:C461"/>
    <mergeCell ref="G460:G461"/>
    <mergeCell ref="H460:H461"/>
    <mergeCell ref="A453:A454"/>
    <mergeCell ref="B453:B454"/>
    <mergeCell ref="C453:C454"/>
    <mergeCell ref="G453:G454"/>
    <mergeCell ref="H453:H454"/>
    <mergeCell ref="I453:I454"/>
    <mergeCell ref="I460:I461"/>
    <mergeCell ref="J460:J461"/>
    <mergeCell ref="K460:K461"/>
    <mergeCell ref="G459:J459"/>
    <mergeCell ref="L441:L442"/>
    <mergeCell ref="A443:A444"/>
    <mergeCell ref="B443:B444"/>
    <mergeCell ref="C443:C444"/>
    <mergeCell ref="A449:A450"/>
    <mergeCell ref="B449:B450"/>
    <mergeCell ref="K435:K438"/>
    <mergeCell ref="G441:G442"/>
    <mergeCell ref="H441:H442"/>
    <mergeCell ref="I441:I442"/>
    <mergeCell ref="J441:J442"/>
    <mergeCell ref="K441:K442"/>
    <mergeCell ref="A435:A438"/>
    <mergeCell ref="B435:B438"/>
    <mergeCell ref="C435:C438"/>
    <mergeCell ref="D435:D438"/>
    <mergeCell ref="E435:E438"/>
    <mergeCell ref="F435:F438"/>
    <mergeCell ref="J435:J438"/>
    <mergeCell ref="A439:A440"/>
    <mergeCell ref="B439:B440"/>
    <mergeCell ref="C439:C440"/>
    <mergeCell ref="G440:J440"/>
    <mergeCell ref="H422:H423"/>
    <mergeCell ref="I422:I423"/>
    <mergeCell ref="J422:J423"/>
    <mergeCell ref="K422:K423"/>
    <mergeCell ref="L422:L423"/>
    <mergeCell ref="G429:J430"/>
    <mergeCell ref="A415:A416"/>
    <mergeCell ref="B415:B416"/>
    <mergeCell ref="C415:C416"/>
    <mergeCell ref="G415:G416"/>
    <mergeCell ref="H415:H416"/>
    <mergeCell ref="I415:I416"/>
    <mergeCell ref="J415:J416"/>
    <mergeCell ref="K415:K416"/>
    <mergeCell ref="L415:L416"/>
    <mergeCell ref="D429:D430"/>
    <mergeCell ref="E429:E430"/>
    <mergeCell ref="F429:F430"/>
    <mergeCell ref="A422:A423"/>
    <mergeCell ref="C422:C423"/>
    <mergeCell ref="G422:G423"/>
    <mergeCell ref="A397:A400"/>
    <mergeCell ref="B397:B400"/>
    <mergeCell ref="C397:C400"/>
    <mergeCell ref="D397:D398"/>
    <mergeCell ref="E397:E398"/>
    <mergeCell ref="F397:F398"/>
    <mergeCell ref="J397:J398"/>
    <mergeCell ref="K397:K398"/>
    <mergeCell ref="A405:A406"/>
    <mergeCell ref="B405:B406"/>
    <mergeCell ref="A408:A412"/>
    <mergeCell ref="B408:B412"/>
    <mergeCell ref="C408:C412"/>
    <mergeCell ref="G408:J411"/>
    <mergeCell ref="L397:L398"/>
    <mergeCell ref="E399:F399"/>
    <mergeCell ref="G399:G400"/>
    <mergeCell ref="H399:H400"/>
    <mergeCell ref="I399:I400"/>
    <mergeCell ref="J399:J400"/>
    <mergeCell ref="K399:K400"/>
    <mergeCell ref="L399:L400"/>
    <mergeCell ref="K408:K411"/>
    <mergeCell ref="L382:L383"/>
    <mergeCell ref="A384:A389"/>
    <mergeCell ref="B384:B389"/>
    <mergeCell ref="C384:C389"/>
    <mergeCell ref="G384:J387"/>
    <mergeCell ref="K384:K389"/>
    <mergeCell ref="L384:L389"/>
    <mergeCell ref="D387:E387"/>
    <mergeCell ref="D388:D389"/>
    <mergeCell ref="E388:E389"/>
    <mergeCell ref="F388:F389"/>
    <mergeCell ref="J388:J389"/>
    <mergeCell ref="A391:A392"/>
    <mergeCell ref="A394:A395"/>
    <mergeCell ref="B394:B395"/>
    <mergeCell ref="C394:C395"/>
    <mergeCell ref="D394:D395"/>
    <mergeCell ref="E394:E395"/>
    <mergeCell ref="F394:F395"/>
    <mergeCell ref="J394:J395"/>
    <mergeCell ref="K394:K395"/>
    <mergeCell ref="L394:L395"/>
    <mergeCell ref="G391:J391"/>
    <mergeCell ref="J376:J377"/>
    <mergeCell ref="K376:K377"/>
    <mergeCell ref="A381:A383"/>
    <mergeCell ref="B381:B383"/>
    <mergeCell ref="C382:C383"/>
    <mergeCell ref="G382:G383"/>
    <mergeCell ref="H382:H383"/>
    <mergeCell ref="I382:I383"/>
    <mergeCell ref="J382:J383"/>
    <mergeCell ref="K382:K383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I376:I377"/>
    <mergeCell ref="J359:J360"/>
    <mergeCell ref="K359:K360"/>
    <mergeCell ref="G365:G366"/>
    <mergeCell ref="H365:H366"/>
    <mergeCell ref="I365:I366"/>
    <mergeCell ref="J365:J366"/>
    <mergeCell ref="K365:K366"/>
    <mergeCell ref="A359:A360"/>
    <mergeCell ref="B359:B360"/>
    <mergeCell ref="C359:C360"/>
    <mergeCell ref="G359:G360"/>
    <mergeCell ref="H359:H360"/>
    <mergeCell ref="I359:I360"/>
    <mergeCell ref="L365:L366"/>
    <mergeCell ref="A367:A370"/>
    <mergeCell ref="B367:B370"/>
    <mergeCell ref="A373:A374"/>
    <mergeCell ref="B373:B374"/>
    <mergeCell ref="C373:C374"/>
    <mergeCell ref="D373:D374"/>
    <mergeCell ref="E373:E374"/>
    <mergeCell ref="F373:F374"/>
    <mergeCell ref="J373:J374"/>
    <mergeCell ref="K373:K374"/>
    <mergeCell ref="A335:A337"/>
    <mergeCell ref="B335:B337"/>
    <mergeCell ref="C335:C337"/>
    <mergeCell ref="G336:J336"/>
    <mergeCell ref="G337:J337"/>
    <mergeCell ref="D332:D333"/>
    <mergeCell ref="E332:E333"/>
    <mergeCell ref="F332:F333"/>
    <mergeCell ref="G332:G333"/>
    <mergeCell ref="H332:H333"/>
    <mergeCell ref="I332:I333"/>
    <mergeCell ref="K344:K345"/>
    <mergeCell ref="L344:L345"/>
    <mergeCell ref="G353:J353"/>
    <mergeCell ref="A338:A339"/>
    <mergeCell ref="C338:C339"/>
    <mergeCell ref="G340:J340"/>
    <mergeCell ref="A344:A345"/>
    <mergeCell ref="B344:B345"/>
    <mergeCell ref="C344:C345"/>
    <mergeCell ref="G344:G345"/>
    <mergeCell ref="H344:H345"/>
    <mergeCell ref="I344:I345"/>
    <mergeCell ref="J344:J345"/>
    <mergeCell ref="K323:K326"/>
    <mergeCell ref="G324:G326"/>
    <mergeCell ref="H324:H326"/>
    <mergeCell ref="I324:I326"/>
    <mergeCell ref="J324:J326"/>
    <mergeCell ref="G313:G315"/>
    <mergeCell ref="H313:H315"/>
    <mergeCell ref="I313:I315"/>
    <mergeCell ref="J313:J315"/>
    <mergeCell ref="K313:K315"/>
    <mergeCell ref="A327:A328"/>
    <mergeCell ref="B327:B328"/>
    <mergeCell ref="C327:C328"/>
    <mergeCell ref="A332:A333"/>
    <mergeCell ref="B332:B333"/>
    <mergeCell ref="C332:C333"/>
    <mergeCell ref="F317:F318"/>
    <mergeCell ref="A323:A326"/>
    <mergeCell ref="B323:B326"/>
    <mergeCell ref="C323:C326"/>
    <mergeCell ref="A317:A318"/>
    <mergeCell ref="B317:B318"/>
    <mergeCell ref="C317:C318"/>
    <mergeCell ref="D317:D318"/>
    <mergeCell ref="E317:E318"/>
    <mergeCell ref="J332:J333"/>
    <mergeCell ref="K332:K333"/>
    <mergeCell ref="G330:J330"/>
    <mergeCell ref="L285:L286"/>
    <mergeCell ref="A287:A288"/>
    <mergeCell ref="B287:B288"/>
    <mergeCell ref="C287:C288"/>
    <mergeCell ref="A285:A286"/>
    <mergeCell ref="B285:B286"/>
    <mergeCell ref="C285:C286"/>
    <mergeCell ref="G285:G286"/>
    <mergeCell ref="H285:H286"/>
    <mergeCell ref="I285:I286"/>
    <mergeCell ref="A313:A315"/>
    <mergeCell ref="B313:B315"/>
    <mergeCell ref="C313:C315"/>
    <mergeCell ref="D313:D315"/>
    <mergeCell ref="E313:E315"/>
    <mergeCell ref="F313:F315"/>
    <mergeCell ref="J297:J298"/>
    <mergeCell ref="K297:K298"/>
    <mergeCell ref="L297:L298"/>
    <mergeCell ref="A308:A309"/>
    <mergeCell ref="B308:B309"/>
    <mergeCell ref="C308:C309"/>
    <mergeCell ref="D308:D309"/>
    <mergeCell ref="E308:E309"/>
    <mergeCell ref="F308:F309"/>
    <mergeCell ref="A297:A298"/>
    <mergeCell ref="B297:B298"/>
    <mergeCell ref="C297:C298"/>
    <mergeCell ref="G297:G298"/>
    <mergeCell ref="H297:H298"/>
    <mergeCell ref="I297:I298"/>
    <mergeCell ref="A274:A275"/>
    <mergeCell ref="B274:B275"/>
    <mergeCell ref="C274:C275"/>
    <mergeCell ref="D274:D275"/>
    <mergeCell ref="E274:E275"/>
    <mergeCell ref="F274:F275"/>
    <mergeCell ref="J274:J275"/>
    <mergeCell ref="K274:K275"/>
    <mergeCell ref="A276:A281"/>
    <mergeCell ref="B276:B281"/>
    <mergeCell ref="C276:C281"/>
    <mergeCell ref="D276:D281"/>
    <mergeCell ref="E276:E281"/>
    <mergeCell ref="F276:F281"/>
    <mergeCell ref="J276:J277"/>
    <mergeCell ref="K276:K277"/>
    <mergeCell ref="J285:J286"/>
    <mergeCell ref="K285:K286"/>
    <mergeCell ref="A249:A253"/>
    <mergeCell ref="B249:B253"/>
    <mergeCell ref="C249:C253"/>
    <mergeCell ref="D249:D253"/>
    <mergeCell ref="E249:E253"/>
    <mergeCell ref="F249:F253"/>
    <mergeCell ref="J249:J253"/>
    <mergeCell ref="K249:K253"/>
    <mergeCell ref="L252:L253"/>
    <mergeCell ref="G262:G263"/>
    <mergeCell ref="H262:H263"/>
    <mergeCell ref="I262:I263"/>
    <mergeCell ref="J262:J263"/>
    <mergeCell ref="K262:K263"/>
    <mergeCell ref="A271:A273"/>
    <mergeCell ref="B271:B273"/>
    <mergeCell ref="G271:G272"/>
    <mergeCell ref="H271:H272"/>
    <mergeCell ref="I271:I272"/>
    <mergeCell ref="A262:A263"/>
    <mergeCell ref="B262:B263"/>
    <mergeCell ref="C262:C263"/>
    <mergeCell ref="D262:D263"/>
    <mergeCell ref="E262:E263"/>
    <mergeCell ref="F262:F263"/>
    <mergeCell ref="J271:J272"/>
    <mergeCell ref="K271:K272"/>
    <mergeCell ref="L271:L272"/>
    <mergeCell ref="A254:A255"/>
    <mergeCell ref="B254:B255"/>
    <mergeCell ref="C254:C255"/>
    <mergeCell ref="D254:D255"/>
    <mergeCell ref="K225:K226"/>
    <mergeCell ref="L225:L226"/>
    <mergeCell ref="E226:F226"/>
    <mergeCell ref="A232:A233"/>
    <mergeCell ref="B232:B233"/>
    <mergeCell ref="G232:G233"/>
    <mergeCell ref="H232:H233"/>
    <mergeCell ref="I232:I233"/>
    <mergeCell ref="J232:J233"/>
    <mergeCell ref="K232:K233"/>
    <mergeCell ref="A225:A226"/>
    <mergeCell ref="B225:B226"/>
    <mergeCell ref="C225:C226"/>
    <mergeCell ref="H225:H226"/>
    <mergeCell ref="I225:I226"/>
    <mergeCell ref="J225:J226"/>
    <mergeCell ref="L244:P244"/>
    <mergeCell ref="I199:I200"/>
    <mergeCell ref="J199:J200"/>
    <mergeCell ref="A208:A209"/>
    <mergeCell ref="B208:B209"/>
    <mergeCell ref="C208:C209"/>
    <mergeCell ref="D208:D209"/>
    <mergeCell ref="E208:E209"/>
    <mergeCell ref="F208:F209"/>
    <mergeCell ref="L210:L214"/>
    <mergeCell ref="A220:A221"/>
    <mergeCell ref="B220:B221"/>
    <mergeCell ref="C220:C221"/>
    <mergeCell ref="A210:A214"/>
    <mergeCell ref="B210:B214"/>
    <mergeCell ref="C210:C214"/>
    <mergeCell ref="D210:D214"/>
    <mergeCell ref="E210:E214"/>
    <mergeCell ref="F210:F214"/>
    <mergeCell ref="G197:J197"/>
    <mergeCell ref="J182:J183"/>
    <mergeCell ref="K182:K183"/>
    <mergeCell ref="A193:A194"/>
    <mergeCell ref="B193:B194"/>
    <mergeCell ref="J193:J194"/>
    <mergeCell ref="K193:K194"/>
    <mergeCell ref="L193:L194"/>
    <mergeCell ref="B195:B197"/>
    <mergeCell ref="C195:C197"/>
    <mergeCell ref="D195:D197"/>
    <mergeCell ref="E195:E197"/>
    <mergeCell ref="F195:F197"/>
    <mergeCell ref="K199:K200"/>
    <mergeCell ref="L199:L200"/>
    <mergeCell ref="A201:A204"/>
    <mergeCell ref="B201:B204"/>
    <mergeCell ref="C201:C204"/>
    <mergeCell ref="D201:D202"/>
    <mergeCell ref="E201:E202"/>
    <mergeCell ref="F201:F202"/>
    <mergeCell ref="J201:J202"/>
    <mergeCell ref="K201:K202"/>
    <mergeCell ref="L201:L202"/>
    <mergeCell ref="G203:J203"/>
    <mergeCell ref="L203:L204"/>
    <mergeCell ref="G204:J204"/>
    <mergeCell ref="A199:A200"/>
    <mergeCell ref="B199:B200"/>
    <mergeCell ref="C199:C200"/>
    <mergeCell ref="G199:G200"/>
    <mergeCell ref="H199:H200"/>
    <mergeCell ref="L182:L183"/>
    <mergeCell ref="A187:A188"/>
    <mergeCell ref="B187:B188"/>
    <mergeCell ref="C187:C188"/>
    <mergeCell ref="G188:J188"/>
    <mergeCell ref="K176:K178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A189:A190"/>
    <mergeCell ref="B189:B190"/>
    <mergeCell ref="C189:C190"/>
    <mergeCell ref="D189:D190"/>
    <mergeCell ref="E189:E190"/>
    <mergeCell ref="F189:F190"/>
    <mergeCell ref="J170:J171"/>
    <mergeCell ref="K170:K171"/>
    <mergeCell ref="L170:L171"/>
    <mergeCell ref="A173:A178"/>
    <mergeCell ref="B173:B178"/>
    <mergeCell ref="C173:C178"/>
    <mergeCell ref="G173:G174"/>
    <mergeCell ref="H173:H174"/>
    <mergeCell ref="I173:I174"/>
    <mergeCell ref="J173:J174"/>
    <mergeCell ref="K173:K174"/>
    <mergeCell ref="L173:L174"/>
    <mergeCell ref="D175:D178"/>
    <mergeCell ref="E175:E178"/>
    <mergeCell ref="F175:F178"/>
    <mergeCell ref="G175:J175"/>
    <mergeCell ref="G176:G178"/>
    <mergeCell ref="H176:H178"/>
    <mergeCell ref="I176:I178"/>
    <mergeCell ref="J176:J178"/>
    <mergeCell ref="A155:A156"/>
    <mergeCell ref="B155:B156"/>
    <mergeCell ref="C155:C156"/>
    <mergeCell ref="D155:D156"/>
    <mergeCell ref="E155:E156"/>
    <mergeCell ref="F155:F156"/>
    <mergeCell ref="A151:A152"/>
    <mergeCell ref="B151:B152"/>
    <mergeCell ref="C151:C152"/>
    <mergeCell ref="D151:D152"/>
    <mergeCell ref="E151:E152"/>
    <mergeCell ref="F151:F152"/>
    <mergeCell ref="A167:A169"/>
    <mergeCell ref="B167:B169"/>
    <mergeCell ref="C167:C168"/>
    <mergeCell ref="D168:F168"/>
    <mergeCell ref="A170:A171"/>
    <mergeCell ref="B170:B171"/>
    <mergeCell ref="C170:C171"/>
    <mergeCell ref="D170:D171"/>
    <mergeCell ref="E170:E171"/>
    <mergeCell ref="F170:F171"/>
    <mergeCell ref="L127:L128"/>
    <mergeCell ref="F127:F128"/>
    <mergeCell ref="G127:G128"/>
    <mergeCell ref="H127:H128"/>
    <mergeCell ref="I127:I128"/>
    <mergeCell ref="J127:J128"/>
    <mergeCell ref="K127:K128"/>
    <mergeCell ref="L130:P130"/>
    <mergeCell ref="A132:A133"/>
    <mergeCell ref="B132:B133"/>
    <mergeCell ref="C132:C133"/>
    <mergeCell ref="G132:G133"/>
    <mergeCell ref="H132:H133"/>
    <mergeCell ref="I132:I133"/>
    <mergeCell ref="J132:J133"/>
    <mergeCell ref="K132:K133"/>
    <mergeCell ref="J134:J135"/>
    <mergeCell ref="K134:K135"/>
    <mergeCell ref="L134:L135"/>
    <mergeCell ref="A134:A135"/>
    <mergeCell ref="B134:B135"/>
    <mergeCell ref="C134:C135"/>
    <mergeCell ref="G134:G135"/>
    <mergeCell ref="H134:H135"/>
    <mergeCell ref="I134:I135"/>
    <mergeCell ref="L110:L111"/>
    <mergeCell ref="A108:A109"/>
    <mergeCell ref="B108:B109"/>
    <mergeCell ref="C108:C109"/>
    <mergeCell ref="A110:A111"/>
    <mergeCell ref="B110:B111"/>
    <mergeCell ref="C110:C111"/>
    <mergeCell ref="A113:A114"/>
    <mergeCell ref="B113:B114"/>
    <mergeCell ref="A118:A119"/>
    <mergeCell ref="B118:B119"/>
    <mergeCell ref="C118:C119"/>
    <mergeCell ref="G118:G119"/>
    <mergeCell ref="D110:D111"/>
    <mergeCell ref="E110:E111"/>
    <mergeCell ref="F110:F111"/>
    <mergeCell ref="H118:H119"/>
    <mergeCell ref="I118:I119"/>
    <mergeCell ref="J118:J119"/>
    <mergeCell ref="K118:K119"/>
    <mergeCell ref="L118:L119"/>
    <mergeCell ref="L90:L91"/>
    <mergeCell ref="A93:A95"/>
    <mergeCell ref="B93:B95"/>
    <mergeCell ref="C93:C95"/>
    <mergeCell ref="G93:G95"/>
    <mergeCell ref="H93:H95"/>
    <mergeCell ref="I93:I95"/>
    <mergeCell ref="J93:J95"/>
    <mergeCell ref="A90:A91"/>
    <mergeCell ref="B90:B91"/>
    <mergeCell ref="C90:C91"/>
    <mergeCell ref="D90:D91"/>
    <mergeCell ref="E90:E91"/>
    <mergeCell ref="F90:F91"/>
    <mergeCell ref="A105:A106"/>
    <mergeCell ref="B105:B106"/>
    <mergeCell ref="C105:C106"/>
    <mergeCell ref="D105:D106"/>
    <mergeCell ref="E105:E106"/>
    <mergeCell ref="F105:F106"/>
    <mergeCell ref="K93:K95"/>
    <mergeCell ref="A99:A100"/>
    <mergeCell ref="B99:B100"/>
    <mergeCell ref="C99:C100"/>
    <mergeCell ref="G100:J100"/>
    <mergeCell ref="A102:A103"/>
    <mergeCell ref="B102:B103"/>
    <mergeCell ref="C102:C103"/>
    <mergeCell ref="L77:L78"/>
    <mergeCell ref="A79:A81"/>
    <mergeCell ref="B79:B81"/>
    <mergeCell ref="C79:C81"/>
    <mergeCell ref="G79:J81"/>
    <mergeCell ref="K79:K81"/>
    <mergeCell ref="L79:L81"/>
    <mergeCell ref="A77:A78"/>
    <mergeCell ref="B77:B78"/>
    <mergeCell ref="C77:C78"/>
    <mergeCell ref="G77:G78"/>
    <mergeCell ref="H77:H78"/>
    <mergeCell ref="I77:I78"/>
    <mergeCell ref="G82:J83"/>
    <mergeCell ref="K82:K83"/>
    <mergeCell ref="C84:C89"/>
    <mergeCell ref="G85:J85"/>
    <mergeCell ref="D87:E87"/>
    <mergeCell ref="G87:J87"/>
    <mergeCell ref="D88:E88"/>
    <mergeCell ref="A82:A89"/>
    <mergeCell ref="B82:B89"/>
    <mergeCell ref="C82:C83"/>
    <mergeCell ref="D82:D83"/>
    <mergeCell ref="E82:E83"/>
    <mergeCell ref="F82:F83"/>
    <mergeCell ref="L56:L57"/>
    <mergeCell ref="G58:J58"/>
    <mergeCell ref="G60:J60"/>
    <mergeCell ref="A61:A65"/>
    <mergeCell ref="B61:B65"/>
    <mergeCell ref="C61:C65"/>
    <mergeCell ref="D61:D64"/>
    <mergeCell ref="E61:E64"/>
    <mergeCell ref="A56:A57"/>
    <mergeCell ref="B56:B60"/>
    <mergeCell ref="C56:C60"/>
    <mergeCell ref="D56:D57"/>
    <mergeCell ref="E56:E57"/>
    <mergeCell ref="F56:F57"/>
    <mergeCell ref="F61:F64"/>
    <mergeCell ref="G65:J65"/>
    <mergeCell ref="B74:B75"/>
    <mergeCell ref="C74:C75"/>
    <mergeCell ref="G74:G75"/>
    <mergeCell ref="H74:H75"/>
    <mergeCell ref="I74:I75"/>
    <mergeCell ref="J74:J75"/>
    <mergeCell ref="K74:K75"/>
    <mergeCell ref="J56:J57"/>
    <mergeCell ref="A68:A70"/>
    <mergeCell ref="B68:B70"/>
    <mergeCell ref="C68:C70"/>
    <mergeCell ref="D68:D69"/>
    <mergeCell ref="E68:E69"/>
    <mergeCell ref="F68:F69"/>
    <mergeCell ref="H68:H70"/>
    <mergeCell ref="I68:I70"/>
    <mergeCell ref="K22:K23"/>
    <mergeCell ref="A35:A36"/>
    <mergeCell ref="B35:B36"/>
    <mergeCell ref="C35:C36"/>
    <mergeCell ref="D35:D36"/>
    <mergeCell ref="E35:E36"/>
    <mergeCell ref="F35:F36"/>
    <mergeCell ref="A22:A23"/>
    <mergeCell ref="B22:B23"/>
    <mergeCell ref="C22:C23"/>
    <mergeCell ref="E22:E23"/>
    <mergeCell ref="F22:F23"/>
    <mergeCell ref="G22:G23"/>
    <mergeCell ref="L53:L54"/>
    <mergeCell ref="I41:I43"/>
    <mergeCell ref="J41:J43"/>
    <mergeCell ref="K41:K43"/>
    <mergeCell ref="L41:L42"/>
    <mergeCell ref="L43:N43"/>
    <mergeCell ref="G46:G47"/>
    <mergeCell ref="H46:H47"/>
    <mergeCell ref="I46:I47"/>
    <mergeCell ref="J46:J47"/>
    <mergeCell ref="K46:K47"/>
    <mergeCell ref="H25:H26"/>
    <mergeCell ref="I25:I26"/>
    <mergeCell ref="L29:L34"/>
    <mergeCell ref="C41:C43"/>
    <mergeCell ref="G41:G43"/>
    <mergeCell ref="H41:H43"/>
    <mergeCell ref="K12:K13"/>
    <mergeCell ref="H22:H23"/>
    <mergeCell ref="I22:I23"/>
    <mergeCell ref="J22:J23"/>
    <mergeCell ref="G53:G54"/>
    <mergeCell ref="H53:H54"/>
    <mergeCell ref="I53:I54"/>
    <mergeCell ref="J53:J54"/>
    <mergeCell ref="K53:K54"/>
    <mergeCell ref="D70:F70"/>
    <mergeCell ref="A71:A72"/>
    <mergeCell ref="B71:B72"/>
    <mergeCell ref="C71:C72"/>
    <mergeCell ref="D71:D72"/>
    <mergeCell ref="E71:E72"/>
    <mergeCell ref="F71:F72"/>
    <mergeCell ref="L12:L13"/>
    <mergeCell ref="A15:A16"/>
    <mergeCell ref="B15:B16"/>
    <mergeCell ref="C15:C16"/>
    <mergeCell ref="K15:K16"/>
    <mergeCell ref="A12:A13"/>
    <mergeCell ref="B12:B13"/>
    <mergeCell ref="G12:G13"/>
    <mergeCell ref="H12:H13"/>
    <mergeCell ref="I12:I13"/>
    <mergeCell ref="J12:J13"/>
    <mergeCell ref="L15:L16"/>
    <mergeCell ref="G15:J16"/>
    <mergeCell ref="B37:B38"/>
    <mergeCell ref="A41:A43"/>
    <mergeCell ref="B41:B43"/>
    <mergeCell ref="B141:B143"/>
    <mergeCell ref="C141:C143"/>
    <mergeCell ref="I136:I137"/>
    <mergeCell ref="J136:J137"/>
    <mergeCell ref="G71:K71"/>
    <mergeCell ref="A74:A75"/>
    <mergeCell ref="K56:K57"/>
    <mergeCell ref="J77:J78"/>
    <mergeCell ref="K77:K78"/>
    <mergeCell ref="G90:J91"/>
    <mergeCell ref="K90:K91"/>
    <mergeCell ref="J110:J111"/>
    <mergeCell ref="K110:K111"/>
    <mergeCell ref="A127:A128"/>
    <mergeCell ref="B127:B128"/>
    <mergeCell ref="C127:C128"/>
    <mergeCell ref="D127:D128"/>
    <mergeCell ref="E127:E128"/>
    <mergeCell ref="A136:A137"/>
    <mergeCell ref="B136:B137"/>
    <mergeCell ref="C136:C137"/>
    <mergeCell ref="G136:G137"/>
    <mergeCell ref="H136:H137"/>
    <mergeCell ref="K136:K137"/>
    <mergeCell ref="A138:A140"/>
    <mergeCell ref="B138:B140"/>
    <mergeCell ref="C139:C140"/>
    <mergeCell ref="G139:G140"/>
    <mergeCell ref="H139:H140"/>
    <mergeCell ref="I139:I140"/>
    <mergeCell ref="J139:J140"/>
    <mergeCell ref="K139:K140"/>
    <mergeCell ref="G595:J595"/>
    <mergeCell ref="C594:C595"/>
    <mergeCell ref="B594:B595"/>
    <mergeCell ref="A594:A595"/>
    <mergeCell ref="G431:J431"/>
    <mergeCell ref="G432:J432"/>
    <mergeCell ref="G433:J433"/>
    <mergeCell ref="G434:J434"/>
    <mergeCell ref="C429:C434"/>
    <mergeCell ref="B429:B434"/>
    <mergeCell ref="A429:A434"/>
    <mergeCell ref="J210:J213"/>
    <mergeCell ref="K210:K213"/>
    <mergeCell ref="G214:K214"/>
    <mergeCell ref="G29:J29"/>
    <mergeCell ref="G30:J30"/>
    <mergeCell ref="G32:J32"/>
    <mergeCell ref="G33:G34"/>
    <mergeCell ref="H33:H34"/>
    <mergeCell ref="I33:I34"/>
    <mergeCell ref="J33:J34"/>
    <mergeCell ref="K33:K34"/>
    <mergeCell ref="C29:C34"/>
    <mergeCell ref="B29:B34"/>
    <mergeCell ref="A29:A34"/>
    <mergeCell ref="D30:D31"/>
    <mergeCell ref="E30:E31"/>
    <mergeCell ref="F30:F31"/>
    <mergeCell ref="G31:J31"/>
    <mergeCell ref="E254:E255"/>
    <mergeCell ref="F254:F255"/>
    <mergeCell ref="A141:A1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rightToLeft="1" zoomScale="80" zoomScaleNormal="80" workbookViewId="0">
      <pane ySplit="1" topLeftCell="A97" activePane="bottomLeft" state="frozen"/>
      <selection pane="bottomLeft" activeCell="B105" sqref="B105"/>
    </sheetView>
  </sheetViews>
  <sheetFormatPr defaultRowHeight="14.25" x14ac:dyDescent="0.2"/>
  <cols>
    <col min="1" max="1" width="10.625" style="5" customWidth="1"/>
    <col min="2" max="2" width="20.625" customWidth="1"/>
    <col min="3" max="3" width="12.625" customWidth="1"/>
    <col min="4" max="4" width="20.625" customWidth="1"/>
    <col min="5" max="5" width="10.625" customWidth="1"/>
    <col min="6" max="7" width="12.625" customWidth="1"/>
    <col min="8" max="8" width="25.625" customWidth="1"/>
  </cols>
  <sheetData>
    <row r="1" spans="1:8" ht="50.1" customHeight="1" thickBot="1" x14ac:dyDescent="0.25">
      <c r="A1" s="3868" t="s">
        <v>0</v>
      </c>
      <c r="B1" s="3869" t="s">
        <v>879</v>
      </c>
      <c r="C1" s="3870" t="s">
        <v>4</v>
      </c>
      <c r="D1" s="3871" t="s">
        <v>727</v>
      </c>
      <c r="E1" s="3871" t="s">
        <v>5380</v>
      </c>
      <c r="F1" s="3871" t="s">
        <v>5381</v>
      </c>
      <c r="G1" s="3873" t="s">
        <v>5382</v>
      </c>
      <c r="H1" s="3872" t="s">
        <v>5383</v>
      </c>
    </row>
    <row r="2" spans="1:8" ht="30" customHeight="1" thickBot="1" x14ac:dyDescent="0.25">
      <c r="A2" s="441">
        <v>1</v>
      </c>
      <c r="B2" s="400">
        <v>282750000</v>
      </c>
      <c r="C2" s="4313" t="s">
        <v>877</v>
      </c>
      <c r="D2" s="4314"/>
      <c r="E2" s="4314"/>
      <c r="F2" s="4314"/>
      <c r="G2" s="4314"/>
      <c r="H2" s="4315"/>
    </row>
    <row r="3" spans="1:8" ht="30" customHeight="1" x14ac:dyDescent="0.2">
      <c r="A3" s="193">
        <v>2</v>
      </c>
      <c r="B3" s="149">
        <v>20000000</v>
      </c>
      <c r="C3" s="3863"/>
      <c r="D3" s="3863" t="s">
        <v>5609</v>
      </c>
      <c r="E3" s="3864">
        <v>0.06</v>
      </c>
      <c r="F3" s="3863">
        <f>B3*E3</f>
        <v>1200000</v>
      </c>
      <c r="G3" s="3863"/>
      <c r="H3" s="2045"/>
    </row>
    <row r="4" spans="1:8" ht="30" customHeight="1" x14ac:dyDescent="0.2">
      <c r="A4" s="193">
        <v>3</v>
      </c>
      <c r="B4" s="149">
        <v>5000000</v>
      </c>
      <c r="C4" s="3863" t="s">
        <v>865</v>
      </c>
      <c r="D4" s="18" t="s">
        <v>5610</v>
      </c>
      <c r="E4" s="3864">
        <v>0.06</v>
      </c>
      <c r="F4" s="3863">
        <f>B4*E4</f>
        <v>300000</v>
      </c>
      <c r="G4" s="3863"/>
      <c r="H4" s="2045"/>
    </row>
    <row r="5" spans="1:8" ht="30" customHeight="1" x14ac:dyDescent="0.2">
      <c r="A5" s="193">
        <v>4</v>
      </c>
      <c r="B5" s="149">
        <v>10000000</v>
      </c>
      <c r="C5" s="3863" t="s">
        <v>867</v>
      </c>
      <c r="D5" s="18" t="s">
        <v>5630</v>
      </c>
      <c r="E5" s="3864">
        <v>0.06</v>
      </c>
      <c r="F5" s="3863">
        <f>B5*E5</f>
        <v>600000</v>
      </c>
      <c r="G5" s="3863"/>
      <c r="H5" s="2045"/>
    </row>
    <row r="6" spans="1:8" ht="30" customHeight="1" x14ac:dyDescent="0.2">
      <c r="A6" s="193">
        <v>5</v>
      </c>
      <c r="B6" s="149">
        <v>10000000</v>
      </c>
      <c r="C6" s="3863" t="s">
        <v>868</v>
      </c>
      <c r="D6" s="3863" t="s">
        <v>5609</v>
      </c>
      <c r="E6" s="3864">
        <v>0.06</v>
      </c>
      <c r="F6" s="3863">
        <f>B6*E6</f>
        <v>600000</v>
      </c>
      <c r="G6" s="3863"/>
      <c r="H6" s="2045"/>
    </row>
    <row r="7" spans="1:8" ht="30" customHeight="1" x14ac:dyDescent="0.2">
      <c r="A7" s="193">
        <v>6</v>
      </c>
      <c r="B7" s="3863">
        <f>SUM(B3:B6)</f>
        <v>45000000</v>
      </c>
      <c r="C7" s="4322" t="s">
        <v>5627</v>
      </c>
      <c r="D7" s="4322"/>
      <c r="E7" s="4322"/>
      <c r="F7" s="4322"/>
      <c r="G7" s="4322"/>
      <c r="H7" s="4323"/>
    </row>
    <row r="8" spans="1:8" ht="30" customHeight="1" x14ac:dyDescent="0.2">
      <c r="A8" s="193">
        <v>7</v>
      </c>
      <c r="B8" s="3863">
        <f>B2+B7</f>
        <v>327750000</v>
      </c>
      <c r="C8" s="4322" t="s">
        <v>5626</v>
      </c>
      <c r="D8" s="4322"/>
      <c r="E8" s="4322"/>
      <c r="F8" s="4322"/>
      <c r="G8" s="4322"/>
      <c r="H8" s="4323"/>
    </row>
    <row r="9" spans="1:8" ht="30" customHeight="1" x14ac:dyDescent="0.2">
      <c r="A9" s="3874">
        <v>8</v>
      </c>
      <c r="B9" s="3863">
        <f>B8*0.06</f>
        <v>19665000</v>
      </c>
      <c r="C9" s="4303" t="s">
        <v>5628</v>
      </c>
      <c r="D9" s="4324"/>
      <c r="E9" s="4324"/>
      <c r="F9" s="4324"/>
      <c r="G9" s="4324"/>
      <c r="H9" s="4304"/>
    </row>
    <row r="10" spans="1:8" ht="30" customHeight="1" thickBot="1" x14ac:dyDescent="0.25">
      <c r="A10" s="3874">
        <v>9</v>
      </c>
      <c r="B10" s="3865">
        <f>B8+B9</f>
        <v>347415000</v>
      </c>
      <c r="C10" s="4325" t="s">
        <v>5629</v>
      </c>
      <c r="D10" s="4326"/>
      <c r="E10" s="4326"/>
      <c r="F10" s="4326"/>
      <c r="G10" s="4326"/>
      <c r="H10" s="4327"/>
    </row>
    <row r="11" spans="1:8" ht="30" customHeight="1" x14ac:dyDescent="0.2">
      <c r="A11" s="4316" t="s">
        <v>5611</v>
      </c>
      <c r="B11" s="4317"/>
      <c r="C11" s="4317"/>
      <c r="D11" s="4317"/>
      <c r="E11" s="4317"/>
      <c r="F11" s="4317"/>
      <c r="G11" s="4317"/>
      <c r="H11" s="4318"/>
    </row>
    <row r="12" spans="1:8" ht="30" customHeight="1" x14ac:dyDescent="0.2">
      <c r="A12" s="3879">
        <v>10</v>
      </c>
      <c r="B12" s="3867">
        <f>B10</f>
        <v>347415000</v>
      </c>
      <c r="C12" s="4307" t="s">
        <v>877</v>
      </c>
      <c r="D12" s="4307"/>
      <c r="E12" s="4307"/>
      <c r="F12" s="4307"/>
      <c r="G12" s="4307"/>
      <c r="H12" s="4308"/>
    </row>
    <row r="13" spans="1:8" ht="30" customHeight="1" x14ac:dyDescent="0.2">
      <c r="A13" s="3892">
        <v>11</v>
      </c>
      <c r="B13" s="3842">
        <f>B12*0.06</f>
        <v>20844900</v>
      </c>
      <c r="C13" s="4309" t="s">
        <v>5631</v>
      </c>
      <c r="D13" s="4310"/>
      <c r="E13" s="4310"/>
      <c r="F13" s="4310"/>
      <c r="G13" s="4310"/>
      <c r="H13" s="4311"/>
    </row>
    <row r="14" spans="1:8" ht="30" customHeight="1" x14ac:dyDescent="0.2">
      <c r="A14" s="3892">
        <v>12</v>
      </c>
      <c r="B14" s="3878">
        <f>B12+B13</f>
        <v>368259900</v>
      </c>
      <c r="C14" s="4309" t="s">
        <v>5634</v>
      </c>
      <c r="D14" s="4310"/>
      <c r="E14" s="4310"/>
      <c r="F14" s="4310"/>
      <c r="G14" s="4310"/>
      <c r="H14" s="4312"/>
    </row>
    <row r="15" spans="1:8" ht="30" customHeight="1" x14ac:dyDescent="0.2">
      <c r="A15" s="441">
        <v>13</v>
      </c>
      <c r="B15" s="149">
        <v>90000000</v>
      </c>
      <c r="C15" s="3861" t="s">
        <v>871</v>
      </c>
      <c r="D15" s="151" t="s">
        <v>872</v>
      </c>
      <c r="E15" s="3861">
        <v>0.06</v>
      </c>
      <c r="F15" s="3860">
        <f>B15*E15</f>
        <v>5400000</v>
      </c>
      <c r="G15" s="3860">
        <v>32</v>
      </c>
      <c r="H15" s="151">
        <f>(F15*G15)/30</f>
        <v>5760000</v>
      </c>
    </row>
    <row r="16" spans="1:8" ht="30" customHeight="1" x14ac:dyDescent="0.2">
      <c r="A16" s="193">
        <v>14</v>
      </c>
      <c r="B16" s="149">
        <v>10000000</v>
      </c>
      <c r="C16" s="3861" t="s">
        <v>873</v>
      </c>
      <c r="D16" s="18" t="s">
        <v>5616</v>
      </c>
      <c r="E16" s="3864">
        <v>0.06</v>
      </c>
      <c r="F16" s="3863">
        <f>B16*E16</f>
        <v>600000</v>
      </c>
      <c r="G16" s="3863">
        <v>5</v>
      </c>
      <c r="H16" s="2045">
        <f t="shared" ref="H16:H18" si="0">(F16*G16)/30</f>
        <v>100000</v>
      </c>
    </row>
    <row r="17" spans="1:8" ht="30" customHeight="1" x14ac:dyDescent="0.2">
      <c r="A17" s="193">
        <v>15</v>
      </c>
      <c r="B17" s="149">
        <v>70000000</v>
      </c>
      <c r="C17" s="3861" t="s">
        <v>874</v>
      </c>
      <c r="D17" s="18" t="s">
        <v>872</v>
      </c>
      <c r="E17" s="3864">
        <v>0.06</v>
      </c>
      <c r="F17" s="3863">
        <f>B17*E17</f>
        <v>4200000</v>
      </c>
      <c r="G17" s="3863">
        <v>1</v>
      </c>
      <c r="H17" s="2045">
        <f t="shared" si="0"/>
        <v>140000</v>
      </c>
    </row>
    <row r="18" spans="1:8" ht="30" customHeight="1" x14ac:dyDescent="0.2">
      <c r="A18" s="193">
        <v>16</v>
      </c>
      <c r="B18" s="149">
        <v>2250000</v>
      </c>
      <c r="C18" s="3861" t="s">
        <v>875</v>
      </c>
      <c r="D18" s="18"/>
      <c r="E18" s="3864">
        <v>0.06</v>
      </c>
      <c r="F18" s="3863">
        <f>B18*E18</f>
        <v>135000</v>
      </c>
      <c r="G18" s="3863">
        <v>0</v>
      </c>
      <c r="H18" s="2045">
        <f t="shared" si="0"/>
        <v>0</v>
      </c>
    </row>
    <row r="19" spans="1:8" ht="30" customHeight="1" x14ac:dyDescent="0.2">
      <c r="A19" s="193"/>
      <c r="B19" s="3973">
        <f>B15+B16+B17+B18</f>
        <v>172250000</v>
      </c>
      <c r="C19" s="4301" t="s">
        <v>5627</v>
      </c>
      <c r="D19" s="4328"/>
      <c r="E19" s="4328"/>
      <c r="F19" s="4328"/>
      <c r="G19" s="4328"/>
      <c r="H19" s="4302"/>
    </row>
    <row r="20" spans="1:8" ht="30" customHeight="1" x14ac:dyDescent="0.2">
      <c r="A20" s="193">
        <v>17</v>
      </c>
      <c r="B20" s="3875">
        <f>SUM(H15:H18)</f>
        <v>6000000</v>
      </c>
      <c r="C20" s="4301" t="s">
        <v>5632</v>
      </c>
      <c r="D20" s="4328"/>
      <c r="E20" s="4328"/>
      <c r="F20" s="4328"/>
      <c r="G20" s="4328"/>
      <c r="H20" s="4302"/>
    </row>
    <row r="21" spans="1:8" ht="30" customHeight="1" thickBot="1" x14ac:dyDescent="0.25">
      <c r="A21" s="193">
        <v>18</v>
      </c>
      <c r="B21" s="3877">
        <f>B14+B20</f>
        <v>374259900</v>
      </c>
      <c r="C21" s="4322" t="s">
        <v>5633</v>
      </c>
      <c r="D21" s="4322"/>
      <c r="E21" s="4322"/>
      <c r="F21" s="4322"/>
      <c r="G21" s="4322"/>
      <c r="H21" s="4323"/>
    </row>
    <row r="22" spans="1:8" ht="30" customHeight="1" thickBot="1" x14ac:dyDescent="0.25">
      <c r="A22" s="4319" t="s">
        <v>5617</v>
      </c>
      <c r="B22" s="4320"/>
      <c r="C22" s="4320"/>
      <c r="D22" s="4320"/>
      <c r="E22" s="4320"/>
      <c r="F22" s="4320"/>
      <c r="G22" s="4320"/>
      <c r="H22" s="4321"/>
    </row>
    <row r="23" spans="1:8" ht="30" customHeight="1" x14ac:dyDescent="0.2">
      <c r="A23" s="3879">
        <v>19</v>
      </c>
      <c r="B23" s="3878">
        <f>B21+B19</f>
        <v>546509900</v>
      </c>
      <c r="C23" s="4307" t="s">
        <v>877</v>
      </c>
      <c r="D23" s="4307"/>
      <c r="E23" s="4307"/>
      <c r="F23" s="4307"/>
      <c r="G23" s="4307"/>
      <c r="H23" s="4308"/>
    </row>
    <row r="24" spans="1:8" ht="30" customHeight="1" x14ac:dyDescent="0.2">
      <c r="A24" s="3892">
        <v>20</v>
      </c>
      <c r="B24" s="3842">
        <f>B23*0.06</f>
        <v>32790594</v>
      </c>
      <c r="C24" s="4309" t="s">
        <v>5631</v>
      </c>
      <c r="D24" s="4310"/>
      <c r="E24" s="4310"/>
      <c r="F24" s="4310"/>
      <c r="G24" s="4310"/>
      <c r="H24" s="4311"/>
    </row>
    <row r="25" spans="1:8" ht="30" customHeight="1" x14ac:dyDescent="0.2">
      <c r="A25" s="3892">
        <v>21</v>
      </c>
      <c r="B25" s="3878">
        <f>B23+B24</f>
        <v>579300494</v>
      </c>
      <c r="C25" s="4309" t="s">
        <v>5634</v>
      </c>
      <c r="D25" s="4310"/>
      <c r="E25" s="4310"/>
      <c r="F25" s="4310"/>
      <c r="G25" s="4310"/>
      <c r="H25" s="4312"/>
    </row>
    <row r="26" spans="1:8" ht="30" customHeight="1" x14ac:dyDescent="0.2">
      <c r="A26" s="193">
        <v>22</v>
      </c>
      <c r="B26" s="149">
        <v>10000000</v>
      </c>
      <c r="C26" s="3861" t="s">
        <v>443</v>
      </c>
      <c r="D26" s="18" t="s">
        <v>5616</v>
      </c>
      <c r="E26" s="3864">
        <v>0.06</v>
      </c>
      <c r="F26" s="3863">
        <f>B26*E26</f>
        <v>600000</v>
      </c>
      <c r="G26" s="3863">
        <v>5</v>
      </c>
      <c r="H26" s="2045">
        <f>(F26*G26)/30</f>
        <v>100000</v>
      </c>
    </row>
    <row r="27" spans="1:8" ht="30" customHeight="1" x14ac:dyDescent="0.2">
      <c r="A27" s="193">
        <v>23</v>
      </c>
      <c r="B27" s="149">
        <v>20000000</v>
      </c>
      <c r="C27" s="3862"/>
      <c r="D27" s="18" t="s">
        <v>872</v>
      </c>
      <c r="E27" s="3864">
        <v>0.06</v>
      </c>
      <c r="F27" s="3863">
        <f>B27*E27</f>
        <v>1200000</v>
      </c>
      <c r="G27" s="3863">
        <v>5</v>
      </c>
      <c r="H27" s="2045">
        <f>(F27*G27)/30</f>
        <v>200000</v>
      </c>
    </row>
    <row r="28" spans="1:8" ht="30" customHeight="1" x14ac:dyDescent="0.2">
      <c r="A28" s="3988"/>
      <c r="B28" s="3973">
        <f>B26+B27</f>
        <v>30000000</v>
      </c>
      <c r="C28" s="4301" t="s">
        <v>5627</v>
      </c>
      <c r="D28" s="4328"/>
      <c r="E28" s="4328"/>
      <c r="F28" s="4328"/>
      <c r="G28" s="4328"/>
      <c r="H28" s="4302"/>
    </row>
    <row r="29" spans="1:8" ht="30" customHeight="1" x14ac:dyDescent="0.2">
      <c r="A29" s="193">
        <v>24</v>
      </c>
      <c r="B29" s="3875">
        <f>SUM(H26:H27)</f>
        <v>300000</v>
      </c>
      <c r="C29" s="4301" t="s">
        <v>5632</v>
      </c>
      <c r="D29" s="4328"/>
      <c r="E29" s="4328"/>
      <c r="F29" s="4328"/>
      <c r="G29" s="4328"/>
      <c r="H29" s="4302"/>
    </row>
    <row r="30" spans="1:8" ht="30" customHeight="1" thickBot="1" x14ac:dyDescent="0.25">
      <c r="A30" s="193">
        <v>25</v>
      </c>
      <c r="B30" s="3877">
        <f>B25+B29</f>
        <v>579600494</v>
      </c>
      <c r="C30" s="4322" t="s">
        <v>5633</v>
      </c>
      <c r="D30" s="4322"/>
      <c r="E30" s="4322"/>
      <c r="F30" s="4322"/>
      <c r="G30" s="4322"/>
      <c r="H30" s="4323"/>
    </row>
    <row r="31" spans="1:8" ht="30" customHeight="1" thickBot="1" x14ac:dyDescent="0.25">
      <c r="A31" s="4319" t="s">
        <v>5618</v>
      </c>
      <c r="B31" s="4320"/>
      <c r="C31" s="4320"/>
      <c r="D31" s="4320"/>
      <c r="E31" s="4320"/>
      <c r="F31" s="4320"/>
      <c r="G31" s="4320"/>
      <c r="H31" s="4321"/>
    </row>
    <row r="32" spans="1:8" ht="30" customHeight="1" x14ac:dyDescent="0.2">
      <c r="A32" s="3879">
        <v>26</v>
      </c>
      <c r="B32" s="3878">
        <f>B30+B28</f>
        <v>609600494</v>
      </c>
      <c r="C32" s="4307" t="s">
        <v>877</v>
      </c>
      <c r="D32" s="4307"/>
      <c r="E32" s="4307"/>
      <c r="F32" s="4307"/>
      <c r="G32" s="4307"/>
      <c r="H32" s="4308"/>
    </row>
    <row r="33" spans="1:8" ht="30" customHeight="1" x14ac:dyDescent="0.2">
      <c r="A33" s="3892">
        <v>27</v>
      </c>
      <c r="B33" s="3842">
        <f>B32*0.06</f>
        <v>36576029.640000001</v>
      </c>
      <c r="C33" s="4309" t="s">
        <v>5631</v>
      </c>
      <c r="D33" s="4310"/>
      <c r="E33" s="4310"/>
      <c r="F33" s="4310"/>
      <c r="G33" s="4310"/>
      <c r="H33" s="4311"/>
    </row>
    <row r="34" spans="1:8" ht="30" customHeight="1" x14ac:dyDescent="0.2">
      <c r="A34" s="3892">
        <v>28</v>
      </c>
      <c r="B34" s="3878">
        <f>B32+B33</f>
        <v>646176523.63999999</v>
      </c>
      <c r="C34" s="4309" t="s">
        <v>5634</v>
      </c>
      <c r="D34" s="4310"/>
      <c r="E34" s="4310"/>
      <c r="F34" s="4310"/>
      <c r="G34" s="4310"/>
      <c r="H34" s="4312"/>
    </row>
    <row r="35" spans="1:8" ht="30" customHeight="1" x14ac:dyDescent="0.2">
      <c r="A35" s="193">
        <v>29</v>
      </c>
      <c r="B35" s="149">
        <v>10000000</v>
      </c>
      <c r="C35" s="3861" t="s">
        <v>2072</v>
      </c>
      <c r="D35" s="18" t="s">
        <v>5616</v>
      </c>
      <c r="E35" s="3864">
        <v>0.06</v>
      </c>
      <c r="F35" s="3863">
        <f>B35*E35</f>
        <v>600000</v>
      </c>
      <c r="G35" s="3863">
        <v>2</v>
      </c>
      <c r="H35" s="2045">
        <f>(F35*G35)/30</f>
        <v>40000</v>
      </c>
    </row>
    <row r="36" spans="1:8" ht="30" customHeight="1" x14ac:dyDescent="0.2">
      <c r="A36" s="193">
        <v>30</v>
      </c>
      <c r="B36" s="149">
        <v>10000000</v>
      </c>
      <c r="C36" s="3861" t="s">
        <v>2072</v>
      </c>
      <c r="D36" s="18" t="s">
        <v>5616</v>
      </c>
      <c r="E36" s="3864">
        <v>0.06</v>
      </c>
      <c r="F36" s="3863">
        <f>B36*E36</f>
        <v>600000</v>
      </c>
      <c r="G36" s="3863">
        <v>2</v>
      </c>
      <c r="H36" s="2045">
        <f>(F36*G36)/30</f>
        <v>40000</v>
      </c>
    </row>
    <row r="37" spans="1:8" ht="30" customHeight="1" x14ac:dyDescent="0.2">
      <c r="A37" s="3988"/>
      <c r="B37" s="3973">
        <f>B35+B36</f>
        <v>20000000</v>
      </c>
      <c r="C37" s="4301" t="s">
        <v>5627</v>
      </c>
      <c r="D37" s="4328"/>
      <c r="E37" s="4328"/>
      <c r="F37" s="4328"/>
      <c r="G37" s="4328"/>
      <c r="H37" s="4302"/>
    </row>
    <row r="38" spans="1:8" ht="30" customHeight="1" x14ac:dyDescent="0.2">
      <c r="A38" s="193">
        <v>31</v>
      </c>
      <c r="B38" s="3875">
        <f>SUM(H35:H36)</f>
        <v>80000</v>
      </c>
      <c r="C38" s="4301" t="s">
        <v>5632</v>
      </c>
      <c r="D38" s="4328"/>
      <c r="E38" s="4328"/>
      <c r="F38" s="4328"/>
      <c r="G38" s="4328"/>
      <c r="H38" s="4302"/>
    </row>
    <row r="39" spans="1:8" ht="30" customHeight="1" thickBot="1" x14ac:dyDescent="0.25">
      <c r="A39" s="193">
        <v>32</v>
      </c>
      <c r="B39" s="3877">
        <f>B34+B38</f>
        <v>646256523.63999999</v>
      </c>
      <c r="C39" s="4322" t="s">
        <v>5633</v>
      </c>
      <c r="D39" s="4322"/>
      <c r="E39" s="4322"/>
      <c r="F39" s="4322"/>
      <c r="G39" s="4322"/>
      <c r="H39" s="4323"/>
    </row>
    <row r="40" spans="1:8" ht="30" customHeight="1" thickBot="1" x14ac:dyDescent="0.25">
      <c r="A40" s="4319" t="s">
        <v>5619</v>
      </c>
      <c r="B40" s="4320"/>
      <c r="C40" s="4320"/>
      <c r="D40" s="4320"/>
      <c r="E40" s="4320"/>
      <c r="F40" s="4320"/>
      <c r="G40" s="4320"/>
      <c r="H40" s="4321"/>
    </row>
    <row r="41" spans="1:8" ht="30" customHeight="1" x14ac:dyDescent="0.2">
      <c r="A41" s="3879">
        <v>33</v>
      </c>
      <c r="B41" s="3878">
        <f>B39+B37</f>
        <v>666256523.63999999</v>
      </c>
      <c r="C41" s="4307" t="s">
        <v>877</v>
      </c>
      <c r="D41" s="4307"/>
      <c r="E41" s="4307"/>
      <c r="F41" s="4307"/>
      <c r="G41" s="4307"/>
      <c r="H41" s="4308"/>
    </row>
    <row r="42" spans="1:8" ht="30" customHeight="1" x14ac:dyDescent="0.2">
      <c r="A42" s="3892">
        <v>34</v>
      </c>
      <c r="B42" s="3842">
        <f>B41*0.06</f>
        <v>39975391.418399997</v>
      </c>
      <c r="C42" s="4309" t="s">
        <v>5631</v>
      </c>
      <c r="D42" s="4310"/>
      <c r="E42" s="4310"/>
      <c r="F42" s="4310"/>
      <c r="G42" s="4310"/>
      <c r="H42" s="4311"/>
    </row>
    <row r="43" spans="1:8" ht="30" customHeight="1" x14ac:dyDescent="0.2">
      <c r="A43" s="3892">
        <v>35</v>
      </c>
      <c r="B43" s="3878">
        <f>B41+B42</f>
        <v>706231915.05840003</v>
      </c>
      <c r="C43" s="4309" t="s">
        <v>5634</v>
      </c>
      <c r="D43" s="4310"/>
      <c r="E43" s="4310"/>
      <c r="F43" s="4310"/>
      <c r="G43" s="4310"/>
      <c r="H43" s="4312"/>
    </row>
    <row r="44" spans="1:8" ht="30" customHeight="1" x14ac:dyDescent="0.2">
      <c r="A44" s="193">
        <v>36</v>
      </c>
      <c r="B44" s="3863">
        <v>850000</v>
      </c>
      <c r="C44" s="3864" t="s">
        <v>2262</v>
      </c>
      <c r="D44" s="18" t="s">
        <v>5616</v>
      </c>
      <c r="E44" s="3864">
        <v>0.06</v>
      </c>
      <c r="F44" s="3863">
        <f t="shared" ref="F44" si="1">B44*E44</f>
        <v>51000</v>
      </c>
      <c r="G44" s="3863">
        <v>28</v>
      </c>
      <c r="H44" s="2045">
        <f>(F44*G44)/30</f>
        <v>47600</v>
      </c>
    </row>
    <row r="45" spans="1:8" ht="30" customHeight="1" x14ac:dyDescent="0.2">
      <c r="A45" s="193">
        <v>37</v>
      </c>
      <c r="B45" s="149">
        <v>5000000</v>
      </c>
      <c r="C45" s="3861" t="s">
        <v>5620</v>
      </c>
      <c r="D45" s="18"/>
      <c r="E45" s="3864">
        <v>0.06</v>
      </c>
      <c r="F45" s="3863">
        <f>B45*E45</f>
        <v>300000</v>
      </c>
      <c r="G45" s="3863">
        <v>17</v>
      </c>
      <c r="H45" s="2045">
        <f t="shared" ref="H45:H54" si="2">(F45*G45)/30</f>
        <v>170000</v>
      </c>
    </row>
    <row r="46" spans="1:8" ht="30" customHeight="1" x14ac:dyDescent="0.2">
      <c r="A46" s="193">
        <v>38</v>
      </c>
      <c r="B46" s="149">
        <v>50000000</v>
      </c>
      <c r="C46" s="3861" t="s">
        <v>1916</v>
      </c>
      <c r="D46" s="18" t="s">
        <v>872</v>
      </c>
      <c r="E46" s="3864">
        <v>0.06</v>
      </c>
      <c r="F46" s="3863">
        <f t="shared" ref="F46:F54" si="3">B46*E46</f>
        <v>3000000</v>
      </c>
      <c r="G46" s="3863">
        <v>7</v>
      </c>
      <c r="H46" s="2045">
        <f t="shared" si="2"/>
        <v>700000</v>
      </c>
    </row>
    <row r="47" spans="1:8" ht="30" customHeight="1" x14ac:dyDescent="0.2">
      <c r="A47" s="193">
        <v>39</v>
      </c>
      <c r="B47" s="149">
        <v>10000000</v>
      </c>
      <c r="C47" s="3861" t="s">
        <v>2875</v>
      </c>
      <c r="D47" s="18" t="s">
        <v>5616</v>
      </c>
      <c r="E47" s="3864">
        <v>0.06</v>
      </c>
      <c r="F47" s="3863">
        <f t="shared" si="3"/>
        <v>600000</v>
      </c>
      <c r="G47" s="3863">
        <v>5</v>
      </c>
      <c r="H47" s="2045">
        <f t="shared" si="2"/>
        <v>100000</v>
      </c>
    </row>
    <row r="48" spans="1:8" ht="30" customHeight="1" x14ac:dyDescent="0.2">
      <c r="A48" s="193">
        <v>40</v>
      </c>
      <c r="B48" s="149">
        <v>2800000</v>
      </c>
      <c r="C48" s="3861" t="s">
        <v>2875</v>
      </c>
      <c r="D48" s="18" t="s">
        <v>5616</v>
      </c>
      <c r="E48" s="3864">
        <v>0.06</v>
      </c>
      <c r="F48" s="3863">
        <f t="shared" si="3"/>
        <v>168000</v>
      </c>
      <c r="G48" s="3863">
        <v>5</v>
      </c>
      <c r="H48" s="2045">
        <f t="shared" si="2"/>
        <v>28000</v>
      </c>
    </row>
    <row r="49" spans="1:8" ht="30" customHeight="1" x14ac:dyDescent="0.2">
      <c r="A49" s="193">
        <v>41</v>
      </c>
      <c r="B49" s="149">
        <v>10000000</v>
      </c>
      <c r="C49" s="3861" t="s">
        <v>2877</v>
      </c>
      <c r="D49" s="18" t="s">
        <v>5616</v>
      </c>
      <c r="E49" s="3864">
        <v>0.06</v>
      </c>
      <c r="F49" s="3863">
        <f t="shared" si="3"/>
        <v>600000</v>
      </c>
      <c r="G49" s="3863">
        <v>4</v>
      </c>
      <c r="H49" s="2045">
        <f t="shared" si="2"/>
        <v>80000</v>
      </c>
    </row>
    <row r="50" spans="1:8" ht="30" customHeight="1" x14ac:dyDescent="0.2">
      <c r="A50" s="193">
        <v>42</v>
      </c>
      <c r="B50" s="149">
        <v>9000000</v>
      </c>
      <c r="C50" s="3861" t="s">
        <v>2897</v>
      </c>
      <c r="D50" s="18" t="s">
        <v>5616</v>
      </c>
      <c r="E50" s="3864">
        <v>0.06</v>
      </c>
      <c r="F50" s="3863">
        <f t="shared" si="3"/>
        <v>540000</v>
      </c>
      <c r="G50" s="3863">
        <v>2</v>
      </c>
      <c r="H50" s="2045">
        <f t="shared" si="2"/>
        <v>36000</v>
      </c>
    </row>
    <row r="51" spans="1:8" ht="30" customHeight="1" x14ac:dyDescent="0.2">
      <c r="A51" s="193">
        <v>43</v>
      </c>
      <c r="B51" s="149">
        <v>10000000</v>
      </c>
      <c r="C51" s="3861" t="s">
        <v>2897</v>
      </c>
      <c r="D51" s="18" t="s">
        <v>5616</v>
      </c>
      <c r="E51" s="3864">
        <v>0.06</v>
      </c>
      <c r="F51" s="3863">
        <f t="shared" si="3"/>
        <v>600000</v>
      </c>
      <c r="G51" s="3863">
        <v>2</v>
      </c>
      <c r="H51" s="2045">
        <f t="shared" si="2"/>
        <v>40000</v>
      </c>
    </row>
    <row r="52" spans="1:8" ht="30" customHeight="1" x14ac:dyDescent="0.2">
      <c r="A52" s="193">
        <v>44</v>
      </c>
      <c r="B52" s="149">
        <v>10000000</v>
      </c>
      <c r="C52" s="3861" t="s">
        <v>2897</v>
      </c>
      <c r="D52" s="18" t="s">
        <v>5616</v>
      </c>
      <c r="E52" s="3864">
        <v>0.06</v>
      </c>
      <c r="F52" s="3863">
        <f>B52*E52</f>
        <v>600000</v>
      </c>
      <c r="G52" s="3863">
        <v>2</v>
      </c>
      <c r="H52" s="2045">
        <f t="shared" si="2"/>
        <v>40000</v>
      </c>
    </row>
    <row r="53" spans="1:8" ht="30" customHeight="1" x14ac:dyDescent="0.2">
      <c r="A53" s="193">
        <v>45</v>
      </c>
      <c r="B53" s="149">
        <v>2300000</v>
      </c>
      <c r="C53" s="3861" t="s">
        <v>2897</v>
      </c>
      <c r="D53" s="18" t="s">
        <v>5616</v>
      </c>
      <c r="E53" s="3864">
        <v>0.06</v>
      </c>
      <c r="F53" s="3863">
        <f t="shared" si="3"/>
        <v>138000</v>
      </c>
      <c r="G53" s="3863">
        <v>2</v>
      </c>
      <c r="H53" s="2045">
        <f t="shared" si="2"/>
        <v>9200</v>
      </c>
    </row>
    <row r="54" spans="1:8" ht="30" customHeight="1" x14ac:dyDescent="0.2">
      <c r="A54" s="193">
        <v>46</v>
      </c>
      <c r="B54" s="149">
        <v>9000000</v>
      </c>
      <c r="C54" s="3861" t="s">
        <v>3004</v>
      </c>
      <c r="D54" s="18" t="s">
        <v>5616</v>
      </c>
      <c r="E54" s="3864">
        <v>0.06</v>
      </c>
      <c r="F54" s="3863">
        <f t="shared" si="3"/>
        <v>540000</v>
      </c>
      <c r="G54" s="3863">
        <v>0</v>
      </c>
      <c r="H54" s="2045">
        <f t="shared" si="2"/>
        <v>0</v>
      </c>
    </row>
    <row r="55" spans="1:8" ht="30" customHeight="1" x14ac:dyDescent="0.2">
      <c r="A55" s="3988"/>
      <c r="B55" s="3973">
        <f>SUM(B44:B54)</f>
        <v>118950000</v>
      </c>
      <c r="C55" s="4301" t="s">
        <v>5627</v>
      </c>
      <c r="D55" s="4328"/>
      <c r="E55" s="4328"/>
      <c r="F55" s="4328"/>
      <c r="G55" s="4328"/>
      <c r="H55" s="4302"/>
    </row>
    <row r="56" spans="1:8" ht="30" customHeight="1" x14ac:dyDescent="0.2">
      <c r="A56" s="193">
        <v>47</v>
      </c>
      <c r="B56" s="3875">
        <f>SUM(H44:H54)</f>
        <v>1250800</v>
      </c>
      <c r="C56" s="4301" t="s">
        <v>5632</v>
      </c>
      <c r="D56" s="4328"/>
      <c r="E56" s="4328"/>
      <c r="F56" s="4328"/>
      <c r="G56" s="4328"/>
      <c r="H56" s="4302"/>
    </row>
    <row r="57" spans="1:8" ht="30" customHeight="1" thickBot="1" x14ac:dyDescent="0.25">
      <c r="A57" s="193">
        <v>48</v>
      </c>
      <c r="B57" s="3877">
        <f>B43+B56</f>
        <v>707482715.05840003</v>
      </c>
      <c r="C57" s="4322" t="s">
        <v>5633</v>
      </c>
      <c r="D57" s="4322"/>
      <c r="E57" s="4322"/>
      <c r="F57" s="4322"/>
      <c r="G57" s="4322"/>
      <c r="H57" s="4323"/>
    </row>
    <row r="58" spans="1:8" ht="30" customHeight="1" thickBot="1" x14ac:dyDescent="0.25">
      <c r="A58" s="4319" t="s">
        <v>5621</v>
      </c>
      <c r="B58" s="4320"/>
      <c r="C58" s="4320"/>
      <c r="D58" s="4320"/>
      <c r="E58" s="4320"/>
      <c r="F58" s="4320"/>
      <c r="G58" s="4320"/>
      <c r="H58" s="4321"/>
    </row>
    <row r="59" spans="1:8" ht="30" customHeight="1" x14ac:dyDescent="0.2">
      <c r="A59" s="3879"/>
      <c r="B59" s="3992">
        <f>B57+B55</f>
        <v>826432715.05840003</v>
      </c>
      <c r="C59" s="4307" t="s">
        <v>877</v>
      </c>
      <c r="D59" s="4307"/>
      <c r="E59" s="4307"/>
      <c r="F59" s="4307"/>
      <c r="G59" s="4307"/>
      <c r="H59" s="4308"/>
    </row>
    <row r="60" spans="1:8" ht="30" customHeight="1" x14ac:dyDescent="0.2">
      <c r="A60" s="3892"/>
      <c r="B60" s="3842">
        <f>B59*0.07</f>
        <v>57850290.054088011</v>
      </c>
      <c r="C60" s="4309" t="s">
        <v>5631</v>
      </c>
      <c r="D60" s="4310"/>
      <c r="E60" s="4310"/>
      <c r="F60" s="4310"/>
      <c r="G60" s="4310"/>
      <c r="H60" s="4311"/>
    </row>
    <row r="61" spans="1:8" ht="30" customHeight="1" x14ac:dyDescent="0.2">
      <c r="A61" s="3892"/>
      <c r="B61" s="3992">
        <f>B59+B60</f>
        <v>884283005.11248803</v>
      </c>
      <c r="C61" s="4309" t="s">
        <v>5634</v>
      </c>
      <c r="D61" s="4310"/>
      <c r="E61" s="4310"/>
      <c r="F61" s="4310"/>
      <c r="G61" s="4310"/>
      <c r="H61" s="4312"/>
    </row>
    <row r="62" spans="1:8" ht="30" customHeight="1" thickBot="1" x14ac:dyDescent="0.25">
      <c r="A62" s="1086"/>
      <c r="B62" s="3863"/>
      <c r="C62" s="3864"/>
      <c r="D62" s="18"/>
      <c r="E62" s="3864"/>
      <c r="F62" s="3863"/>
      <c r="G62" s="3863"/>
      <c r="H62" s="2045"/>
    </row>
    <row r="63" spans="1:8" ht="30" customHeight="1" thickBot="1" x14ac:dyDescent="0.25">
      <c r="A63" s="4319" t="s">
        <v>5622</v>
      </c>
      <c r="B63" s="4320"/>
      <c r="C63" s="4320"/>
      <c r="D63" s="4320"/>
      <c r="E63" s="4320"/>
      <c r="F63" s="4320"/>
      <c r="G63" s="4320"/>
      <c r="H63" s="4321"/>
    </row>
    <row r="64" spans="1:8" ht="30" customHeight="1" x14ac:dyDescent="0.2">
      <c r="A64" s="3879">
        <v>49</v>
      </c>
      <c r="B64" s="3878">
        <f>B61</f>
        <v>884283005.11248803</v>
      </c>
      <c r="C64" s="4307" t="s">
        <v>877</v>
      </c>
      <c r="D64" s="4307"/>
      <c r="E64" s="4307"/>
      <c r="F64" s="4307"/>
      <c r="G64" s="4307"/>
      <c r="H64" s="4308"/>
    </row>
    <row r="65" spans="1:8" ht="30" customHeight="1" x14ac:dyDescent="0.2">
      <c r="A65" s="3892">
        <v>50</v>
      </c>
      <c r="B65" s="3842">
        <f>B64*0.07</f>
        <v>61899810.35787417</v>
      </c>
      <c r="C65" s="4309" t="s">
        <v>5631</v>
      </c>
      <c r="D65" s="4310"/>
      <c r="E65" s="4310"/>
      <c r="F65" s="4310"/>
      <c r="G65" s="4310"/>
      <c r="H65" s="4311"/>
    </row>
    <row r="66" spans="1:8" ht="30" customHeight="1" x14ac:dyDescent="0.2">
      <c r="A66" s="3892">
        <v>51</v>
      </c>
      <c r="B66" s="3878">
        <f>B64+B65</f>
        <v>946182815.47036219</v>
      </c>
      <c r="C66" s="4309" t="s">
        <v>5634</v>
      </c>
      <c r="D66" s="4310"/>
      <c r="E66" s="4310"/>
      <c r="F66" s="4310"/>
      <c r="G66" s="4310"/>
      <c r="H66" s="4312"/>
    </row>
    <row r="67" spans="1:8" ht="30" customHeight="1" x14ac:dyDescent="0.2">
      <c r="A67" s="193">
        <v>52</v>
      </c>
      <c r="B67" s="149">
        <v>140000000</v>
      </c>
      <c r="C67" s="3861" t="s">
        <v>2599</v>
      </c>
      <c r="D67" s="18"/>
      <c r="E67" s="3864">
        <v>7.0000000000000007E-2</v>
      </c>
      <c r="F67" s="3863">
        <f>B67*E67</f>
        <v>9800000.0000000019</v>
      </c>
      <c r="G67" s="3863">
        <v>29</v>
      </c>
      <c r="H67" s="2045">
        <f>(F67*G67)/30</f>
        <v>9473333.3333333358</v>
      </c>
    </row>
    <row r="68" spans="1:8" ht="30" customHeight="1" x14ac:dyDescent="0.2">
      <c r="A68" s="193">
        <v>53</v>
      </c>
      <c r="B68" s="149">
        <v>10000000</v>
      </c>
      <c r="C68" s="3861" t="s">
        <v>1189</v>
      </c>
      <c r="D68" s="18" t="s">
        <v>5616</v>
      </c>
      <c r="E68" s="3864">
        <v>7.0000000000000007E-2</v>
      </c>
      <c r="F68" s="3863">
        <f t="shared" ref="F68:F76" si="4">B68*E68</f>
        <v>700000.00000000012</v>
      </c>
      <c r="G68" s="3863">
        <v>27</v>
      </c>
      <c r="H68" s="2045">
        <f t="shared" ref="H68:H76" si="5">(F68*G68)/30</f>
        <v>630000.00000000012</v>
      </c>
    </row>
    <row r="69" spans="1:8" ht="30" customHeight="1" x14ac:dyDescent="0.2">
      <c r="A69" s="193">
        <v>54</v>
      </c>
      <c r="B69" s="149">
        <v>10000000</v>
      </c>
      <c r="C69" s="3861" t="s">
        <v>3770</v>
      </c>
      <c r="D69" s="18"/>
      <c r="E69" s="3864">
        <v>7.0000000000000007E-2</v>
      </c>
      <c r="F69" s="3863">
        <f t="shared" si="4"/>
        <v>700000.00000000012</v>
      </c>
      <c r="G69" s="3863">
        <v>25</v>
      </c>
      <c r="H69" s="2045">
        <f t="shared" si="5"/>
        <v>583333.33333333349</v>
      </c>
    </row>
    <row r="70" spans="1:8" ht="30" customHeight="1" x14ac:dyDescent="0.2">
      <c r="A70" s="193">
        <v>55</v>
      </c>
      <c r="B70" s="149">
        <v>10000000</v>
      </c>
      <c r="C70" s="3861" t="s">
        <v>3770</v>
      </c>
      <c r="D70" s="18"/>
      <c r="E70" s="3864">
        <v>7.0000000000000007E-2</v>
      </c>
      <c r="F70" s="3863">
        <f t="shared" si="4"/>
        <v>700000.00000000012</v>
      </c>
      <c r="G70" s="3863">
        <v>25</v>
      </c>
      <c r="H70" s="2045">
        <f t="shared" si="5"/>
        <v>583333.33333333349</v>
      </c>
    </row>
    <row r="71" spans="1:8" ht="30" customHeight="1" x14ac:dyDescent="0.2">
      <c r="A71" s="193">
        <v>56</v>
      </c>
      <c r="B71" s="149">
        <v>5000000</v>
      </c>
      <c r="C71" s="3861" t="s">
        <v>3770</v>
      </c>
      <c r="D71" s="18" t="s">
        <v>5616</v>
      </c>
      <c r="E71" s="3864">
        <v>7.0000000000000007E-2</v>
      </c>
      <c r="F71" s="3863">
        <f t="shared" si="4"/>
        <v>350000.00000000006</v>
      </c>
      <c r="G71" s="3863">
        <v>25</v>
      </c>
      <c r="H71" s="2045">
        <f t="shared" si="5"/>
        <v>291666.66666666674</v>
      </c>
    </row>
    <row r="72" spans="1:8" ht="30" customHeight="1" x14ac:dyDescent="0.2">
      <c r="A72" s="193">
        <v>57</v>
      </c>
      <c r="B72" s="149">
        <v>10000000</v>
      </c>
      <c r="C72" s="3864" t="s">
        <v>4045</v>
      </c>
      <c r="D72" s="3866"/>
      <c r="E72" s="3866">
        <v>7.0000000000000007E-2</v>
      </c>
      <c r="F72" s="3863">
        <f t="shared" si="4"/>
        <v>700000.00000000012</v>
      </c>
      <c r="G72" s="3863">
        <v>6</v>
      </c>
      <c r="H72" s="2045">
        <f t="shared" si="5"/>
        <v>140000.00000000003</v>
      </c>
    </row>
    <row r="73" spans="1:8" ht="30" customHeight="1" x14ac:dyDescent="0.2">
      <c r="A73" s="193">
        <v>58</v>
      </c>
      <c r="B73" s="575">
        <v>5000000</v>
      </c>
      <c r="C73" s="3864" t="s">
        <v>4045</v>
      </c>
      <c r="D73" s="18" t="s">
        <v>5616</v>
      </c>
      <c r="E73" s="3866">
        <v>7.0000000000000007E-2</v>
      </c>
      <c r="F73" s="3863">
        <f t="shared" si="4"/>
        <v>350000.00000000006</v>
      </c>
      <c r="G73" s="3863">
        <v>6</v>
      </c>
      <c r="H73" s="2045">
        <f t="shared" si="5"/>
        <v>70000.000000000015</v>
      </c>
    </row>
    <row r="74" spans="1:8" ht="30" customHeight="1" x14ac:dyDescent="0.2">
      <c r="A74" s="193">
        <v>59</v>
      </c>
      <c r="B74" s="575">
        <v>10000000</v>
      </c>
      <c r="C74" s="3864" t="s">
        <v>4045</v>
      </c>
      <c r="D74" s="3866"/>
      <c r="E74" s="3866">
        <v>7.0000000000000007E-2</v>
      </c>
      <c r="F74" s="3863">
        <f t="shared" si="4"/>
        <v>700000.00000000012</v>
      </c>
      <c r="G74" s="3863">
        <v>6</v>
      </c>
      <c r="H74" s="2045">
        <f t="shared" si="5"/>
        <v>140000.00000000003</v>
      </c>
    </row>
    <row r="75" spans="1:8" ht="30" customHeight="1" x14ac:dyDescent="0.2">
      <c r="A75" s="193">
        <v>60</v>
      </c>
      <c r="B75" s="149">
        <v>10000000</v>
      </c>
      <c r="C75" s="3861" t="s">
        <v>3078</v>
      </c>
      <c r="D75" s="3866" t="s">
        <v>5616</v>
      </c>
      <c r="E75" s="3866">
        <v>7.0000000000000007E-2</v>
      </c>
      <c r="F75" s="3863">
        <f t="shared" si="4"/>
        <v>700000.00000000012</v>
      </c>
      <c r="G75" s="3863">
        <v>5</v>
      </c>
      <c r="H75" s="2045">
        <f t="shared" si="5"/>
        <v>116666.66666666669</v>
      </c>
    </row>
    <row r="76" spans="1:8" ht="30" customHeight="1" x14ac:dyDescent="0.2">
      <c r="A76" s="193">
        <v>61</v>
      </c>
      <c r="B76" s="149">
        <v>3500000</v>
      </c>
      <c r="C76" s="3861" t="s">
        <v>4119</v>
      </c>
      <c r="D76" s="18" t="s">
        <v>872</v>
      </c>
      <c r="E76" s="3866">
        <v>7.0000000000000007E-2</v>
      </c>
      <c r="F76" s="3863">
        <f t="shared" si="4"/>
        <v>245000.00000000003</v>
      </c>
      <c r="G76" s="3866">
        <v>1</v>
      </c>
      <c r="H76" s="2045">
        <f t="shared" si="5"/>
        <v>8166.6666666666679</v>
      </c>
    </row>
    <row r="77" spans="1:8" ht="30" customHeight="1" x14ac:dyDescent="0.2">
      <c r="A77" s="3988"/>
      <c r="B77" s="3973">
        <f>SUM(B67:B76)</f>
        <v>213500000</v>
      </c>
      <c r="C77" s="4301" t="s">
        <v>5627</v>
      </c>
      <c r="D77" s="4328"/>
      <c r="E77" s="4328"/>
      <c r="F77" s="4328"/>
      <c r="G77" s="4328"/>
      <c r="H77" s="4302"/>
    </row>
    <row r="78" spans="1:8" ht="30" customHeight="1" x14ac:dyDescent="0.2">
      <c r="A78" s="193">
        <v>62</v>
      </c>
      <c r="B78" s="3875">
        <f>SUM(H67:H76)</f>
        <v>12036500.000000002</v>
      </c>
      <c r="C78" s="4301" t="s">
        <v>5632</v>
      </c>
      <c r="D78" s="4328"/>
      <c r="E78" s="4328"/>
      <c r="F78" s="4328"/>
      <c r="G78" s="4328"/>
      <c r="H78" s="4302"/>
    </row>
    <row r="79" spans="1:8" ht="30" customHeight="1" thickBot="1" x14ac:dyDescent="0.25">
      <c r="A79" s="193">
        <v>63</v>
      </c>
      <c r="B79" s="3877">
        <f>B66+B78</f>
        <v>958219315.47036219</v>
      </c>
      <c r="C79" s="4322" t="s">
        <v>5633</v>
      </c>
      <c r="D79" s="4322"/>
      <c r="E79" s="4322"/>
      <c r="F79" s="4322"/>
      <c r="G79" s="4322"/>
      <c r="H79" s="4323"/>
    </row>
    <row r="80" spans="1:8" ht="30" customHeight="1" thickBot="1" x14ac:dyDescent="0.25">
      <c r="A80" s="4319" t="s">
        <v>5623</v>
      </c>
      <c r="B80" s="4320"/>
      <c r="C80" s="4320"/>
      <c r="D80" s="4320"/>
      <c r="E80" s="4320"/>
      <c r="F80" s="4320"/>
      <c r="G80" s="4320"/>
      <c r="H80" s="4321"/>
    </row>
    <row r="81" spans="1:8" ht="30" customHeight="1" x14ac:dyDescent="0.2">
      <c r="A81" s="3879">
        <v>64</v>
      </c>
      <c r="B81" s="3878">
        <f>B79+B77</f>
        <v>1171719315.4703622</v>
      </c>
      <c r="C81" s="4307" t="s">
        <v>877</v>
      </c>
      <c r="D81" s="4307"/>
      <c r="E81" s="4307"/>
      <c r="F81" s="4307"/>
      <c r="G81" s="4307"/>
      <c r="H81" s="4308"/>
    </row>
    <row r="82" spans="1:8" ht="30" customHeight="1" x14ac:dyDescent="0.2">
      <c r="A82" s="3892">
        <v>65</v>
      </c>
      <c r="B82" s="3842">
        <f>B81*0.07</f>
        <v>82020352.082925364</v>
      </c>
      <c r="C82" s="4309" t="s">
        <v>5631</v>
      </c>
      <c r="D82" s="4310"/>
      <c r="E82" s="4310"/>
      <c r="F82" s="4310"/>
      <c r="G82" s="4310"/>
      <c r="H82" s="4311"/>
    </row>
    <row r="83" spans="1:8" ht="30" customHeight="1" x14ac:dyDescent="0.2">
      <c r="A83" s="3892">
        <v>66</v>
      </c>
      <c r="B83" s="3878">
        <f>B81+B82</f>
        <v>1253739667.5532875</v>
      </c>
      <c r="C83" s="4309" t="s">
        <v>5634</v>
      </c>
      <c r="D83" s="4310"/>
      <c r="E83" s="4310"/>
      <c r="F83" s="4310"/>
      <c r="G83" s="4310"/>
      <c r="H83" s="4312"/>
    </row>
    <row r="84" spans="1:8" ht="30" customHeight="1" x14ac:dyDescent="0.2">
      <c r="A84" s="193">
        <v>67</v>
      </c>
      <c r="B84" s="149">
        <v>10000000</v>
      </c>
      <c r="C84" s="3861" t="s">
        <v>4130</v>
      </c>
      <c r="D84" s="3866" t="s">
        <v>5616</v>
      </c>
      <c r="E84" s="3866">
        <v>7.0000000000000007E-2</v>
      </c>
      <c r="F84" s="149">
        <f>B84*E84</f>
        <v>700000.00000000012</v>
      </c>
      <c r="G84" s="3866">
        <v>26</v>
      </c>
      <c r="H84" s="151">
        <f>(F84*G84)/30</f>
        <v>606666.66666666674</v>
      </c>
    </row>
    <row r="85" spans="1:8" ht="30" customHeight="1" x14ac:dyDescent="0.2">
      <c r="A85" s="193">
        <v>68</v>
      </c>
      <c r="B85" s="149">
        <v>10000000</v>
      </c>
      <c r="C85" s="3861" t="s">
        <v>4146</v>
      </c>
      <c r="D85" s="3866" t="s">
        <v>5616</v>
      </c>
      <c r="E85" s="3866">
        <v>7.0000000000000007E-2</v>
      </c>
      <c r="F85" s="149">
        <f t="shared" ref="F85:F89" si="6">B85*E85</f>
        <v>700000.00000000012</v>
      </c>
      <c r="G85" s="3866">
        <v>24</v>
      </c>
      <c r="H85" s="151">
        <f t="shared" ref="H85:H89" si="7">(F85*G85)/30</f>
        <v>560000.00000000012</v>
      </c>
    </row>
    <row r="86" spans="1:8" ht="30" customHeight="1" x14ac:dyDescent="0.2">
      <c r="A86" s="193">
        <v>69</v>
      </c>
      <c r="B86" s="149">
        <v>10000000</v>
      </c>
      <c r="C86" s="3861" t="s">
        <v>3003</v>
      </c>
      <c r="D86" s="3866"/>
      <c r="E86" s="3866">
        <v>7.0000000000000007E-2</v>
      </c>
      <c r="F86" s="149">
        <f t="shared" si="6"/>
        <v>700000.00000000012</v>
      </c>
      <c r="G86" s="3866">
        <v>1</v>
      </c>
      <c r="H86" s="151">
        <f t="shared" si="7"/>
        <v>23333.333333333336</v>
      </c>
    </row>
    <row r="87" spans="1:8" ht="30" customHeight="1" x14ac:dyDescent="0.2">
      <c r="A87" s="193">
        <v>70</v>
      </c>
      <c r="B87" s="149">
        <v>10000000</v>
      </c>
      <c r="C87" s="3861" t="s">
        <v>3003</v>
      </c>
      <c r="D87" s="3866"/>
      <c r="E87" s="3866">
        <v>7.0000000000000007E-2</v>
      </c>
      <c r="F87" s="149">
        <f t="shared" si="6"/>
        <v>700000.00000000012</v>
      </c>
      <c r="G87" s="3866">
        <v>1</v>
      </c>
      <c r="H87" s="151">
        <f t="shared" si="7"/>
        <v>23333.333333333336</v>
      </c>
    </row>
    <row r="88" spans="1:8" ht="30" customHeight="1" x14ac:dyDescent="0.2">
      <c r="A88" s="193">
        <v>71</v>
      </c>
      <c r="B88" s="149">
        <v>10000000</v>
      </c>
      <c r="C88" s="3861" t="s">
        <v>4542</v>
      </c>
      <c r="D88" s="3866"/>
      <c r="E88" s="3866">
        <v>7.0000000000000007E-2</v>
      </c>
      <c r="F88" s="149">
        <f t="shared" si="6"/>
        <v>700000.00000000012</v>
      </c>
      <c r="G88" s="3866">
        <v>0</v>
      </c>
      <c r="H88" s="151">
        <f t="shared" si="7"/>
        <v>0</v>
      </c>
    </row>
    <row r="89" spans="1:8" ht="30" customHeight="1" x14ac:dyDescent="0.2">
      <c r="A89" s="193">
        <v>72</v>
      </c>
      <c r="B89" s="149">
        <v>10000000</v>
      </c>
      <c r="C89" s="3861" t="s">
        <v>4542</v>
      </c>
      <c r="D89" s="3866"/>
      <c r="E89" s="3866">
        <v>7.0000000000000007E-2</v>
      </c>
      <c r="F89" s="149">
        <f t="shared" si="6"/>
        <v>700000.00000000012</v>
      </c>
      <c r="G89" s="3866">
        <v>0</v>
      </c>
      <c r="H89" s="151">
        <f t="shared" si="7"/>
        <v>0</v>
      </c>
    </row>
    <row r="90" spans="1:8" ht="30" customHeight="1" x14ac:dyDescent="0.2">
      <c r="A90" s="4031"/>
      <c r="B90" s="3973">
        <f>SUM(B84:B89)</f>
        <v>60000000</v>
      </c>
      <c r="C90" s="4301" t="s">
        <v>5627</v>
      </c>
      <c r="D90" s="4328"/>
      <c r="E90" s="4328"/>
      <c r="F90" s="4328"/>
      <c r="G90" s="4328"/>
      <c r="H90" s="4302"/>
    </row>
    <row r="91" spans="1:8" ht="30" customHeight="1" x14ac:dyDescent="0.2">
      <c r="A91" s="3876">
        <v>73</v>
      </c>
      <c r="B91" s="3875">
        <f>SUM(H84:H89)</f>
        <v>1213333.3333333335</v>
      </c>
      <c r="C91" s="4301" t="s">
        <v>5632</v>
      </c>
      <c r="D91" s="4328"/>
      <c r="E91" s="4328"/>
      <c r="F91" s="4328"/>
      <c r="G91" s="4328"/>
      <c r="H91" s="4302"/>
    </row>
    <row r="92" spans="1:8" ht="30" customHeight="1" x14ac:dyDescent="0.2">
      <c r="A92" s="3876">
        <v>74</v>
      </c>
      <c r="B92" s="3875">
        <f>B83+B91</f>
        <v>1254953000.8866208</v>
      </c>
      <c r="C92" s="4322" t="s">
        <v>5633</v>
      </c>
      <c r="D92" s="4322"/>
      <c r="E92" s="4322"/>
      <c r="F92" s="4322"/>
      <c r="G92" s="4322"/>
      <c r="H92" s="4323"/>
    </row>
    <row r="93" spans="1:8" ht="30" customHeight="1" thickBot="1" x14ac:dyDescent="0.25">
      <c r="A93" s="4329" t="s">
        <v>5624</v>
      </c>
      <c r="B93" s="4330"/>
      <c r="C93" s="4330"/>
      <c r="D93" s="4330"/>
      <c r="E93" s="4330"/>
      <c r="F93" s="4330"/>
      <c r="G93" s="4330"/>
      <c r="H93" s="4331"/>
    </row>
    <row r="94" spans="1:8" ht="30" customHeight="1" x14ac:dyDescent="0.2">
      <c r="A94" s="3879">
        <v>75</v>
      </c>
      <c r="B94" s="3878">
        <f>B92+B90</f>
        <v>1314953000.8866208</v>
      </c>
      <c r="C94" s="4307" t="s">
        <v>877</v>
      </c>
      <c r="D94" s="4307"/>
      <c r="E94" s="4307"/>
      <c r="F94" s="4307"/>
      <c r="G94" s="4307"/>
      <c r="H94" s="4308"/>
    </row>
    <row r="95" spans="1:8" ht="30" customHeight="1" x14ac:dyDescent="0.2">
      <c r="A95" s="3892">
        <v>76</v>
      </c>
      <c r="B95" s="3842">
        <f>B94*0.07</f>
        <v>92046710.062063456</v>
      </c>
      <c r="C95" s="4309" t="s">
        <v>5631</v>
      </c>
      <c r="D95" s="4310"/>
      <c r="E95" s="4310"/>
      <c r="F95" s="4310"/>
      <c r="G95" s="4310"/>
      <c r="H95" s="4311"/>
    </row>
    <row r="96" spans="1:8" ht="30" customHeight="1" x14ac:dyDescent="0.2">
      <c r="A96" s="3892">
        <v>77</v>
      </c>
      <c r="B96" s="3878">
        <f>B94+B95</f>
        <v>1406999710.9486842</v>
      </c>
      <c r="C96" s="4309" t="s">
        <v>5634</v>
      </c>
      <c r="D96" s="4310"/>
      <c r="E96" s="4310"/>
      <c r="F96" s="4310"/>
      <c r="G96" s="4310"/>
      <c r="H96" s="4312"/>
    </row>
    <row r="97" spans="1:8" ht="30" customHeight="1" x14ac:dyDescent="0.2">
      <c r="A97" s="193">
        <v>78</v>
      </c>
      <c r="B97" s="149">
        <v>10000000</v>
      </c>
      <c r="C97" s="3861" t="s">
        <v>2125</v>
      </c>
      <c r="D97" s="3866"/>
      <c r="E97" s="3866">
        <v>7.0000000000000007E-2</v>
      </c>
      <c r="F97" s="149">
        <f>B97*E97</f>
        <v>700000.00000000012</v>
      </c>
      <c r="G97" s="3866">
        <v>29</v>
      </c>
      <c r="H97" s="151">
        <f>(F97*G97)/30</f>
        <v>676666.66666666674</v>
      </c>
    </row>
    <row r="98" spans="1:8" ht="30" customHeight="1" x14ac:dyDescent="0.2">
      <c r="A98" s="193">
        <v>79</v>
      </c>
      <c r="B98" s="149">
        <v>30000000</v>
      </c>
      <c r="C98" s="3861" t="s">
        <v>4876</v>
      </c>
      <c r="D98" s="3866" t="s">
        <v>5616</v>
      </c>
      <c r="E98" s="3866">
        <v>7.0000000000000007E-2</v>
      </c>
      <c r="F98" s="149">
        <f>B98*E98</f>
        <v>2100000</v>
      </c>
      <c r="G98" s="3866">
        <v>15</v>
      </c>
      <c r="H98" s="151">
        <f>(F98*G98)/30</f>
        <v>1050000</v>
      </c>
    </row>
    <row r="99" spans="1:8" ht="30" customHeight="1" x14ac:dyDescent="0.2">
      <c r="A99" s="4031"/>
      <c r="B99" s="3973">
        <f>B97+B98</f>
        <v>40000000</v>
      </c>
      <c r="C99" s="4301" t="s">
        <v>5627</v>
      </c>
      <c r="D99" s="4328"/>
      <c r="E99" s="4328"/>
      <c r="F99" s="4328"/>
      <c r="G99" s="4328"/>
      <c r="H99" s="4302"/>
    </row>
    <row r="100" spans="1:8" ht="30" customHeight="1" x14ac:dyDescent="0.2">
      <c r="A100" s="3876">
        <v>80</v>
      </c>
      <c r="B100" s="3875">
        <f>SUM(H97:H98)</f>
        <v>1726666.6666666667</v>
      </c>
      <c r="C100" s="4301" t="s">
        <v>5632</v>
      </c>
      <c r="D100" s="4328"/>
      <c r="E100" s="4328"/>
      <c r="F100" s="4328"/>
      <c r="G100" s="4328"/>
      <c r="H100" s="4302"/>
    </row>
    <row r="101" spans="1:8" ht="30" customHeight="1" x14ac:dyDescent="0.2">
      <c r="A101" s="3876">
        <v>81</v>
      </c>
      <c r="B101" s="3875">
        <f>B96+B100</f>
        <v>1408726377.615351</v>
      </c>
      <c r="C101" s="4322" t="s">
        <v>5633</v>
      </c>
      <c r="D101" s="4322"/>
      <c r="E101" s="4322"/>
      <c r="F101" s="4322"/>
      <c r="G101" s="4322"/>
      <c r="H101" s="4323"/>
    </row>
    <row r="102" spans="1:8" ht="30" customHeight="1" thickBot="1" x14ac:dyDescent="0.25">
      <c r="A102" s="4329" t="s">
        <v>5625</v>
      </c>
      <c r="B102" s="4330"/>
      <c r="C102" s="4330"/>
      <c r="D102" s="4330"/>
      <c r="E102" s="4330"/>
      <c r="F102" s="4330"/>
      <c r="G102" s="4330"/>
      <c r="H102" s="4331"/>
    </row>
    <row r="103" spans="1:8" ht="30" customHeight="1" x14ac:dyDescent="0.2">
      <c r="A103" s="3879"/>
      <c r="B103" s="3891">
        <f>B101+B99</f>
        <v>1448726377.615351</v>
      </c>
      <c r="C103" s="4307" t="s">
        <v>877</v>
      </c>
      <c r="D103" s="4307"/>
      <c r="E103" s="4307"/>
      <c r="F103" s="4307"/>
      <c r="G103" s="4307"/>
      <c r="H103" s="4308"/>
    </row>
    <row r="104" spans="1:8" ht="30" customHeight="1" x14ac:dyDescent="0.2">
      <c r="A104" s="3892"/>
      <c r="B104" s="3842">
        <f>B103*0.07</f>
        <v>101410846.43307458</v>
      </c>
      <c r="C104" s="4309" t="s">
        <v>5631</v>
      </c>
      <c r="D104" s="4310"/>
      <c r="E104" s="4310"/>
      <c r="F104" s="4310"/>
      <c r="G104" s="4310"/>
      <c r="H104" s="4311"/>
    </row>
    <row r="105" spans="1:8" ht="30" customHeight="1" x14ac:dyDescent="0.2">
      <c r="A105" s="3892"/>
      <c r="B105" s="3891">
        <f>B103+B104</f>
        <v>1550137224.0484254</v>
      </c>
      <c r="C105" s="4309" t="s">
        <v>5634</v>
      </c>
      <c r="D105" s="4310"/>
      <c r="E105" s="4310"/>
      <c r="F105" s="4310"/>
      <c r="G105" s="4310"/>
      <c r="H105" s="4312"/>
    </row>
    <row r="106" spans="1:8" ht="30" customHeight="1" x14ac:dyDescent="0.2">
      <c r="A106" s="193"/>
      <c r="B106" s="149"/>
      <c r="C106" s="3861"/>
      <c r="D106" s="3866"/>
      <c r="E106" s="3866"/>
      <c r="F106" s="3866"/>
      <c r="G106" s="3866"/>
      <c r="H106" s="151"/>
    </row>
    <row r="107" spans="1:8" ht="30" customHeight="1" x14ac:dyDescent="0.2">
      <c r="A107" s="193"/>
      <c r="B107" s="149"/>
      <c r="C107" s="3861"/>
      <c r="D107" s="3866"/>
      <c r="E107" s="3866"/>
      <c r="F107" s="3866"/>
      <c r="G107" s="3866"/>
      <c r="H107" s="151"/>
    </row>
    <row r="108" spans="1:8" ht="30" customHeight="1" thickBot="1" x14ac:dyDescent="0.25">
      <c r="A108" s="3859" t="s">
        <v>876</v>
      </c>
      <c r="B108" s="186"/>
      <c r="C108" s="154"/>
      <c r="D108" s="3687"/>
      <c r="E108" s="3687"/>
      <c r="F108" s="3687"/>
      <c r="G108" s="3687"/>
      <c r="H108" s="155"/>
    </row>
  </sheetData>
  <mergeCells count="62">
    <mergeCell ref="C90:H90"/>
    <mergeCell ref="C99:H99"/>
    <mergeCell ref="C57:H57"/>
    <mergeCell ref="C64:H64"/>
    <mergeCell ref="C65:H65"/>
    <mergeCell ref="C66:H66"/>
    <mergeCell ref="C78:H78"/>
    <mergeCell ref="C59:H59"/>
    <mergeCell ref="C60:H60"/>
    <mergeCell ref="C61:H61"/>
    <mergeCell ref="C77:H77"/>
    <mergeCell ref="C39:H39"/>
    <mergeCell ref="C41:H41"/>
    <mergeCell ref="C42:H42"/>
    <mergeCell ref="C43:H43"/>
    <mergeCell ref="C56:H56"/>
    <mergeCell ref="C55:H55"/>
    <mergeCell ref="C30:H30"/>
    <mergeCell ref="C32:H32"/>
    <mergeCell ref="C33:H33"/>
    <mergeCell ref="C34:H34"/>
    <mergeCell ref="C38:H38"/>
    <mergeCell ref="C37:H37"/>
    <mergeCell ref="C14:H14"/>
    <mergeCell ref="C23:H23"/>
    <mergeCell ref="C24:H24"/>
    <mergeCell ref="C25:H25"/>
    <mergeCell ref="C29:H29"/>
    <mergeCell ref="C19:H19"/>
    <mergeCell ref="C28:H28"/>
    <mergeCell ref="A102:H102"/>
    <mergeCell ref="A80:H80"/>
    <mergeCell ref="A93:H93"/>
    <mergeCell ref="A58:H58"/>
    <mergeCell ref="A63:H63"/>
    <mergeCell ref="C79:H79"/>
    <mergeCell ref="C81:H81"/>
    <mergeCell ref="C82:H82"/>
    <mergeCell ref="C83:H83"/>
    <mergeCell ref="C91:H91"/>
    <mergeCell ref="C92:H92"/>
    <mergeCell ref="C94:H94"/>
    <mergeCell ref="C95:H95"/>
    <mergeCell ref="C96:H96"/>
    <mergeCell ref="C100:H100"/>
    <mergeCell ref="C101:H101"/>
    <mergeCell ref="C103:H103"/>
    <mergeCell ref="C104:H104"/>
    <mergeCell ref="C105:H105"/>
    <mergeCell ref="C2:H2"/>
    <mergeCell ref="A11:H11"/>
    <mergeCell ref="A22:H22"/>
    <mergeCell ref="A40:H40"/>
    <mergeCell ref="A31:H31"/>
    <mergeCell ref="C7:H7"/>
    <mergeCell ref="C8:H8"/>
    <mergeCell ref="C9:H9"/>
    <mergeCell ref="C10:H10"/>
    <mergeCell ref="C12:H12"/>
    <mergeCell ref="C21:H21"/>
    <mergeCell ref="C13:H13"/>
    <mergeCell ref="C20:H2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1"/>
  <sheetViews>
    <sheetView rightToLeft="1" topLeftCell="A386" zoomScale="60" zoomScaleNormal="60" workbookViewId="0">
      <selection activeCell="B395" sqref="B395:B396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9.5" customWidth="1"/>
    <col min="8" max="8" width="20.75" customWidth="1"/>
    <col min="9" max="9" width="24.875" customWidth="1"/>
    <col min="10" max="11" width="20.75" style="5" customWidth="1"/>
    <col min="12" max="12" width="134.875" style="366" customWidth="1"/>
  </cols>
  <sheetData>
    <row r="1" spans="1:12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261</v>
      </c>
      <c r="J1" s="1" t="s">
        <v>278</v>
      </c>
      <c r="K1" s="10" t="s">
        <v>291</v>
      </c>
      <c r="L1" s="148" t="s">
        <v>268</v>
      </c>
    </row>
    <row r="2" spans="1:12" ht="30" customHeight="1" x14ac:dyDescent="0.2">
      <c r="A2" s="2065">
        <v>1</v>
      </c>
      <c r="B2" s="19" t="s">
        <v>1496</v>
      </c>
      <c r="C2" s="2107" t="s">
        <v>372</v>
      </c>
      <c r="D2" s="2064">
        <v>600000000</v>
      </c>
      <c r="E2" s="2103">
        <v>0.06</v>
      </c>
      <c r="F2" s="2064">
        <f>D2*E2</f>
        <v>36000000</v>
      </c>
      <c r="G2" s="2064">
        <v>36000000</v>
      </c>
      <c r="H2" s="2064" t="s">
        <v>4428</v>
      </c>
      <c r="I2" s="2110" t="s">
        <v>1810</v>
      </c>
      <c r="J2" s="2064">
        <f>G2</f>
        <v>36000000</v>
      </c>
      <c r="K2" s="2064">
        <f>F2-J2</f>
        <v>0</v>
      </c>
      <c r="L2" s="2087"/>
    </row>
    <row r="3" spans="1:12" ht="30" customHeight="1" x14ac:dyDescent="0.2">
      <c r="A3" s="4996">
        <v>2</v>
      </c>
      <c r="B3" s="5009" t="s">
        <v>282</v>
      </c>
      <c r="C3" s="4964"/>
      <c r="D3" s="2552">
        <v>300000000</v>
      </c>
      <c r="E3" s="2558">
        <v>0.05</v>
      </c>
      <c r="F3" s="2552">
        <f>D3*E3</f>
        <v>15000000</v>
      </c>
      <c r="G3" s="2552">
        <v>15000000</v>
      </c>
      <c r="H3" s="2552" t="s">
        <v>4464</v>
      </c>
      <c r="I3" s="287" t="s">
        <v>4100</v>
      </c>
      <c r="J3" s="2552">
        <f>G3</f>
        <v>15000000</v>
      </c>
      <c r="K3" s="2552">
        <f>F3-J3</f>
        <v>0</v>
      </c>
      <c r="L3" s="2559"/>
    </row>
    <row r="4" spans="1:12" ht="30" customHeight="1" x14ac:dyDescent="0.2">
      <c r="A4" s="4997"/>
      <c r="B4" s="5010"/>
      <c r="C4" s="4999"/>
      <c r="D4" s="5000" t="s">
        <v>4533</v>
      </c>
      <c r="E4" s="5001"/>
      <c r="F4" s="5002"/>
      <c r="G4" s="2552">
        <v>100000000</v>
      </c>
      <c r="H4" s="2552" t="s">
        <v>3003</v>
      </c>
      <c r="I4" s="287" t="s">
        <v>4100</v>
      </c>
      <c r="J4" s="4951">
        <f>G4+G5+G6</f>
        <v>300000000</v>
      </c>
      <c r="K4" s="4951">
        <f>300000000-J4</f>
        <v>0</v>
      </c>
      <c r="L4" s="4993" t="s">
        <v>1326</v>
      </c>
    </row>
    <row r="5" spans="1:12" ht="30" customHeight="1" x14ac:dyDescent="0.2">
      <c r="A5" s="4997"/>
      <c r="B5" s="5010"/>
      <c r="C5" s="4999"/>
      <c r="D5" s="5003"/>
      <c r="E5" s="5004"/>
      <c r="F5" s="5005"/>
      <c r="G5" s="2552">
        <v>89000000</v>
      </c>
      <c r="H5" s="2552" t="s">
        <v>4598</v>
      </c>
      <c r="I5" s="287" t="s">
        <v>4100</v>
      </c>
      <c r="J5" s="5013"/>
      <c r="K5" s="5013"/>
      <c r="L5" s="4994"/>
    </row>
    <row r="6" spans="1:12" ht="30" customHeight="1" x14ac:dyDescent="0.2">
      <c r="A6" s="4998"/>
      <c r="B6" s="5011"/>
      <c r="C6" s="4965"/>
      <c r="D6" s="5006"/>
      <c r="E6" s="5007"/>
      <c r="F6" s="5008"/>
      <c r="G6" s="2552">
        <v>111000000</v>
      </c>
      <c r="H6" s="2552" t="s">
        <v>4621</v>
      </c>
      <c r="I6" s="287" t="s">
        <v>4100</v>
      </c>
      <c r="J6" s="4952"/>
      <c r="K6" s="4952"/>
      <c r="L6" s="4995"/>
    </row>
    <row r="7" spans="1:12" ht="30" customHeight="1" x14ac:dyDescent="0.2">
      <c r="A7" s="2105">
        <v>3</v>
      </c>
      <c r="B7" s="19" t="s">
        <v>285</v>
      </c>
      <c r="C7" s="2086" t="s">
        <v>359</v>
      </c>
      <c r="D7" s="2076">
        <v>36000000</v>
      </c>
      <c r="E7" s="2103">
        <v>7.0000000000000007E-2</v>
      </c>
      <c r="F7" s="2076">
        <v>2500000</v>
      </c>
      <c r="G7" s="2076">
        <v>2500000</v>
      </c>
      <c r="H7" s="2076" t="s">
        <v>4428</v>
      </c>
      <c r="I7" s="24" t="s">
        <v>2026</v>
      </c>
      <c r="J7" s="2076">
        <f>G7</f>
        <v>2500000</v>
      </c>
      <c r="K7" s="2076">
        <f>F7-J7</f>
        <v>0</v>
      </c>
      <c r="L7" s="2109"/>
    </row>
    <row r="8" spans="1:12" ht="30" customHeight="1" x14ac:dyDescent="0.2">
      <c r="A8" s="2065">
        <v>4</v>
      </c>
      <c r="B8" s="2108" t="s">
        <v>310</v>
      </c>
      <c r="C8" s="2107" t="s">
        <v>2644</v>
      </c>
      <c r="D8" s="2076">
        <v>700000000</v>
      </c>
      <c r="E8" s="2103">
        <v>6.3E-2</v>
      </c>
      <c r="F8" s="2076">
        <f>D8*E8</f>
        <v>44100000</v>
      </c>
      <c r="G8" s="2076">
        <v>44000000</v>
      </c>
      <c r="H8" s="2076" t="s">
        <v>4387</v>
      </c>
      <c r="I8" s="24" t="s">
        <v>1543</v>
      </c>
      <c r="J8" s="2076">
        <f>G8</f>
        <v>44000000</v>
      </c>
      <c r="K8" s="2076">
        <f>F8-J8</f>
        <v>100000</v>
      </c>
      <c r="L8" s="29"/>
    </row>
    <row r="9" spans="1:12" ht="30" customHeight="1" x14ac:dyDescent="0.2">
      <c r="A9" s="2105">
        <v>5</v>
      </c>
      <c r="B9" s="19" t="s">
        <v>317</v>
      </c>
      <c r="C9" s="2086" t="s">
        <v>372</v>
      </c>
      <c r="D9" s="2076">
        <v>20000000</v>
      </c>
      <c r="E9" s="2103">
        <v>7.0000000000000007E-2</v>
      </c>
      <c r="F9" s="2076">
        <v>1400000</v>
      </c>
      <c r="G9" s="2076">
        <v>22000000</v>
      </c>
      <c r="H9" s="2076" t="s">
        <v>3003</v>
      </c>
      <c r="I9" s="24" t="s">
        <v>4534</v>
      </c>
      <c r="J9" s="2076">
        <f t="shared" ref="J9:J14" si="0">G9</f>
        <v>22000000</v>
      </c>
      <c r="K9" s="2076">
        <f t="shared" ref="K9:K14" si="1">F9-J9</f>
        <v>-20600000</v>
      </c>
      <c r="L9" s="29" t="s">
        <v>1326</v>
      </c>
    </row>
    <row r="10" spans="1:12" ht="30" customHeight="1" x14ac:dyDescent="0.2">
      <c r="A10" s="2065">
        <v>6</v>
      </c>
      <c r="B10" s="2108" t="s">
        <v>407</v>
      </c>
      <c r="C10" s="2085"/>
      <c r="D10" s="2076">
        <v>15000000</v>
      </c>
      <c r="E10" s="2103">
        <v>0.05</v>
      </c>
      <c r="F10" s="2076">
        <f t="shared" ref="F10:F16" si="2">D10*E10</f>
        <v>750000</v>
      </c>
      <c r="G10" s="2076"/>
      <c r="H10" s="2076"/>
      <c r="I10" s="24"/>
      <c r="J10" s="2076">
        <f t="shared" si="0"/>
        <v>0</v>
      </c>
      <c r="K10" s="2076">
        <f t="shared" si="1"/>
        <v>750000</v>
      </c>
      <c r="L10" s="638"/>
    </row>
    <row r="11" spans="1:12" ht="30" customHeight="1" x14ac:dyDescent="0.2">
      <c r="A11" s="2065">
        <v>7</v>
      </c>
      <c r="B11" s="2108" t="s">
        <v>102</v>
      </c>
      <c r="C11" s="2085" t="s">
        <v>889</v>
      </c>
      <c r="D11" s="2076">
        <v>45000000</v>
      </c>
      <c r="E11" s="2103">
        <v>0.05</v>
      </c>
      <c r="F11" s="2076">
        <f t="shared" si="2"/>
        <v>2250000</v>
      </c>
      <c r="G11" s="2076">
        <v>2250000</v>
      </c>
      <c r="H11" s="2076" t="s">
        <v>4428</v>
      </c>
      <c r="I11" s="26" t="s">
        <v>3420</v>
      </c>
      <c r="J11" s="2076">
        <f t="shared" si="0"/>
        <v>2250000</v>
      </c>
      <c r="K11" s="2076">
        <f t="shared" si="1"/>
        <v>0</v>
      </c>
      <c r="L11" s="737"/>
    </row>
    <row r="12" spans="1:12" ht="30" customHeight="1" x14ac:dyDescent="0.2">
      <c r="A12" s="2065">
        <v>8</v>
      </c>
      <c r="B12" s="19" t="s">
        <v>349</v>
      </c>
      <c r="C12" s="2107" t="s">
        <v>1291</v>
      </c>
      <c r="D12" s="2064">
        <v>400000000</v>
      </c>
      <c r="E12" s="2103">
        <v>4.4999999999999998E-2</v>
      </c>
      <c r="F12" s="2064">
        <f t="shared" si="2"/>
        <v>18000000</v>
      </c>
      <c r="G12" s="2064">
        <v>18000000</v>
      </c>
      <c r="H12" s="2076" t="s">
        <v>2473</v>
      </c>
      <c r="I12" s="24" t="s">
        <v>3739</v>
      </c>
      <c r="J12" s="2076">
        <f t="shared" si="0"/>
        <v>18000000</v>
      </c>
      <c r="K12" s="2064">
        <f t="shared" si="1"/>
        <v>0</v>
      </c>
      <c r="L12" s="2073" t="s">
        <v>4518</v>
      </c>
    </row>
    <row r="13" spans="1:12" ht="30" customHeight="1" x14ac:dyDescent="0.2">
      <c r="A13" s="2105">
        <v>9</v>
      </c>
      <c r="B13" s="2109" t="s">
        <v>378</v>
      </c>
      <c r="C13" s="2086" t="s">
        <v>371</v>
      </c>
      <c r="D13" s="2076">
        <v>10000000</v>
      </c>
      <c r="E13" s="2079">
        <v>0.05</v>
      </c>
      <c r="F13" s="2076">
        <f t="shared" si="2"/>
        <v>500000</v>
      </c>
      <c r="G13" s="2076">
        <v>500000</v>
      </c>
      <c r="H13" s="2076" t="s">
        <v>4451</v>
      </c>
      <c r="I13" s="24" t="s">
        <v>1001</v>
      </c>
      <c r="J13" s="2076">
        <f t="shared" si="0"/>
        <v>500000</v>
      </c>
      <c r="K13" s="2076">
        <f t="shared" si="1"/>
        <v>0</v>
      </c>
      <c r="L13" s="29"/>
    </row>
    <row r="14" spans="1:12" ht="30" customHeight="1" x14ac:dyDescent="0.2">
      <c r="A14" s="2105">
        <v>10</v>
      </c>
      <c r="B14" s="2108" t="s">
        <v>999</v>
      </c>
      <c r="C14" s="2107" t="s">
        <v>1796</v>
      </c>
      <c r="D14" s="2076">
        <v>180000000</v>
      </c>
      <c r="E14" s="2103">
        <v>7.0000000000000007E-2</v>
      </c>
      <c r="F14" s="2076">
        <f t="shared" si="2"/>
        <v>12600000.000000002</v>
      </c>
      <c r="G14" s="2076">
        <v>12600000</v>
      </c>
      <c r="H14" s="2076" t="s">
        <v>4763</v>
      </c>
      <c r="I14" s="24" t="s">
        <v>2372</v>
      </c>
      <c r="J14" s="2076">
        <f t="shared" si="0"/>
        <v>12600000</v>
      </c>
      <c r="K14" s="2076">
        <f t="shared" si="1"/>
        <v>0</v>
      </c>
      <c r="L14" s="180" t="s">
        <v>3197</v>
      </c>
    </row>
    <row r="15" spans="1:12" ht="30" customHeight="1" x14ac:dyDescent="0.2">
      <c r="A15" s="4459">
        <v>11</v>
      </c>
      <c r="B15" s="4615" t="s">
        <v>393</v>
      </c>
      <c r="C15" s="2086" t="s">
        <v>359</v>
      </c>
      <c r="D15" s="2064">
        <v>15000000</v>
      </c>
      <c r="E15" s="2103">
        <v>7.0000000000000007E-2</v>
      </c>
      <c r="F15" s="2064">
        <f t="shared" si="2"/>
        <v>1050000</v>
      </c>
      <c r="G15" s="4413">
        <v>1300000</v>
      </c>
      <c r="H15" s="4413" t="s">
        <v>4451</v>
      </c>
      <c r="I15" s="4898" t="s">
        <v>394</v>
      </c>
      <c r="J15" s="4413">
        <f>G15+G16</f>
        <v>1300000</v>
      </c>
      <c r="K15" s="4413">
        <v>0</v>
      </c>
      <c r="L15" s="4492" t="s">
        <v>4024</v>
      </c>
    </row>
    <row r="16" spans="1:12" ht="30" customHeight="1" x14ac:dyDescent="0.2">
      <c r="A16" s="4464"/>
      <c r="B16" s="4615"/>
      <c r="C16" s="2086" t="s">
        <v>1080</v>
      </c>
      <c r="D16" s="2064">
        <v>5000000</v>
      </c>
      <c r="E16" s="2103">
        <v>0.05</v>
      </c>
      <c r="F16" s="2064">
        <f t="shared" si="2"/>
        <v>250000</v>
      </c>
      <c r="G16" s="4415"/>
      <c r="H16" s="4415"/>
      <c r="I16" s="4899"/>
      <c r="J16" s="4415"/>
      <c r="K16" s="4415"/>
      <c r="L16" s="4493"/>
    </row>
    <row r="17" spans="1:14" ht="30" customHeight="1" x14ac:dyDescent="0.2">
      <c r="A17" s="1029">
        <v>12</v>
      </c>
      <c r="B17" s="2108" t="s">
        <v>399</v>
      </c>
      <c r="C17" s="2086" t="s">
        <v>1172</v>
      </c>
      <c r="D17" s="2076">
        <v>75000000</v>
      </c>
      <c r="E17" s="2079">
        <f>F17/D17</f>
        <v>5.3333333333333337E-2</v>
      </c>
      <c r="F17" s="2076">
        <v>4000000</v>
      </c>
      <c r="G17" s="2076">
        <v>4000000</v>
      </c>
      <c r="H17" s="2076" t="s">
        <v>4387</v>
      </c>
      <c r="I17" s="52" t="s">
        <v>401</v>
      </c>
      <c r="J17" s="2076">
        <f>G17</f>
        <v>4000000</v>
      </c>
      <c r="K17" s="2076">
        <f>F17-J17</f>
        <v>0</v>
      </c>
      <c r="L17" s="2074" t="s">
        <v>3714</v>
      </c>
    </row>
    <row r="18" spans="1:14" ht="30" customHeight="1" x14ac:dyDescent="0.2">
      <c r="A18" s="2398"/>
      <c r="B18" s="19" t="s">
        <v>420</v>
      </c>
      <c r="C18" s="2400" t="s">
        <v>359</v>
      </c>
      <c r="D18" s="2381">
        <v>100000000</v>
      </c>
      <c r="E18" s="2397">
        <v>7.0000000000000007E-2</v>
      </c>
      <c r="F18" s="2381">
        <f t="shared" ref="F18" si="3">D18*E18</f>
        <v>7000000.0000000009</v>
      </c>
      <c r="G18" s="1456">
        <v>7000000</v>
      </c>
      <c r="H18" s="1456" t="s">
        <v>4451</v>
      </c>
      <c r="I18" s="1456" t="s">
        <v>1946</v>
      </c>
      <c r="J18" s="2381">
        <f>G18</f>
        <v>7000000</v>
      </c>
      <c r="K18" s="2381">
        <f>F18-J18</f>
        <v>0</v>
      </c>
      <c r="L18" s="2404"/>
    </row>
    <row r="19" spans="1:14" ht="30" customHeight="1" x14ac:dyDescent="0.2">
      <c r="A19" s="2067">
        <v>14</v>
      </c>
      <c r="B19" s="2070" t="s">
        <v>428</v>
      </c>
      <c r="C19" s="2086" t="s">
        <v>1300</v>
      </c>
      <c r="D19" s="2076">
        <v>150000000</v>
      </c>
      <c r="E19" s="2079">
        <v>0.04</v>
      </c>
      <c r="F19" s="2076">
        <f t="shared" ref="F19:F24" si="4">D19*E19</f>
        <v>6000000</v>
      </c>
      <c r="G19" s="2076">
        <v>6000000</v>
      </c>
      <c r="H19" s="2076" t="s">
        <v>3865</v>
      </c>
      <c r="I19" s="64" t="s">
        <v>4063</v>
      </c>
      <c r="J19" s="2076">
        <f t="shared" ref="J19:J25" si="5">G19</f>
        <v>6000000</v>
      </c>
      <c r="K19" s="2076">
        <f t="shared" ref="K19:K25" si="6">F19-J19</f>
        <v>0</v>
      </c>
      <c r="L19" s="2072"/>
    </row>
    <row r="20" spans="1:14" ht="30" customHeight="1" x14ac:dyDescent="0.2">
      <c r="A20" s="2705"/>
      <c r="B20" s="2710" t="s">
        <v>4728</v>
      </c>
      <c r="C20" s="2714" t="s">
        <v>1299</v>
      </c>
      <c r="D20" s="2707">
        <v>350000000</v>
      </c>
      <c r="E20" s="2709">
        <v>7.0000000000000007E-2</v>
      </c>
      <c r="F20" s="2707">
        <f t="shared" si="4"/>
        <v>24500000.000000004</v>
      </c>
      <c r="G20" s="2707">
        <v>24500000</v>
      </c>
      <c r="H20" s="2707" t="s">
        <v>4815</v>
      </c>
      <c r="I20" s="64" t="s">
        <v>4816</v>
      </c>
      <c r="J20" s="2707">
        <f t="shared" si="5"/>
        <v>24500000</v>
      </c>
      <c r="K20" s="2707">
        <f t="shared" si="6"/>
        <v>0</v>
      </c>
      <c r="L20" s="2711" t="s">
        <v>4729</v>
      </c>
    </row>
    <row r="21" spans="1:14" ht="30" customHeight="1" x14ac:dyDescent="0.2">
      <c r="A21" s="2067">
        <v>15</v>
      </c>
      <c r="B21" s="2070" t="s">
        <v>436</v>
      </c>
      <c r="C21" s="2086"/>
      <c r="D21" s="2076">
        <v>13000000</v>
      </c>
      <c r="E21" s="2079">
        <v>0.05</v>
      </c>
      <c r="F21" s="2076">
        <f t="shared" si="4"/>
        <v>650000</v>
      </c>
      <c r="G21" s="2076">
        <v>650000</v>
      </c>
      <c r="H21" s="2076" t="s">
        <v>1017</v>
      </c>
      <c r="I21" s="64" t="s">
        <v>2092</v>
      </c>
      <c r="J21" s="2076">
        <f t="shared" si="5"/>
        <v>650000</v>
      </c>
      <c r="K21" s="2076">
        <f t="shared" si="6"/>
        <v>0</v>
      </c>
      <c r="L21" s="2072"/>
    </row>
    <row r="22" spans="1:14" ht="30" customHeight="1" x14ac:dyDescent="0.2">
      <c r="A22" s="2105">
        <v>16</v>
      </c>
      <c r="B22" s="19" t="s">
        <v>487</v>
      </c>
      <c r="C22" s="2107" t="s">
        <v>1718</v>
      </c>
      <c r="D22" s="2064">
        <v>80000000</v>
      </c>
      <c r="E22" s="2103">
        <v>0.04</v>
      </c>
      <c r="F22" s="2064">
        <f t="shared" si="4"/>
        <v>3200000</v>
      </c>
      <c r="G22" s="2064">
        <v>3200000</v>
      </c>
      <c r="H22" s="2064" t="s">
        <v>4363</v>
      </c>
      <c r="I22" s="2137" t="s">
        <v>4001</v>
      </c>
      <c r="J22" s="2064">
        <f t="shared" si="5"/>
        <v>3200000</v>
      </c>
      <c r="K22" s="2064">
        <f t="shared" si="6"/>
        <v>0</v>
      </c>
      <c r="L22" s="48"/>
    </row>
    <row r="23" spans="1:14" ht="30" customHeight="1" x14ac:dyDescent="0.2">
      <c r="A23" s="2067">
        <v>17</v>
      </c>
      <c r="B23" s="2070" t="s">
        <v>747</v>
      </c>
      <c r="C23" s="2086" t="s">
        <v>1289</v>
      </c>
      <c r="D23" s="2076">
        <v>100000000</v>
      </c>
      <c r="E23" s="2079">
        <v>0.06</v>
      </c>
      <c r="F23" s="2076">
        <f t="shared" si="4"/>
        <v>6000000</v>
      </c>
      <c r="G23" s="2076">
        <v>6000000</v>
      </c>
      <c r="H23" s="2076" t="s">
        <v>1017</v>
      </c>
      <c r="I23" s="64" t="s">
        <v>3208</v>
      </c>
      <c r="J23" s="2076">
        <f t="shared" si="5"/>
        <v>6000000</v>
      </c>
      <c r="K23" s="2076">
        <f t="shared" si="6"/>
        <v>0</v>
      </c>
      <c r="L23" s="2072"/>
    </row>
    <row r="24" spans="1:14" ht="30" customHeight="1" x14ac:dyDescent="0.2">
      <c r="A24" s="2067">
        <v>18</v>
      </c>
      <c r="B24" s="2070" t="s">
        <v>554</v>
      </c>
      <c r="C24" s="2086" t="s">
        <v>1300</v>
      </c>
      <c r="D24" s="2076">
        <v>50000000</v>
      </c>
      <c r="E24" s="2079">
        <v>0.05</v>
      </c>
      <c r="F24" s="2076">
        <f t="shared" si="4"/>
        <v>2500000</v>
      </c>
      <c r="G24" s="2076">
        <v>2500000</v>
      </c>
      <c r="H24" s="2076" t="s">
        <v>3865</v>
      </c>
      <c r="I24" s="64" t="s">
        <v>4473</v>
      </c>
      <c r="J24" s="2076">
        <f t="shared" si="5"/>
        <v>2500000</v>
      </c>
      <c r="K24" s="2076">
        <f t="shared" si="6"/>
        <v>0</v>
      </c>
      <c r="L24" s="2072"/>
    </row>
    <row r="25" spans="1:14" ht="30" customHeight="1" x14ac:dyDescent="0.2">
      <c r="A25" s="4614">
        <v>19</v>
      </c>
      <c r="B25" s="4457" t="s">
        <v>560</v>
      </c>
      <c r="C25" s="4537" t="s">
        <v>1300</v>
      </c>
      <c r="D25" s="2076">
        <v>50000000</v>
      </c>
      <c r="E25" s="4476">
        <f>F25/(D25+D26)</f>
        <v>0.05</v>
      </c>
      <c r="F25" s="4413">
        <v>3250000</v>
      </c>
      <c r="G25" s="4413">
        <v>3250000</v>
      </c>
      <c r="H25" s="4413" t="s">
        <v>4404</v>
      </c>
      <c r="I25" s="4568" t="s">
        <v>4403</v>
      </c>
      <c r="J25" s="4413">
        <f t="shared" si="5"/>
        <v>3250000</v>
      </c>
      <c r="K25" s="4413">
        <f t="shared" si="6"/>
        <v>0</v>
      </c>
      <c r="L25" s="2121" t="s">
        <v>1995</v>
      </c>
    </row>
    <row r="26" spans="1:14" ht="30" customHeight="1" x14ac:dyDescent="0.2">
      <c r="A26" s="4614"/>
      <c r="B26" s="4488"/>
      <c r="C26" s="4540"/>
      <c r="D26" s="2076">
        <v>15000000</v>
      </c>
      <c r="E26" s="4477"/>
      <c r="F26" s="4415"/>
      <c r="G26" s="4415"/>
      <c r="H26" s="4415"/>
      <c r="I26" s="4569"/>
      <c r="J26" s="4415"/>
      <c r="K26" s="4415"/>
      <c r="L26" s="2121" t="s">
        <v>4519</v>
      </c>
    </row>
    <row r="27" spans="1:14" ht="30" customHeight="1" x14ac:dyDescent="0.2">
      <c r="A27" s="4614"/>
      <c r="B27" s="4458"/>
      <c r="C27" s="4538"/>
      <c r="D27" s="2379">
        <v>30000000</v>
      </c>
      <c r="E27" s="2378">
        <v>0.05</v>
      </c>
      <c r="F27" s="2379">
        <f>E27*D27</f>
        <v>1500000</v>
      </c>
      <c r="G27" s="2379">
        <v>1900000</v>
      </c>
      <c r="H27" s="2379" t="s">
        <v>2473</v>
      </c>
      <c r="I27" s="64" t="s">
        <v>4403</v>
      </c>
      <c r="J27" s="2379">
        <f>G27</f>
        <v>1900000</v>
      </c>
      <c r="K27" s="2379"/>
      <c r="L27" s="2380" t="s">
        <v>4520</v>
      </c>
    </row>
    <row r="28" spans="1:14" ht="30" customHeight="1" x14ac:dyDescent="0.2">
      <c r="A28" s="2067">
        <v>22</v>
      </c>
      <c r="B28" s="19" t="s">
        <v>658</v>
      </c>
      <c r="C28" s="2107" t="s">
        <v>1287</v>
      </c>
      <c r="D28" s="2076">
        <v>300000000</v>
      </c>
      <c r="E28" s="2079">
        <v>0.05</v>
      </c>
      <c r="F28" s="2076">
        <f>D28*E28</f>
        <v>15000000</v>
      </c>
      <c r="G28" s="2076">
        <v>15000000</v>
      </c>
      <c r="H28" s="2076" t="s">
        <v>4477</v>
      </c>
      <c r="I28" s="64" t="s">
        <v>2168</v>
      </c>
      <c r="J28" s="2064">
        <f>G28</f>
        <v>15000000</v>
      </c>
      <c r="K28" s="2064">
        <f>F28-J28</f>
        <v>0</v>
      </c>
      <c r="L28" s="48"/>
    </row>
    <row r="29" spans="1:14" ht="30" customHeight="1" x14ac:dyDescent="0.2">
      <c r="A29" s="1029">
        <v>23</v>
      </c>
      <c r="B29" s="19" t="s">
        <v>2121</v>
      </c>
      <c r="C29" s="2107" t="s">
        <v>2004</v>
      </c>
      <c r="D29" s="2076">
        <v>150000000</v>
      </c>
      <c r="E29" s="2079">
        <v>7.0000000000000007E-2</v>
      </c>
      <c r="F29" s="2076">
        <f>D29*E29</f>
        <v>10500000.000000002</v>
      </c>
      <c r="G29" s="2076">
        <v>10500000</v>
      </c>
      <c r="H29" s="2091" t="s">
        <v>3003</v>
      </c>
      <c r="I29" s="64" t="s">
        <v>3704</v>
      </c>
      <c r="J29" s="2064">
        <f>G29</f>
        <v>10500000</v>
      </c>
      <c r="K29" s="2064">
        <f>F29-G29</f>
        <v>0</v>
      </c>
      <c r="L29" s="638"/>
    </row>
    <row r="30" spans="1:14" ht="30" customHeight="1" x14ac:dyDescent="0.2">
      <c r="A30" s="1029"/>
      <c r="B30" s="19" t="s">
        <v>3618</v>
      </c>
      <c r="C30" s="2107" t="s">
        <v>2004</v>
      </c>
      <c r="D30" s="2076">
        <v>70000000</v>
      </c>
      <c r="E30" s="2079">
        <v>0.06</v>
      </c>
      <c r="F30" s="2076">
        <f>D30*E30</f>
        <v>4200000</v>
      </c>
      <c r="G30" s="2076">
        <v>4200000</v>
      </c>
      <c r="H30" s="2091" t="s">
        <v>3003</v>
      </c>
      <c r="I30" s="64" t="s">
        <v>3705</v>
      </c>
      <c r="J30" s="2064">
        <f>G30</f>
        <v>4200000</v>
      </c>
      <c r="K30" s="2076">
        <v>0</v>
      </c>
      <c r="L30" s="29" t="s">
        <v>3706</v>
      </c>
    </row>
    <row r="31" spans="1:14" ht="30" customHeight="1" x14ac:dyDescent="0.2">
      <c r="A31" s="2611"/>
      <c r="B31" s="19" t="s">
        <v>702</v>
      </c>
      <c r="C31" s="378"/>
      <c r="D31" s="2597">
        <v>150000000</v>
      </c>
      <c r="E31" s="1869"/>
      <c r="F31" s="1869"/>
      <c r="G31" s="4610" t="s">
        <v>4643</v>
      </c>
      <c r="H31" s="5012"/>
      <c r="I31" s="5012"/>
      <c r="J31" s="4611"/>
      <c r="K31" s="2597"/>
      <c r="L31" s="2613" t="s">
        <v>4423</v>
      </c>
    </row>
    <row r="32" spans="1:14" ht="30" customHeight="1" x14ac:dyDescent="0.2">
      <c r="A32" s="2067">
        <v>25</v>
      </c>
      <c r="B32" s="2070" t="s">
        <v>718</v>
      </c>
      <c r="C32" s="2086" t="s">
        <v>1296</v>
      </c>
      <c r="D32" s="2076">
        <v>35000000</v>
      </c>
      <c r="E32" s="2079">
        <v>5.8000000000000003E-2</v>
      </c>
      <c r="F32" s="2076">
        <v>2000000</v>
      </c>
      <c r="G32" s="2076">
        <v>2000000</v>
      </c>
      <c r="H32" s="2091" t="s">
        <v>4598</v>
      </c>
      <c r="I32" s="64" t="s">
        <v>4137</v>
      </c>
      <c r="J32" s="2076">
        <f>G32</f>
        <v>2000000</v>
      </c>
      <c r="K32" s="2076">
        <f>F32-G32</f>
        <v>0</v>
      </c>
      <c r="L32" s="2074"/>
      <c r="M32" s="366"/>
      <c r="N32" s="366"/>
    </row>
    <row r="33" spans="1:14" ht="30" customHeight="1" x14ac:dyDescent="0.2">
      <c r="A33" s="2066"/>
      <c r="B33" s="2069" t="s">
        <v>803</v>
      </c>
      <c r="C33" s="2094" t="s">
        <v>359</v>
      </c>
      <c r="D33" s="2080">
        <v>700000000</v>
      </c>
      <c r="E33" s="2078">
        <v>0.05</v>
      </c>
      <c r="F33" s="2080">
        <f t="shared" ref="F33:F45" si="7">D33*E33</f>
        <v>35000000</v>
      </c>
      <c r="G33" s="2064"/>
      <c r="H33" s="2064"/>
      <c r="I33" s="2064" t="s">
        <v>3063</v>
      </c>
      <c r="J33" s="2064">
        <f>G33</f>
        <v>0</v>
      </c>
      <c r="K33" s="2080">
        <f>F33-J33</f>
        <v>35000000</v>
      </c>
      <c r="L33" s="180" t="s">
        <v>3686</v>
      </c>
      <c r="M33" s="366"/>
      <c r="N33" s="366"/>
    </row>
    <row r="34" spans="1:14" ht="30" customHeight="1" x14ac:dyDescent="0.2">
      <c r="A34" s="4459">
        <v>27</v>
      </c>
      <c r="B34" s="4457" t="s">
        <v>807</v>
      </c>
      <c r="C34" s="4537" t="s">
        <v>1299</v>
      </c>
      <c r="D34" s="2075">
        <v>500000000</v>
      </c>
      <c r="E34" s="2077">
        <v>7.0000000000000007E-2</v>
      </c>
      <c r="F34" s="2075">
        <f t="shared" si="7"/>
        <v>35000000</v>
      </c>
      <c r="G34" s="4413">
        <v>68800000</v>
      </c>
      <c r="H34" s="4413" t="s">
        <v>2125</v>
      </c>
      <c r="I34" s="4568" t="s">
        <v>2290</v>
      </c>
      <c r="J34" s="4413">
        <f t="shared" ref="J34:J42" si="8">G34</f>
        <v>68800000</v>
      </c>
      <c r="K34" s="4413"/>
      <c r="L34" s="2071"/>
      <c r="M34" s="366"/>
      <c r="N34" s="366"/>
    </row>
    <row r="35" spans="1:14" ht="30" customHeight="1" x14ac:dyDescent="0.2">
      <c r="A35" s="4464"/>
      <c r="B35" s="4488"/>
      <c r="C35" s="4540"/>
      <c r="D35" s="2460">
        <v>150000000</v>
      </c>
      <c r="E35" s="2459"/>
      <c r="F35" s="2460"/>
      <c r="G35" s="4414"/>
      <c r="H35" s="4414"/>
      <c r="I35" s="4906"/>
      <c r="J35" s="4414"/>
      <c r="K35" s="4414"/>
      <c r="L35" s="2462" t="s">
        <v>4439</v>
      </c>
      <c r="M35" s="366"/>
      <c r="N35" s="366"/>
    </row>
    <row r="36" spans="1:14" ht="30" customHeight="1" x14ac:dyDescent="0.2">
      <c r="A36" s="4460"/>
      <c r="B36" s="4458"/>
      <c r="C36" s="4538"/>
      <c r="D36" s="2460">
        <v>500000000</v>
      </c>
      <c r="E36" s="2459"/>
      <c r="F36" s="2460"/>
      <c r="G36" s="4415"/>
      <c r="H36" s="4415"/>
      <c r="I36" s="4569"/>
      <c r="J36" s="4415"/>
      <c r="K36" s="4415"/>
      <c r="L36" s="2461"/>
      <c r="M36" s="366"/>
      <c r="N36" s="366"/>
    </row>
    <row r="37" spans="1:14" ht="30" customHeight="1" x14ac:dyDescent="0.2">
      <c r="A37" s="4459"/>
      <c r="B37" s="4457" t="s">
        <v>3369</v>
      </c>
      <c r="C37" s="4537" t="s">
        <v>1299</v>
      </c>
      <c r="D37" s="4413">
        <v>700000000</v>
      </c>
      <c r="E37" s="4476">
        <v>0.06</v>
      </c>
      <c r="F37" s="4413">
        <f t="shared" si="7"/>
        <v>42000000</v>
      </c>
      <c r="G37" s="2064">
        <v>15000000</v>
      </c>
      <c r="H37" s="2064" t="s">
        <v>4333</v>
      </c>
      <c r="I37" s="2064" t="s">
        <v>4354</v>
      </c>
      <c r="J37" s="4413">
        <f>G37+G38</f>
        <v>57000000</v>
      </c>
      <c r="K37" s="4413">
        <f>F37-8000000-J37-J38</f>
        <v>-23000000</v>
      </c>
      <c r="L37" s="2778" t="s">
        <v>4806</v>
      </c>
      <c r="M37" s="366"/>
      <c r="N37" s="366"/>
    </row>
    <row r="38" spans="1:14" ht="30" customHeight="1" x14ac:dyDescent="0.2">
      <c r="A38" s="4460"/>
      <c r="B38" s="4458"/>
      <c r="C38" s="4538"/>
      <c r="D38" s="4415"/>
      <c r="E38" s="4477"/>
      <c r="F38" s="4415"/>
      <c r="G38" s="2076">
        <v>42000000</v>
      </c>
      <c r="H38" s="2091" t="s">
        <v>4792</v>
      </c>
      <c r="I38" s="2091" t="s">
        <v>820</v>
      </c>
      <c r="J38" s="4415"/>
      <c r="K38" s="4415"/>
      <c r="L38" s="2074" t="s">
        <v>4793</v>
      </c>
      <c r="M38" s="366"/>
      <c r="N38" s="366"/>
    </row>
    <row r="39" spans="1:14" ht="30" customHeight="1" x14ac:dyDescent="0.2">
      <c r="A39" s="4459">
        <v>29</v>
      </c>
      <c r="B39" s="4457" t="s">
        <v>839</v>
      </c>
      <c r="C39" s="2107" t="s">
        <v>1306</v>
      </c>
      <c r="D39" s="2076">
        <v>42000000</v>
      </c>
      <c r="E39" s="2079">
        <v>7.0000000000000007E-2</v>
      </c>
      <c r="F39" s="2076">
        <f t="shared" si="7"/>
        <v>2940000.0000000005</v>
      </c>
      <c r="G39" s="2076">
        <v>2940000</v>
      </c>
      <c r="H39" s="2091" t="s">
        <v>4598</v>
      </c>
      <c r="I39" s="64" t="s">
        <v>4599</v>
      </c>
      <c r="J39" s="2076">
        <f t="shared" si="8"/>
        <v>2940000</v>
      </c>
      <c r="K39" s="2076">
        <f t="shared" ref="K39:K42" si="9">F39-J39</f>
        <v>0</v>
      </c>
      <c r="L39" s="2074"/>
      <c r="M39" s="366"/>
      <c r="N39" s="366"/>
    </row>
    <row r="40" spans="1:14" ht="30" customHeight="1" x14ac:dyDescent="0.2">
      <c r="A40" s="4460"/>
      <c r="B40" s="4458"/>
      <c r="C40" s="2086" t="s">
        <v>4107</v>
      </c>
      <c r="D40" s="2076">
        <v>200000000</v>
      </c>
      <c r="E40" s="2079"/>
      <c r="F40" s="2076"/>
      <c r="G40" s="2076"/>
      <c r="H40" s="2091"/>
      <c r="I40" s="64"/>
      <c r="J40" s="2076"/>
      <c r="K40" s="2076"/>
      <c r="L40" s="2121" t="s">
        <v>4108</v>
      </c>
      <c r="M40" s="366"/>
      <c r="N40" s="366"/>
    </row>
    <row r="41" spans="1:14" ht="30" customHeight="1" x14ac:dyDescent="0.2">
      <c r="A41" s="2067">
        <v>30</v>
      </c>
      <c r="B41" s="2070" t="s">
        <v>843</v>
      </c>
      <c r="C41" s="2086" t="s">
        <v>1107</v>
      </c>
      <c r="D41" s="2076">
        <v>20000000</v>
      </c>
      <c r="E41" s="2079">
        <v>0.04</v>
      </c>
      <c r="F41" s="2076">
        <f t="shared" si="7"/>
        <v>800000</v>
      </c>
      <c r="G41" s="2076">
        <v>800000</v>
      </c>
      <c r="H41" s="2091" t="s">
        <v>4598</v>
      </c>
      <c r="I41" s="64" t="s">
        <v>3105</v>
      </c>
      <c r="J41" s="2076">
        <f t="shared" si="8"/>
        <v>800000</v>
      </c>
      <c r="K41" s="2076">
        <f t="shared" si="9"/>
        <v>0</v>
      </c>
      <c r="L41" s="638"/>
      <c r="M41" s="366"/>
      <c r="N41" s="366"/>
    </row>
    <row r="42" spans="1:14" ht="30" customHeight="1" x14ac:dyDescent="0.2">
      <c r="A42" s="2065">
        <v>31</v>
      </c>
      <c r="B42" s="2108" t="s">
        <v>915</v>
      </c>
      <c r="C42" s="2085"/>
      <c r="D42" s="2064">
        <v>100000000</v>
      </c>
      <c r="E42" s="2103">
        <v>7.0000000000000007E-2</v>
      </c>
      <c r="F42" s="2064">
        <f t="shared" si="7"/>
        <v>7000000.0000000009</v>
      </c>
      <c r="G42" s="2076">
        <v>7000000</v>
      </c>
      <c r="H42" s="2091" t="s">
        <v>4621</v>
      </c>
      <c r="I42" s="64" t="s">
        <v>3195</v>
      </c>
      <c r="J42" s="2075">
        <f t="shared" si="8"/>
        <v>7000000</v>
      </c>
      <c r="K42" s="2075">
        <f t="shared" si="9"/>
        <v>0</v>
      </c>
      <c r="L42" s="2071"/>
      <c r="M42" s="366"/>
      <c r="N42" s="366"/>
    </row>
    <row r="43" spans="1:14" ht="30" customHeight="1" x14ac:dyDescent="0.2">
      <c r="A43" s="4459">
        <v>32</v>
      </c>
      <c r="B43" s="4457" t="s">
        <v>982</v>
      </c>
      <c r="C43" s="4537" t="s">
        <v>1306</v>
      </c>
      <c r="D43" s="2076">
        <v>100000000</v>
      </c>
      <c r="E43" s="2079">
        <v>0.05</v>
      </c>
      <c r="F43" s="2076">
        <f t="shared" si="7"/>
        <v>5000000</v>
      </c>
      <c r="G43" s="4413">
        <v>8850000</v>
      </c>
      <c r="H43" s="4413" t="s">
        <v>4621</v>
      </c>
      <c r="I43" s="4568" t="s">
        <v>2986</v>
      </c>
      <c r="J43" s="4413">
        <f>G43</f>
        <v>8850000</v>
      </c>
      <c r="K43" s="4413">
        <f>(F43+F44+F45)-J43</f>
        <v>0</v>
      </c>
      <c r="L43" s="4492"/>
      <c r="M43" s="366"/>
      <c r="N43" s="366"/>
    </row>
    <row r="44" spans="1:14" ht="30" customHeight="1" x14ac:dyDescent="0.2">
      <c r="A44" s="4464"/>
      <c r="B44" s="4488"/>
      <c r="C44" s="4540"/>
      <c r="D44" s="2076">
        <v>35000000</v>
      </c>
      <c r="E44" s="2079">
        <v>7.0000000000000007E-2</v>
      </c>
      <c r="F44" s="2076">
        <f t="shared" si="7"/>
        <v>2450000.0000000005</v>
      </c>
      <c r="G44" s="4414"/>
      <c r="H44" s="4414"/>
      <c r="I44" s="4906"/>
      <c r="J44" s="4414"/>
      <c r="K44" s="4414"/>
      <c r="L44" s="4684"/>
      <c r="M44" s="366"/>
      <c r="N44" s="366"/>
    </row>
    <row r="45" spans="1:14" ht="30" customHeight="1" x14ac:dyDescent="0.2">
      <c r="A45" s="4460"/>
      <c r="B45" s="4458"/>
      <c r="C45" s="4538"/>
      <c r="D45" s="2064">
        <v>20000000</v>
      </c>
      <c r="E45" s="2103">
        <v>7.0000000000000007E-2</v>
      </c>
      <c r="F45" s="2064">
        <f t="shared" si="7"/>
        <v>1400000.0000000002</v>
      </c>
      <c r="G45" s="4415"/>
      <c r="H45" s="4415"/>
      <c r="I45" s="4569"/>
      <c r="J45" s="4415"/>
      <c r="K45" s="4415"/>
      <c r="L45" s="4799"/>
      <c r="M45" s="4470"/>
      <c r="N45" s="4471"/>
    </row>
    <row r="46" spans="1:14" ht="30" customHeight="1" x14ac:dyDescent="0.2">
      <c r="A46" s="2067">
        <v>33</v>
      </c>
      <c r="B46" s="2070" t="s">
        <v>993</v>
      </c>
      <c r="C46" s="2086" t="s">
        <v>1287</v>
      </c>
      <c r="D46" s="2076">
        <v>63580000</v>
      </c>
      <c r="E46" s="2079">
        <v>7.0000000000000007E-2</v>
      </c>
      <c r="F46" s="2076">
        <v>4450000</v>
      </c>
      <c r="G46" s="2076">
        <v>4450000</v>
      </c>
      <c r="H46" s="2076" t="s">
        <v>4477</v>
      </c>
      <c r="I46" s="64" t="s">
        <v>484</v>
      </c>
      <c r="J46" s="2076">
        <f>G46</f>
        <v>4450000</v>
      </c>
      <c r="K46" s="2076">
        <f t="shared" ref="K46:K56" si="10">F46-J46</f>
        <v>0</v>
      </c>
      <c r="L46" s="2074"/>
      <c r="M46" s="366"/>
      <c r="N46" s="366"/>
    </row>
    <row r="47" spans="1:14" ht="30" customHeight="1" x14ac:dyDescent="0.2">
      <c r="A47" s="2067">
        <v>34</v>
      </c>
      <c r="B47" s="2069" t="s">
        <v>1110</v>
      </c>
      <c r="C47" s="2086"/>
      <c r="D47" s="2076">
        <v>20000000</v>
      </c>
      <c r="E47" s="2079">
        <v>0.04</v>
      </c>
      <c r="F47" s="2076">
        <f>D47*E47</f>
        <v>800000</v>
      </c>
      <c r="G47" s="2076">
        <v>800000</v>
      </c>
      <c r="H47" s="2076" t="s">
        <v>4598</v>
      </c>
      <c r="I47" s="64" t="s">
        <v>1112</v>
      </c>
      <c r="J47" s="2076">
        <f>G47</f>
        <v>800000</v>
      </c>
      <c r="K47" s="2076">
        <f t="shared" si="10"/>
        <v>0</v>
      </c>
      <c r="L47" s="2074"/>
      <c r="M47" s="366"/>
      <c r="N47" s="366"/>
    </row>
    <row r="48" spans="1:14" ht="30" customHeight="1" x14ac:dyDescent="0.2">
      <c r="A48" s="2105">
        <v>35</v>
      </c>
      <c r="B48" s="19" t="s">
        <v>1150</v>
      </c>
      <c r="C48" s="2107" t="s">
        <v>1138</v>
      </c>
      <c r="D48" s="2064">
        <v>175000000</v>
      </c>
      <c r="E48" s="2103">
        <v>0.06</v>
      </c>
      <c r="F48" s="2064">
        <f>D48*E48</f>
        <v>10500000</v>
      </c>
      <c r="G48" s="4413">
        <v>14500000</v>
      </c>
      <c r="H48" s="4413" t="s">
        <v>4780</v>
      </c>
      <c r="I48" s="4413" t="s">
        <v>1720</v>
      </c>
      <c r="J48" s="4413">
        <f>G48</f>
        <v>14500000</v>
      </c>
      <c r="K48" s="4413">
        <f>(F48+F49)-J48</f>
        <v>0</v>
      </c>
      <c r="L48" s="2135"/>
      <c r="M48" s="366"/>
      <c r="N48" s="366"/>
    </row>
    <row r="49" spans="1:14" ht="30" customHeight="1" x14ac:dyDescent="0.2">
      <c r="A49" s="4459"/>
      <c r="B49" s="4962" t="s">
        <v>3264</v>
      </c>
      <c r="C49" s="4537" t="s">
        <v>1138</v>
      </c>
      <c r="D49" s="2783">
        <v>100000000</v>
      </c>
      <c r="E49" s="2558">
        <v>0.04</v>
      </c>
      <c r="F49" s="2783">
        <f>D49*E49</f>
        <v>4000000</v>
      </c>
      <c r="G49" s="4415"/>
      <c r="H49" s="4415"/>
      <c r="I49" s="4415"/>
      <c r="J49" s="4415"/>
      <c r="K49" s="4415"/>
      <c r="L49" s="2074" t="s">
        <v>3265</v>
      </c>
      <c r="M49" s="366"/>
      <c r="N49" s="366"/>
    </row>
    <row r="50" spans="1:14" ht="30" customHeight="1" x14ac:dyDescent="0.2">
      <c r="A50" s="4460"/>
      <c r="B50" s="4963"/>
      <c r="C50" s="4538"/>
      <c r="D50" s="4978" t="s">
        <v>2045</v>
      </c>
      <c r="E50" s="4979"/>
      <c r="F50" s="4980"/>
      <c r="G50" s="2782">
        <v>100000000</v>
      </c>
      <c r="H50" s="2782" t="s">
        <v>4788</v>
      </c>
      <c r="I50" s="2782" t="s">
        <v>4790</v>
      </c>
      <c r="J50" s="2782">
        <f>G50</f>
        <v>100000000</v>
      </c>
      <c r="K50" s="2776"/>
      <c r="L50" s="2778"/>
      <c r="M50" s="366"/>
      <c r="N50" s="366"/>
    </row>
    <row r="51" spans="1:14" ht="30" customHeight="1" x14ac:dyDescent="0.2">
      <c r="A51" s="4459">
        <v>36</v>
      </c>
      <c r="B51" s="4457" t="s">
        <v>3370</v>
      </c>
      <c r="C51" s="4537" t="s">
        <v>1081</v>
      </c>
      <c r="D51" s="2064">
        <v>50000000</v>
      </c>
      <c r="E51" s="2103">
        <v>7.0000000000000007E-2</v>
      </c>
      <c r="F51" s="2064">
        <f>D51*E51</f>
        <v>3500000.0000000005</v>
      </c>
      <c r="G51" s="4413">
        <v>5600000</v>
      </c>
      <c r="H51" s="4413" t="s">
        <v>4780</v>
      </c>
      <c r="I51" s="4975" t="s">
        <v>4266</v>
      </c>
      <c r="J51" s="4413">
        <f>G51</f>
        <v>5600000</v>
      </c>
      <c r="K51" s="4413"/>
      <c r="L51" s="2074" t="s">
        <v>4296</v>
      </c>
      <c r="M51" s="366"/>
      <c r="N51" s="366"/>
    </row>
    <row r="52" spans="1:14" ht="30" customHeight="1" x14ac:dyDescent="0.2">
      <c r="A52" s="4460"/>
      <c r="B52" s="4458"/>
      <c r="C52" s="4538"/>
      <c r="D52" s="2184">
        <v>40000000</v>
      </c>
      <c r="E52" s="2188">
        <v>0.06</v>
      </c>
      <c r="F52" s="2181">
        <v>2500000</v>
      </c>
      <c r="G52" s="4415"/>
      <c r="H52" s="4415"/>
      <c r="I52" s="4977"/>
      <c r="J52" s="4415"/>
      <c r="K52" s="4415"/>
      <c r="L52" s="2183" t="s">
        <v>4303</v>
      </c>
      <c r="M52" s="366"/>
      <c r="N52" s="366"/>
    </row>
    <row r="53" spans="1:14" ht="30" customHeight="1" x14ac:dyDescent="0.2">
      <c r="A53" s="2067">
        <v>38</v>
      </c>
      <c r="B53" s="2068" t="s">
        <v>1254</v>
      </c>
      <c r="C53" s="2086"/>
      <c r="D53" s="298"/>
      <c r="E53" s="299"/>
      <c r="F53" s="298"/>
      <c r="G53" s="2076"/>
      <c r="H53" s="2076"/>
      <c r="I53" s="64"/>
      <c r="J53" s="2076"/>
      <c r="K53" s="2081">
        <f t="shared" si="10"/>
        <v>0</v>
      </c>
      <c r="L53" s="2074"/>
    </row>
    <row r="54" spans="1:14" ht="30" customHeight="1" x14ac:dyDescent="0.2">
      <c r="A54" s="2067">
        <v>39</v>
      </c>
      <c r="B54" s="2068" t="s">
        <v>1213</v>
      </c>
      <c r="C54" s="2086"/>
      <c r="D54" s="298"/>
      <c r="E54" s="299"/>
      <c r="F54" s="298"/>
      <c r="G54" s="2076"/>
      <c r="H54" s="2076"/>
      <c r="I54" s="64"/>
      <c r="J54" s="2076"/>
      <c r="K54" s="2081">
        <f t="shared" si="10"/>
        <v>0</v>
      </c>
      <c r="L54" s="2074"/>
    </row>
    <row r="55" spans="1:14" ht="30" customHeight="1" x14ac:dyDescent="0.2">
      <c r="A55" s="2067">
        <v>40</v>
      </c>
      <c r="B55" s="2068" t="s">
        <v>1265</v>
      </c>
      <c r="C55" s="2086" t="s">
        <v>1289</v>
      </c>
      <c r="D55" s="2126">
        <v>16000000</v>
      </c>
      <c r="E55" s="300">
        <v>0.05</v>
      </c>
      <c r="F55" s="2126">
        <f>D55*E55</f>
        <v>800000</v>
      </c>
      <c r="G55" s="2076">
        <v>800000</v>
      </c>
      <c r="H55" s="2076" t="s">
        <v>1017</v>
      </c>
      <c r="I55" s="64" t="s">
        <v>1268</v>
      </c>
      <c r="J55" s="2076">
        <f>G55</f>
        <v>800000</v>
      </c>
      <c r="K55" s="2076">
        <f t="shared" si="10"/>
        <v>0</v>
      </c>
      <c r="L55" s="2074"/>
    </row>
    <row r="56" spans="1:14" ht="30" customHeight="1" x14ac:dyDescent="0.2">
      <c r="A56" s="2067">
        <v>41</v>
      </c>
      <c r="B56" s="2068" t="s">
        <v>1285</v>
      </c>
      <c r="C56" s="2086"/>
      <c r="D56" s="298"/>
      <c r="E56" s="299"/>
      <c r="F56" s="298"/>
      <c r="G56" s="2076"/>
      <c r="H56" s="2076"/>
      <c r="I56" s="64"/>
      <c r="J56" s="2076"/>
      <c r="K56" s="2081">
        <f t="shared" si="10"/>
        <v>0</v>
      </c>
      <c r="L56" s="2074"/>
    </row>
    <row r="57" spans="1:14" ht="30" customHeight="1" x14ac:dyDescent="0.2">
      <c r="A57" s="2067">
        <v>42</v>
      </c>
      <c r="B57" s="2108" t="s">
        <v>183</v>
      </c>
      <c r="C57" s="2086"/>
      <c r="D57" s="2076">
        <v>60000000</v>
      </c>
      <c r="E57" s="2103">
        <v>0.05</v>
      </c>
      <c r="F57" s="2076">
        <f t="shared" ref="F57:F182" si="11">D57*E57</f>
        <v>3000000</v>
      </c>
      <c r="G57" s="4413">
        <v>3500000</v>
      </c>
      <c r="H57" s="4413" t="s">
        <v>4363</v>
      </c>
      <c r="I57" s="4558" t="s">
        <v>2820</v>
      </c>
      <c r="J57" s="4413">
        <f>G57</f>
        <v>3500000</v>
      </c>
      <c r="K57" s="4413">
        <f>(F57+F58)-J57</f>
        <v>0</v>
      </c>
      <c r="L57" s="4599"/>
    </row>
    <row r="58" spans="1:14" ht="30" customHeight="1" x14ac:dyDescent="0.2">
      <c r="A58" s="2067">
        <v>43</v>
      </c>
      <c r="B58" s="2106" t="s">
        <v>1079</v>
      </c>
      <c r="C58" s="2086"/>
      <c r="D58" s="2076">
        <v>10000000</v>
      </c>
      <c r="E58" s="2103">
        <v>0.05</v>
      </c>
      <c r="F58" s="2076">
        <f>D58*E58</f>
        <v>500000</v>
      </c>
      <c r="G58" s="4415"/>
      <c r="H58" s="4415"/>
      <c r="I58" s="4560"/>
      <c r="J58" s="4415"/>
      <c r="K58" s="4415"/>
      <c r="L58" s="4607"/>
    </row>
    <row r="59" spans="1:14" ht="30" customHeight="1" x14ac:dyDescent="0.2">
      <c r="A59" s="2067">
        <v>44</v>
      </c>
      <c r="B59" s="2106" t="s">
        <v>184</v>
      </c>
      <c r="C59" s="2086" t="s">
        <v>889</v>
      </c>
      <c r="D59" s="2076">
        <v>150000000</v>
      </c>
      <c r="E59" s="2103">
        <v>0.05</v>
      </c>
      <c r="F59" s="2076">
        <f t="shared" si="11"/>
        <v>7500000</v>
      </c>
      <c r="G59" s="2076">
        <v>7500000</v>
      </c>
      <c r="H59" s="2076" t="s">
        <v>4333</v>
      </c>
      <c r="I59" s="2064" t="s">
        <v>1339</v>
      </c>
      <c r="J59" s="2076">
        <f>G59</f>
        <v>7500000</v>
      </c>
      <c r="K59" s="2076">
        <f>F59-J59</f>
        <v>0</v>
      </c>
      <c r="L59" s="2106"/>
    </row>
    <row r="60" spans="1:14" ht="30" customHeight="1" x14ac:dyDescent="0.2">
      <c r="A60" s="4459">
        <v>45</v>
      </c>
      <c r="B60" s="4457" t="s">
        <v>185</v>
      </c>
      <c r="C60" s="4537" t="s">
        <v>1295</v>
      </c>
      <c r="D60" s="2064">
        <v>1590000000</v>
      </c>
      <c r="E60" s="2103">
        <v>7.0000000000000007E-2</v>
      </c>
      <c r="F60" s="2064">
        <f>D60*E60</f>
        <v>111300000.00000001</v>
      </c>
      <c r="G60" s="2064">
        <v>11300000</v>
      </c>
      <c r="H60" s="2076" t="s">
        <v>4333</v>
      </c>
      <c r="I60" s="21" t="s">
        <v>2696</v>
      </c>
      <c r="J60" s="2076">
        <f>G60</f>
        <v>11300000</v>
      </c>
      <c r="K60" s="4413">
        <f>F60-J60</f>
        <v>100000000.00000001</v>
      </c>
      <c r="L60" s="4599"/>
    </row>
    <row r="61" spans="1:14" ht="30" customHeight="1" x14ac:dyDescent="0.2">
      <c r="A61" s="4460"/>
      <c r="B61" s="4458"/>
      <c r="C61" s="4538"/>
      <c r="D61" s="2748">
        <f>D60+100000000</f>
        <v>1690000000</v>
      </c>
      <c r="E61" s="2750">
        <v>7.0000000000000007E-2</v>
      </c>
      <c r="F61" s="2748">
        <f>D61*E61</f>
        <v>118300000.00000001</v>
      </c>
      <c r="G61" s="4469" t="s">
        <v>4252</v>
      </c>
      <c r="H61" s="4470"/>
      <c r="I61" s="4470"/>
      <c r="J61" s="4471"/>
      <c r="K61" s="4415"/>
      <c r="L61" s="4607"/>
    </row>
    <row r="62" spans="1:14" ht="30" customHeight="1" x14ac:dyDescent="0.2">
      <c r="A62" s="2751"/>
      <c r="B62" s="2752"/>
      <c r="C62" s="2754"/>
      <c r="D62" s="2748">
        <v>400000000</v>
      </c>
      <c r="E62" s="2750">
        <v>7.0000000000000007E-2</v>
      </c>
      <c r="F62" s="2748">
        <f>D62*E62</f>
        <v>28000000.000000004</v>
      </c>
      <c r="G62" s="2758"/>
      <c r="H62" s="2759"/>
      <c r="I62" s="2759"/>
      <c r="J62" s="2753"/>
      <c r="K62" s="2749"/>
      <c r="L62" s="2755"/>
    </row>
    <row r="63" spans="1:14" ht="30" customHeight="1" x14ac:dyDescent="0.2">
      <c r="A63" s="2751"/>
      <c r="B63" s="2752"/>
      <c r="C63" s="2754"/>
      <c r="D63" s="2756">
        <f>D61+D62</f>
        <v>2090000000</v>
      </c>
      <c r="E63" s="2757">
        <v>7.0000000000000007E-2</v>
      </c>
      <c r="F63" s="2756">
        <f>D63*E63</f>
        <v>146300000</v>
      </c>
      <c r="G63" s="2758"/>
      <c r="H63" s="2759"/>
      <c r="I63" s="2759"/>
      <c r="J63" s="2753"/>
      <c r="K63" s="2749"/>
      <c r="L63" s="2755"/>
    </row>
    <row r="64" spans="1:14" ht="30" customHeight="1" x14ac:dyDescent="0.2">
      <c r="A64" s="4459">
        <v>46</v>
      </c>
      <c r="B64" s="4457" t="s">
        <v>186</v>
      </c>
      <c r="C64" s="4537" t="s">
        <v>1081</v>
      </c>
      <c r="D64" s="4413">
        <v>1200000000</v>
      </c>
      <c r="E64" s="4476">
        <v>0.08</v>
      </c>
      <c r="F64" s="4413">
        <f>D64*E64</f>
        <v>96000000</v>
      </c>
      <c r="G64" s="2076"/>
      <c r="H64" s="2076"/>
      <c r="I64" s="21"/>
      <c r="J64" s="233"/>
      <c r="K64" s="233"/>
      <c r="L64" s="2114"/>
    </row>
    <row r="65" spans="1:12" ht="30" customHeight="1" x14ac:dyDescent="0.2">
      <c r="A65" s="4464"/>
      <c r="B65" s="4488"/>
      <c r="C65" s="4540"/>
      <c r="D65" s="4414"/>
      <c r="E65" s="4516"/>
      <c r="F65" s="4414"/>
      <c r="G65" s="2076"/>
      <c r="H65" s="2076"/>
      <c r="I65" s="21"/>
      <c r="J65" s="233"/>
      <c r="K65" s="233"/>
      <c r="L65" s="2122"/>
    </row>
    <row r="66" spans="1:12" ht="30" customHeight="1" x14ac:dyDescent="0.2">
      <c r="A66" s="4464"/>
      <c r="B66" s="4488"/>
      <c r="C66" s="4540"/>
      <c r="D66" s="4414"/>
      <c r="E66" s="4516"/>
      <c r="F66" s="4414"/>
      <c r="G66" s="233"/>
      <c r="H66" s="233"/>
      <c r="I66" s="233"/>
      <c r="J66" s="233"/>
      <c r="K66" s="233"/>
      <c r="L66" s="2122"/>
    </row>
    <row r="67" spans="1:12" ht="30" customHeight="1" x14ac:dyDescent="0.2">
      <c r="A67" s="4464"/>
      <c r="B67" s="4488"/>
      <c r="C67" s="4540"/>
      <c r="D67" s="4415"/>
      <c r="E67" s="4477"/>
      <c r="F67" s="4415"/>
      <c r="G67" s="2076"/>
      <c r="H67" s="2076"/>
      <c r="I67" s="21"/>
      <c r="J67" s="2076"/>
      <c r="K67" s="2076"/>
      <c r="L67" s="2122"/>
    </row>
    <row r="68" spans="1:12" ht="30" customHeight="1" x14ac:dyDescent="0.2">
      <c r="A68" s="4460"/>
      <c r="B68" s="4458"/>
      <c r="C68" s="4538"/>
      <c r="D68" s="2076">
        <v>1000000000</v>
      </c>
      <c r="E68" s="2079"/>
      <c r="F68" s="2076"/>
      <c r="G68" s="4469" t="s">
        <v>5114</v>
      </c>
      <c r="H68" s="4470"/>
      <c r="I68" s="4470"/>
      <c r="J68" s="4471"/>
      <c r="K68" s="2076"/>
      <c r="L68" s="2115"/>
    </row>
    <row r="69" spans="1:12" ht="30" customHeight="1" x14ac:dyDescent="0.2">
      <c r="A69" s="2065">
        <v>47</v>
      </c>
      <c r="B69" s="2108" t="s">
        <v>187</v>
      </c>
      <c r="C69" s="2107" t="s">
        <v>1080</v>
      </c>
      <c r="D69" s="2076">
        <v>20000000</v>
      </c>
      <c r="E69" s="2079">
        <v>0.05</v>
      </c>
      <c r="F69" s="2076">
        <f t="shared" si="11"/>
        <v>1000000</v>
      </c>
      <c r="G69" s="2076">
        <v>1000000</v>
      </c>
      <c r="H69" s="2076" t="s">
        <v>4301</v>
      </c>
      <c r="I69" s="2096" t="s">
        <v>4311</v>
      </c>
      <c r="J69" s="2076">
        <f>G69</f>
        <v>1000000</v>
      </c>
      <c r="K69" s="2076">
        <f>F69-J69</f>
        <v>0</v>
      </c>
      <c r="L69" s="3474" t="s">
        <v>3953</v>
      </c>
    </row>
    <row r="70" spans="1:12" ht="30" customHeight="1" x14ac:dyDescent="0.2">
      <c r="A70" s="4459">
        <v>48</v>
      </c>
      <c r="B70" s="4457" t="s">
        <v>1615</v>
      </c>
      <c r="C70" s="4537" t="s">
        <v>1081</v>
      </c>
      <c r="D70" s="4413">
        <v>100000000</v>
      </c>
      <c r="E70" s="4476">
        <v>0.05</v>
      </c>
      <c r="F70" s="4413">
        <f t="shared" si="11"/>
        <v>5000000</v>
      </c>
      <c r="G70" s="2076">
        <v>5000000</v>
      </c>
      <c r="H70" s="2076" t="s">
        <v>4301</v>
      </c>
      <c r="I70" s="21" t="s">
        <v>3909</v>
      </c>
      <c r="J70" s="2076">
        <f>G70</f>
        <v>5000000</v>
      </c>
      <c r="K70" s="2076">
        <f>F70-J70</f>
        <v>0</v>
      </c>
      <c r="L70" s="2135" t="s">
        <v>3953</v>
      </c>
    </row>
    <row r="71" spans="1:12" ht="30" customHeight="1" x14ac:dyDescent="0.2">
      <c r="A71" s="4460"/>
      <c r="B71" s="4458"/>
      <c r="C71" s="4538"/>
      <c r="D71" s="4415"/>
      <c r="E71" s="4477"/>
      <c r="F71" s="4415"/>
      <c r="G71" s="2775">
        <v>5000000</v>
      </c>
      <c r="H71" s="2775" t="s">
        <v>4780</v>
      </c>
      <c r="I71" s="21" t="s">
        <v>3909</v>
      </c>
      <c r="J71" s="2775">
        <f>G71</f>
        <v>5000000</v>
      </c>
      <c r="K71" s="2775">
        <f>F70-J71</f>
        <v>0</v>
      </c>
      <c r="L71" s="2777" t="s">
        <v>4439</v>
      </c>
    </row>
    <row r="72" spans="1:12" ht="30" customHeight="1" x14ac:dyDescent="0.2">
      <c r="A72" s="1029">
        <v>49</v>
      </c>
      <c r="B72" s="19" t="s">
        <v>189</v>
      </c>
      <c r="C72" s="2107" t="s">
        <v>1295</v>
      </c>
      <c r="D72" s="2064">
        <v>230000000</v>
      </c>
      <c r="E72" s="2103">
        <v>0.05</v>
      </c>
      <c r="F72" s="2064">
        <f t="shared" si="11"/>
        <v>11500000</v>
      </c>
      <c r="G72" s="2064"/>
      <c r="H72" s="2064"/>
      <c r="I72" s="2110" t="s">
        <v>1052</v>
      </c>
      <c r="J72" s="2064">
        <f>G72</f>
        <v>0</v>
      </c>
      <c r="K72" s="2064">
        <f>F72-J72</f>
        <v>11500000</v>
      </c>
      <c r="L72" s="764" t="s">
        <v>4273</v>
      </c>
    </row>
    <row r="73" spans="1:12" ht="30" customHeight="1" x14ac:dyDescent="0.2">
      <c r="A73" s="4459">
        <v>50</v>
      </c>
      <c r="B73" s="4457" t="s">
        <v>190</v>
      </c>
      <c r="C73" s="4537" t="s">
        <v>889</v>
      </c>
      <c r="D73" s="4413">
        <v>350000000</v>
      </c>
      <c r="E73" s="4476">
        <v>0.05</v>
      </c>
      <c r="F73" s="4413">
        <f t="shared" si="11"/>
        <v>17500000</v>
      </c>
      <c r="G73" s="4303" t="s">
        <v>3911</v>
      </c>
      <c r="H73" s="4324"/>
      <c r="I73" s="4324"/>
      <c r="J73" s="4324"/>
      <c r="K73" s="4355"/>
      <c r="L73" s="2135"/>
    </row>
    <row r="74" spans="1:12" ht="30" customHeight="1" x14ac:dyDescent="0.2">
      <c r="A74" s="4460"/>
      <c r="B74" s="4458"/>
      <c r="C74" s="4538"/>
      <c r="D74" s="4415"/>
      <c r="E74" s="4477"/>
      <c r="F74" s="4415"/>
      <c r="G74" s="2064">
        <v>17000000</v>
      </c>
      <c r="H74" s="2064" t="s">
        <v>4788</v>
      </c>
      <c r="I74" s="2064" t="s">
        <v>1054</v>
      </c>
      <c r="J74" s="2064">
        <f>G74</f>
        <v>17000000</v>
      </c>
      <c r="K74" s="2064"/>
      <c r="L74" s="764" t="s">
        <v>4791</v>
      </c>
    </row>
    <row r="75" spans="1:12" ht="30" customHeight="1" x14ac:dyDescent="0.2">
      <c r="A75" s="2140">
        <v>51</v>
      </c>
      <c r="B75" s="19" t="s">
        <v>191</v>
      </c>
      <c r="C75" s="2107" t="s">
        <v>889</v>
      </c>
      <c r="D75" s="2064">
        <v>260000000</v>
      </c>
      <c r="E75" s="2103">
        <f>F75/D75</f>
        <v>5.5769230769230772E-2</v>
      </c>
      <c r="F75" s="2064">
        <v>14500000</v>
      </c>
      <c r="G75" s="2064">
        <v>14500000</v>
      </c>
      <c r="H75" s="2064" t="s">
        <v>4312</v>
      </c>
      <c r="I75" s="2064" t="s">
        <v>3500</v>
      </c>
      <c r="J75" s="2064">
        <f>G75</f>
        <v>14500000</v>
      </c>
      <c r="K75" s="2064">
        <f>F75-J75</f>
        <v>0</v>
      </c>
      <c r="L75" s="2068"/>
    </row>
    <row r="76" spans="1:12" ht="30" customHeight="1" x14ac:dyDescent="0.2">
      <c r="A76" s="4896"/>
      <c r="B76" s="4457" t="s">
        <v>192</v>
      </c>
      <c r="C76" s="4537" t="s">
        <v>889</v>
      </c>
      <c r="D76" s="2080">
        <v>100000000</v>
      </c>
      <c r="E76" s="2078">
        <v>7.0000000000000007E-2</v>
      </c>
      <c r="F76" s="2745">
        <f>D76*E76</f>
        <v>7000000.0000000009</v>
      </c>
      <c r="G76" s="4325" t="s">
        <v>4286</v>
      </c>
      <c r="H76" s="4326"/>
      <c r="I76" s="4326"/>
      <c r="J76" s="4563"/>
      <c r="K76" s="4413">
        <f>(F76+F77)-J76</f>
        <v>7500000.0000000009</v>
      </c>
      <c r="L76" s="764"/>
    </row>
    <row r="77" spans="1:12" ht="30" customHeight="1" x14ac:dyDescent="0.2">
      <c r="A77" s="4955"/>
      <c r="B77" s="4488"/>
      <c r="C77" s="4540"/>
      <c r="D77" s="2075">
        <v>10000000</v>
      </c>
      <c r="E77" s="2077">
        <v>0.05</v>
      </c>
      <c r="F77" s="2737">
        <f>D77*E77</f>
        <v>500000</v>
      </c>
      <c r="G77" s="4564"/>
      <c r="H77" s="4596"/>
      <c r="I77" s="4596"/>
      <c r="J77" s="4565"/>
      <c r="K77" s="4415"/>
      <c r="L77" s="764"/>
    </row>
    <row r="78" spans="1:12" ht="30" customHeight="1" x14ac:dyDescent="0.2">
      <c r="A78" s="4955"/>
      <c r="B78" s="4488"/>
      <c r="C78" s="4540"/>
      <c r="D78" s="2591">
        <v>7500000</v>
      </c>
      <c r="E78" s="2734">
        <v>0.05</v>
      </c>
      <c r="F78" s="2737">
        <f t="shared" ref="F78:F82" si="12">D78*E78</f>
        <v>375000</v>
      </c>
      <c r="G78" s="2588"/>
      <c r="H78" s="2588"/>
      <c r="I78" s="2588"/>
      <c r="J78" s="2588"/>
      <c r="K78" s="2592"/>
      <c r="L78" s="764"/>
    </row>
    <row r="79" spans="1:12" ht="30" customHeight="1" x14ac:dyDescent="0.2">
      <c r="A79" s="4955"/>
      <c r="B79" s="4488"/>
      <c r="C79" s="4540"/>
      <c r="D79" s="2591">
        <v>2000000</v>
      </c>
      <c r="E79" s="2734">
        <v>0.05</v>
      </c>
      <c r="F79" s="2737">
        <f t="shared" si="12"/>
        <v>100000</v>
      </c>
      <c r="G79" s="2592">
        <f>H79-500000</f>
        <v>8675000</v>
      </c>
      <c r="H79" s="2592">
        <f>F76+F77+F78+F79+G80+G81+G82</f>
        <v>9175000</v>
      </c>
      <c r="I79" s="2592"/>
      <c r="J79" s="2592"/>
      <c r="K79" s="2592"/>
      <c r="L79" s="764" t="s">
        <v>4636</v>
      </c>
    </row>
    <row r="80" spans="1:12" ht="30" customHeight="1" x14ac:dyDescent="0.2">
      <c r="A80" s="4955"/>
      <c r="B80" s="4488"/>
      <c r="C80" s="4540"/>
      <c r="D80" s="2591">
        <v>10000000</v>
      </c>
      <c r="E80" s="2734">
        <v>0.05</v>
      </c>
      <c r="F80" s="2732">
        <f t="shared" si="12"/>
        <v>500000</v>
      </c>
      <c r="G80" s="2738">
        <v>417000</v>
      </c>
      <c r="H80" s="2592">
        <v>25</v>
      </c>
      <c r="I80" s="2592"/>
      <c r="J80" s="2592"/>
      <c r="K80" s="2592"/>
      <c r="L80" s="764" t="s">
        <v>4637</v>
      </c>
    </row>
    <row r="81" spans="1:12" ht="30" customHeight="1" x14ac:dyDescent="0.2">
      <c r="A81" s="4955"/>
      <c r="B81" s="4488"/>
      <c r="C81" s="4540"/>
      <c r="D81" s="2591">
        <v>10000000</v>
      </c>
      <c r="E81" s="2734">
        <v>0.05</v>
      </c>
      <c r="F81" s="2732">
        <f t="shared" si="12"/>
        <v>500000</v>
      </c>
      <c r="G81" s="2738">
        <v>400000</v>
      </c>
      <c r="H81" s="2592">
        <v>24</v>
      </c>
      <c r="I81" s="2592"/>
      <c r="J81" s="2592"/>
      <c r="K81" s="2592"/>
      <c r="L81" s="764" t="s">
        <v>4638</v>
      </c>
    </row>
    <row r="82" spans="1:12" ht="30" customHeight="1" x14ac:dyDescent="0.2">
      <c r="A82" s="4897"/>
      <c r="B82" s="4458"/>
      <c r="C82" s="4538"/>
      <c r="D82" s="2075">
        <v>10000000</v>
      </c>
      <c r="E82" s="2734">
        <v>0.05</v>
      </c>
      <c r="F82" s="2732">
        <f t="shared" si="12"/>
        <v>500000</v>
      </c>
      <c r="G82" s="2738">
        <v>383000</v>
      </c>
      <c r="H82" s="2076">
        <v>23</v>
      </c>
      <c r="I82" s="2076"/>
      <c r="J82" s="2076"/>
      <c r="K82" s="2076"/>
      <c r="L82" s="764" t="s">
        <v>4639</v>
      </c>
    </row>
    <row r="83" spans="1:12" ht="30" customHeight="1" x14ac:dyDescent="0.2">
      <c r="A83" s="2595"/>
      <c r="B83" s="4518" t="s">
        <v>192</v>
      </c>
      <c r="C83" s="2594"/>
      <c r="D83" s="2589">
        <v>100000000</v>
      </c>
      <c r="E83" s="2593">
        <v>7.0000000000000007E-2</v>
      </c>
      <c r="F83" s="2589">
        <f>D83*E83</f>
        <v>7000000.0000000009</v>
      </c>
      <c r="G83" s="2590"/>
      <c r="H83" s="2590"/>
      <c r="I83" s="2590"/>
      <c r="J83" s="2590"/>
      <c r="K83" s="2590"/>
      <c r="L83" s="4981" t="s">
        <v>4640</v>
      </c>
    </row>
    <row r="84" spans="1:12" ht="30" customHeight="1" x14ac:dyDescent="0.2">
      <c r="A84" s="2595"/>
      <c r="B84" s="4519"/>
      <c r="C84" s="2594"/>
      <c r="D84" s="2589">
        <v>49500000</v>
      </c>
      <c r="E84" s="2593">
        <v>0.05</v>
      </c>
      <c r="F84" s="2589">
        <f>D84*E84</f>
        <v>2475000</v>
      </c>
      <c r="G84" s="2590"/>
      <c r="H84" s="2590"/>
      <c r="I84" s="2590"/>
      <c r="J84" s="2590"/>
      <c r="K84" s="2590"/>
      <c r="L84" s="4982"/>
    </row>
    <row r="85" spans="1:12" ht="30" customHeight="1" x14ac:dyDescent="0.2">
      <c r="A85" s="4459"/>
      <c r="B85" s="4457" t="s">
        <v>193</v>
      </c>
      <c r="C85" s="4537" t="s">
        <v>1294</v>
      </c>
      <c r="D85" s="3115">
        <v>500000000</v>
      </c>
      <c r="E85" s="3117">
        <v>7.0000000000000007E-2</v>
      </c>
      <c r="F85" s="3115">
        <f>D85*E85</f>
        <v>35000000</v>
      </c>
      <c r="G85" s="3115"/>
      <c r="H85" s="3115"/>
      <c r="I85" s="3115" t="s">
        <v>1810</v>
      </c>
      <c r="J85" s="3115">
        <f>G85</f>
        <v>0</v>
      </c>
      <c r="K85" s="3115">
        <v>0</v>
      </c>
      <c r="L85" s="1389" t="s">
        <v>3725</v>
      </c>
    </row>
    <row r="86" spans="1:12" ht="30" customHeight="1" x14ac:dyDescent="0.2">
      <c r="A86" s="4464"/>
      <c r="B86" s="4488"/>
      <c r="C86" s="4540"/>
      <c r="D86" s="3105">
        <v>150000000</v>
      </c>
      <c r="E86" s="3106">
        <v>7.0000000000000007E-2</v>
      </c>
      <c r="F86" s="3105">
        <f>D86*E86</f>
        <v>10500000.000000002</v>
      </c>
      <c r="G86" s="2387"/>
      <c r="H86" s="3104"/>
      <c r="I86" s="3104"/>
      <c r="J86" s="3104"/>
      <c r="K86" s="3104"/>
      <c r="L86" s="764" t="s">
        <v>4490</v>
      </c>
    </row>
    <row r="87" spans="1:12" ht="30" customHeight="1" x14ac:dyDescent="0.2">
      <c r="A87" s="4464"/>
      <c r="B87" s="4488"/>
      <c r="C87" s="4540"/>
      <c r="D87" s="3105">
        <v>200000000</v>
      </c>
      <c r="E87" s="3106">
        <v>7.0000000000000007E-2</v>
      </c>
      <c r="F87" s="3105">
        <f>D87*E87</f>
        <v>14000000.000000002</v>
      </c>
      <c r="G87" s="3104"/>
      <c r="H87" s="3104"/>
      <c r="I87" s="3104"/>
      <c r="J87" s="3104"/>
      <c r="K87" s="3104"/>
      <c r="L87" s="764"/>
    </row>
    <row r="88" spans="1:12" ht="30" customHeight="1" x14ac:dyDescent="0.2">
      <c r="A88" s="4460"/>
      <c r="B88" s="4458"/>
      <c r="C88" s="4538"/>
      <c r="D88" s="3109">
        <f>D85+D86+D87</f>
        <v>850000000</v>
      </c>
      <c r="E88" s="3110">
        <v>7.0000000000000007E-2</v>
      </c>
      <c r="F88" s="3109">
        <v>60000000</v>
      </c>
      <c r="G88" s="3104"/>
      <c r="H88" s="3104"/>
      <c r="I88" s="3104"/>
      <c r="J88" s="3104"/>
      <c r="K88" s="3104"/>
      <c r="L88" s="764"/>
    </row>
    <row r="89" spans="1:12" ht="30" customHeight="1" x14ac:dyDescent="0.2">
      <c r="A89" s="4459">
        <v>54</v>
      </c>
      <c r="B89" s="4457" t="s">
        <v>1060</v>
      </c>
      <c r="C89" s="4537"/>
      <c r="D89" s="2076">
        <v>35000000</v>
      </c>
      <c r="E89" s="2079">
        <v>7.1999999999999995E-2</v>
      </c>
      <c r="F89" s="2076">
        <v>2500000</v>
      </c>
      <c r="G89" s="4742">
        <v>3500000</v>
      </c>
      <c r="H89" s="4742" t="s">
        <v>4301</v>
      </c>
      <c r="I89" s="4756" t="s">
        <v>2503</v>
      </c>
      <c r="J89" s="4742">
        <f>G89</f>
        <v>3500000</v>
      </c>
      <c r="K89" s="4742">
        <f>(F89+F90)-J89</f>
        <v>0</v>
      </c>
      <c r="L89" s="4492" t="s">
        <v>4853</v>
      </c>
    </row>
    <row r="90" spans="1:12" ht="30" customHeight="1" x14ac:dyDescent="0.2">
      <c r="A90" s="4464"/>
      <c r="B90" s="4458"/>
      <c r="C90" s="4538"/>
      <c r="D90" s="2076">
        <v>13000000</v>
      </c>
      <c r="E90" s="2103">
        <v>7.6999999999999999E-2</v>
      </c>
      <c r="F90" s="2076">
        <v>1000000</v>
      </c>
      <c r="G90" s="4743"/>
      <c r="H90" s="4743"/>
      <c r="I90" s="4757"/>
      <c r="J90" s="4743"/>
      <c r="K90" s="4743"/>
      <c r="L90" s="4684"/>
    </row>
    <row r="91" spans="1:12" ht="30" customHeight="1" x14ac:dyDescent="0.2">
      <c r="A91" s="4459">
        <v>55</v>
      </c>
      <c r="B91" s="4457" t="s">
        <v>1247</v>
      </c>
      <c r="C91" s="4537" t="s">
        <v>1295</v>
      </c>
      <c r="D91" s="2064">
        <v>175000000</v>
      </c>
      <c r="E91" s="2103">
        <v>0.52</v>
      </c>
      <c r="F91" s="2064">
        <v>9000000</v>
      </c>
      <c r="G91" s="4413">
        <v>18250000</v>
      </c>
      <c r="H91" s="4478" t="s">
        <v>4363</v>
      </c>
      <c r="I91" s="4478" t="s">
        <v>1063</v>
      </c>
      <c r="J91" s="4975">
        <f>G91</f>
        <v>18250000</v>
      </c>
      <c r="K91" s="4322">
        <f>(F91+F92+F93)-J91</f>
        <v>0</v>
      </c>
      <c r="L91" s="4492" t="s">
        <v>4804</v>
      </c>
    </row>
    <row r="92" spans="1:12" ht="30" customHeight="1" x14ac:dyDescent="0.2">
      <c r="A92" s="4464"/>
      <c r="B92" s="4488"/>
      <c r="C92" s="4540"/>
      <c r="D92" s="2075">
        <f>85000000+20000000</f>
        <v>105000000</v>
      </c>
      <c r="E92" s="2077">
        <v>7.0000000000000007E-2</v>
      </c>
      <c r="F92" s="2075">
        <v>7500000</v>
      </c>
      <c r="G92" s="4414"/>
      <c r="H92" s="4520"/>
      <c r="I92" s="4520"/>
      <c r="J92" s="4520"/>
      <c r="K92" s="4322"/>
      <c r="L92" s="4684"/>
    </row>
    <row r="93" spans="1:12" ht="30" customHeight="1" x14ac:dyDescent="0.2">
      <c r="A93" s="4460"/>
      <c r="B93" s="4458"/>
      <c r="C93" s="4538"/>
      <c r="D93" s="2064">
        <v>35000000</v>
      </c>
      <c r="E93" s="2103">
        <v>0.05</v>
      </c>
      <c r="F93" s="2064">
        <f>D93*E93</f>
        <v>1750000</v>
      </c>
      <c r="G93" s="4415"/>
      <c r="H93" s="4479"/>
      <c r="I93" s="4479"/>
      <c r="J93" s="4479"/>
      <c r="K93" s="4322"/>
      <c r="L93" s="4493"/>
    </row>
    <row r="94" spans="1:12" ht="30" customHeight="1" x14ac:dyDescent="0.2">
      <c r="A94" s="4459">
        <v>56</v>
      </c>
      <c r="B94" s="4457" t="s">
        <v>35</v>
      </c>
      <c r="C94" s="4537" t="s">
        <v>1295</v>
      </c>
      <c r="D94" s="4504">
        <v>3284000000</v>
      </c>
      <c r="E94" s="4500">
        <v>7.0000000000000007E-2</v>
      </c>
      <c r="F94" s="4504">
        <v>229880000</v>
      </c>
      <c r="G94" s="2453">
        <v>50000000</v>
      </c>
      <c r="H94" s="2453" t="s">
        <v>4404</v>
      </c>
      <c r="I94" s="21" t="s">
        <v>678</v>
      </c>
      <c r="J94" s="4975">
        <f>G94+G95+G96+G97</f>
        <v>229880000</v>
      </c>
      <c r="K94" s="4413">
        <v>0</v>
      </c>
      <c r="L94" s="638"/>
    </row>
    <row r="95" spans="1:12" ht="30" customHeight="1" x14ac:dyDescent="0.2">
      <c r="A95" s="4464"/>
      <c r="B95" s="4488"/>
      <c r="C95" s="4540"/>
      <c r="D95" s="4888"/>
      <c r="E95" s="4976"/>
      <c r="F95" s="4888"/>
      <c r="G95" s="2453">
        <v>50000000</v>
      </c>
      <c r="H95" s="2453" t="s">
        <v>4477</v>
      </c>
      <c r="I95" s="21" t="s">
        <v>678</v>
      </c>
      <c r="J95" s="4520"/>
      <c r="K95" s="4414"/>
      <c r="L95" s="180"/>
    </row>
    <row r="96" spans="1:12" ht="30" customHeight="1" x14ac:dyDescent="0.2">
      <c r="A96" s="4464"/>
      <c r="B96" s="4488"/>
      <c r="C96" s="4540"/>
      <c r="D96" s="4888"/>
      <c r="E96" s="4976"/>
      <c r="F96" s="4888"/>
      <c r="G96" s="2453">
        <v>73880000</v>
      </c>
      <c r="H96" s="2453" t="s">
        <v>2473</v>
      </c>
      <c r="I96" s="21" t="s">
        <v>678</v>
      </c>
      <c r="J96" s="4520"/>
      <c r="K96" s="4414"/>
      <c r="L96" s="180"/>
    </row>
    <row r="97" spans="1:12" ht="30" customHeight="1" x14ac:dyDescent="0.2">
      <c r="A97" s="4464"/>
      <c r="B97" s="4488"/>
      <c r="C97" s="4538"/>
      <c r="D97" s="4505"/>
      <c r="E97" s="4501"/>
      <c r="F97" s="4505"/>
      <c r="G97" s="2453">
        <v>56000000</v>
      </c>
      <c r="H97" s="2453" t="s">
        <v>1017</v>
      </c>
      <c r="I97" s="21" t="s">
        <v>678</v>
      </c>
      <c r="J97" s="4479"/>
      <c r="K97" s="4415"/>
      <c r="L97" s="1612"/>
    </row>
    <row r="98" spans="1:12" ht="30" customHeight="1" x14ac:dyDescent="0.2">
      <c r="A98" s="4464"/>
      <c r="B98" s="4488"/>
      <c r="C98" s="4537" t="s">
        <v>1306</v>
      </c>
      <c r="D98" s="4504">
        <v>1891929000</v>
      </c>
      <c r="E98" s="4500">
        <v>0.08</v>
      </c>
      <c r="F98" s="4504">
        <f>D98*E98</f>
        <v>151354320</v>
      </c>
      <c r="G98" s="4325" t="s">
        <v>4808</v>
      </c>
      <c r="H98" s="4326"/>
      <c r="I98" s="4326"/>
      <c r="J98" s="4563"/>
      <c r="K98" s="4413"/>
      <c r="L98" s="1612"/>
    </row>
    <row r="99" spans="1:12" ht="30" customHeight="1" x14ac:dyDescent="0.2">
      <c r="A99" s="4464"/>
      <c r="B99" s="4488"/>
      <c r="C99" s="4540"/>
      <c r="D99" s="4888"/>
      <c r="E99" s="4976"/>
      <c r="F99" s="4888"/>
      <c r="G99" s="4612"/>
      <c r="H99" s="4359"/>
      <c r="I99" s="4359"/>
      <c r="J99" s="4613"/>
      <c r="K99" s="4414"/>
      <c r="L99" s="1612"/>
    </row>
    <row r="100" spans="1:12" ht="30" customHeight="1" x14ac:dyDescent="0.2">
      <c r="A100" s="4464"/>
      <c r="B100" s="4488"/>
      <c r="C100" s="4540"/>
      <c r="D100" s="4888"/>
      <c r="E100" s="4976"/>
      <c r="F100" s="4888"/>
      <c r="G100" s="4612"/>
      <c r="H100" s="4359"/>
      <c r="I100" s="4359"/>
      <c r="J100" s="4613"/>
      <c r="K100" s="4414"/>
      <c r="L100" s="1612"/>
    </row>
    <row r="101" spans="1:12" ht="30" customHeight="1" x14ac:dyDescent="0.2">
      <c r="A101" s="4464"/>
      <c r="B101" s="4488"/>
      <c r="C101" s="4540"/>
      <c r="D101" s="4888"/>
      <c r="E101" s="4976"/>
      <c r="F101" s="4888"/>
      <c r="G101" s="4612"/>
      <c r="H101" s="4359"/>
      <c r="I101" s="4359"/>
      <c r="J101" s="4613"/>
      <c r="K101" s="4414"/>
      <c r="L101" s="1612"/>
    </row>
    <row r="102" spans="1:12" ht="30" customHeight="1" x14ac:dyDescent="0.2">
      <c r="A102" s="4464"/>
      <c r="B102" s="4488"/>
      <c r="C102" s="4540"/>
      <c r="D102" s="4888"/>
      <c r="E102" s="4976"/>
      <c r="F102" s="4888"/>
      <c r="G102" s="4612"/>
      <c r="H102" s="4359"/>
      <c r="I102" s="4359"/>
      <c r="J102" s="4613"/>
      <c r="K102" s="4414"/>
      <c r="L102" s="1612"/>
    </row>
    <row r="103" spans="1:12" ht="30" customHeight="1" x14ac:dyDescent="0.2">
      <c r="A103" s="4460"/>
      <c r="B103" s="4458"/>
      <c r="C103" s="4538"/>
      <c r="D103" s="4505"/>
      <c r="E103" s="4501"/>
      <c r="F103" s="4505"/>
      <c r="G103" s="4564"/>
      <c r="H103" s="4596"/>
      <c r="I103" s="4596"/>
      <c r="J103" s="4565"/>
      <c r="K103" s="4415"/>
      <c r="L103" s="1612"/>
    </row>
    <row r="104" spans="1:12" ht="30" customHeight="1" x14ac:dyDescent="0.2">
      <c r="A104" s="4459">
        <v>57</v>
      </c>
      <c r="B104" s="4457" t="s">
        <v>1077</v>
      </c>
      <c r="C104" s="4537" t="s">
        <v>1298</v>
      </c>
      <c r="D104" s="4504">
        <v>317000000</v>
      </c>
      <c r="E104" s="4500">
        <v>7.0000000000000007E-2</v>
      </c>
      <c r="F104" s="4504">
        <f>D104*E104</f>
        <v>22190000.000000004</v>
      </c>
      <c r="G104" s="4325" t="s">
        <v>4808</v>
      </c>
      <c r="H104" s="4326"/>
      <c r="I104" s="4326"/>
      <c r="J104" s="4563"/>
      <c r="K104" s="4413"/>
      <c r="L104" s="4682"/>
    </row>
    <row r="105" spans="1:12" ht="30" customHeight="1" x14ac:dyDescent="0.2">
      <c r="A105" s="4460"/>
      <c r="B105" s="4458"/>
      <c r="C105" s="4538"/>
      <c r="D105" s="4505"/>
      <c r="E105" s="4501"/>
      <c r="F105" s="4505"/>
      <c r="G105" s="4564"/>
      <c r="H105" s="4596"/>
      <c r="I105" s="4596"/>
      <c r="J105" s="4565"/>
      <c r="K105" s="4415"/>
      <c r="L105" s="4683"/>
    </row>
    <row r="106" spans="1:12" ht="30" customHeight="1" x14ac:dyDescent="0.2">
      <c r="A106" s="4459">
        <v>58</v>
      </c>
      <c r="B106" s="4615" t="s">
        <v>1064</v>
      </c>
      <c r="C106" s="4620" t="s">
        <v>889</v>
      </c>
      <c r="D106" s="2076">
        <v>11000000</v>
      </c>
      <c r="E106" s="2103">
        <v>7.0000000000000007E-2</v>
      </c>
      <c r="F106" s="2076">
        <v>700000</v>
      </c>
      <c r="G106" s="4413">
        <v>2100000</v>
      </c>
      <c r="H106" s="4413" t="s">
        <v>4404</v>
      </c>
      <c r="I106" s="4558" t="s">
        <v>1066</v>
      </c>
      <c r="J106" s="4413">
        <f>G106</f>
        <v>2100000</v>
      </c>
      <c r="K106" s="4413">
        <f>(F106+F107)-J106</f>
        <v>0</v>
      </c>
      <c r="L106" s="2106"/>
    </row>
    <row r="107" spans="1:12" ht="30" customHeight="1" x14ac:dyDescent="0.2">
      <c r="A107" s="4460"/>
      <c r="B107" s="4615"/>
      <c r="C107" s="4620"/>
      <c r="D107" s="2172">
        <v>20000000</v>
      </c>
      <c r="E107" s="2175">
        <v>7.0000000000000007E-2</v>
      </c>
      <c r="F107" s="2172">
        <f>D107*E107</f>
        <v>1400000.0000000002</v>
      </c>
      <c r="G107" s="4415"/>
      <c r="H107" s="4415"/>
      <c r="I107" s="4560"/>
      <c r="J107" s="4415"/>
      <c r="K107" s="4415"/>
      <c r="L107" s="2178"/>
    </row>
    <row r="108" spans="1:12" ht="30" customHeight="1" x14ac:dyDescent="0.2">
      <c r="A108" s="4459"/>
      <c r="B108" s="4457" t="s">
        <v>194</v>
      </c>
      <c r="C108" s="4620" t="s">
        <v>1295</v>
      </c>
      <c r="D108" s="2076">
        <v>100000000</v>
      </c>
      <c r="E108" s="2103">
        <v>5.1999999999999998E-2</v>
      </c>
      <c r="F108" s="2076">
        <f t="shared" si="11"/>
        <v>5200000</v>
      </c>
      <c r="G108" s="4413">
        <v>6000000</v>
      </c>
      <c r="H108" s="4413" t="s">
        <v>4312</v>
      </c>
      <c r="I108" s="4413" t="s">
        <v>3942</v>
      </c>
      <c r="J108" s="4413">
        <f>G108</f>
        <v>6000000</v>
      </c>
      <c r="K108" s="4413">
        <f>(F108+F109)-J108</f>
        <v>0</v>
      </c>
      <c r="L108" s="638"/>
    </row>
    <row r="109" spans="1:12" ht="30" customHeight="1" x14ac:dyDescent="0.2">
      <c r="A109" s="4464"/>
      <c r="B109" s="4488"/>
      <c r="C109" s="4620"/>
      <c r="D109" s="2076">
        <v>15000000</v>
      </c>
      <c r="E109" s="2103">
        <v>5.5E-2</v>
      </c>
      <c r="F109" s="2076">
        <v>800000</v>
      </c>
      <c r="G109" s="4415"/>
      <c r="H109" s="4415"/>
      <c r="I109" s="4415"/>
      <c r="J109" s="4415"/>
      <c r="K109" s="4415"/>
      <c r="L109" s="180" t="s">
        <v>4330</v>
      </c>
    </row>
    <row r="110" spans="1:12" ht="30" customHeight="1" x14ac:dyDescent="0.2">
      <c r="A110" s="4460"/>
      <c r="B110" s="4458"/>
      <c r="C110" s="2416"/>
      <c r="D110" s="2414">
        <v>29000000</v>
      </c>
      <c r="E110" s="2418">
        <v>5.1999999999999998E-2</v>
      </c>
      <c r="F110" s="2414">
        <v>1500000</v>
      </c>
      <c r="G110" s="2414"/>
      <c r="H110" s="2414"/>
      <c r="I110" s="2417"/>
      <c r="J110" s="2414"/>
      <c r="K110" s="2414"/>
      <c r="L110" s="180" t="s">
        <v>4509</v>
      </c>
    </row>
    <row r="111" spans="1:12" ht="30" customHeight="1" x14ac:dyDescent="0.2">
      <c r="A111" s="2105">
        <v>60</v>
      </c>
      <c r="B111" s="110" t="s">
        <v>1498</v>
      </c>
      <c r="C111" s="2086" t="s">
        <v>889</v>
      </c>
      <c r="D111" s="2081"/>
      <c r="E111" s="40"/>
      <c r="F111" s="2081">
        <f t="shared" si="11"/>
        <v>0</v>
      </c>
      <c r="G111" s="2076">
        <v>10000000</v>
      </c>
      <c r="H111" s="2076" t="s">
        <v>4312</v>
      </c>
      <c r="I111" s="21" t="s">
        <v>4313</v>
      </c>
      <c r="J111" s="2076">
        <f>G111</f>
        <v>10000000</v>
      </c>
      <c r="K111" s="2081">
        <f>F111-J111</f>
        <v>-10000000</v>
      </c>
      <c r="L111" s="2106"/>
    </row>
    <row r="112" spans="1:12" ht="30" customHeight="1" x14ac:dyDescent="0.2">
      <c r="A112" s="2067">
        <v>61</v>
      </c>
      <c r="B112" s="2106" t="s">
        <v>196</v>
      </c>
      <c r="C112" s="2086"/>
      <c r="D112" s="2076">
        <v>100000000</v>
      </c>
      <c r="E112" s="2103">
        <v>7.0000000000000007E-2</v>
      </c>
      <c r="F112" s="2076">
        <f t="shared" si="11"/>
        <v>7000000.0000000009</v>
      </c>
      <c r="G112" s="2076">
        <v>7000000</v>
      </c>
      <c r="H112" s="2076" t="s">
        <v>1193</v>
      </c>
      <c r="I112" s="21" t="s">
        <v>3466</v>
      </c>
      <c r="J112" s="2076">
        <f>G112</f>
        <v>7000000</v>
      </c>
      <c r="K112" s="2076">
        <f>F112-J112</f>
        <v>0</v>
      </c>
      <c r="L112" s="2106"/>
    </row>
    <row r="113" spans="1:12" ht="30" customHeight="1" x14ac:dyDescent="0.2">
      <c r="A113" s="2140">
        <v>62</v>
      </c>
      <c r="B113" s="1951" t="s">
        <v>197</v>
      </c>
      <c r="C113" s="3420"/>
      <c r="D113" s="3397">
        <v>125000000</v>
      </c>
      <c r="E113" s="2521">
        <v>5.1999999999999998E-2</v>
      </c>
      <c r="F113" s="3397">
        <f t="shared" si="11"/>
        <v>6500000</v>
      </c>
      <c r="G113" s="3397">
        <v>3300000</v>
      </c>
      <c r="H113" s="3397" t="s">
        <v>4661</v>
      </c>
      <c r="I113" s="3397" t="s">
        <v>1251</v>
      </c>
      <c r="J113" s="3397">
        <f>G113</f>
        <v>3300000</v>
      </c>
      <c r="K113" s="3397">
        <f>F113-J113</f>
        <v>3200000</v>
      </c>
      <c r="L113" s="1025"/>
    </row>
    <row r="114" spans="1:12" ht="30" customHeight="1" x14ac:dyDescent="0.2">
      <c r="A114" s="4614">
        <v>63</v>
      </c>
      <c r="B114" s="4615" t="s">
        <v>198</v>
      </c>
      <c r="C114" s="4620" t="s">
        <v>889</v>
      </c>
      <c r="D114" s="2064">
        <v>1800000000</v>
      </c>
      <c r="E114" s="2103">
        <v>6.5000000000000002E-2</v>
      </c>
      <c r="F114" s="2064">
        <f t="shared" si="11"/>
        <v>117000000</v>
      </c>
      <c r="G114" s="2064">
        <v>17000000</v>
      </c>
      <c r="H114" s="2064" t="s">
        <v>4312</v>
      </c>
      <c r="I114" s="2064" t="s">
        <v>3724</v>
      </c>
      <c r="J114" s="2064">
        <f>G114</f>
        <v>17000000</v>
      </c>
      <c r="K114" s="2064">
        <f>F114-100000000-J114</f>
        <v>0</v>
      </c>
      <c r="L114" s="638" t="s">
        <v>3374</v>
      </c>
    </row>
    <row r="115" spans="1:12" ht="30" customHeight="1" x14ac:dyDescent="0.2">
      <c r="A115" s="4614"/>
      <c r="B115" s="4615"/>
      <c r="C115" s="4620"/>
      <c r="D115" s="2064">
        <v>1900000000</v>
      </c>
      <c r="E115" s="2103">
        <v>6.5000000000000002E-2</v>
      </c>
      <c r="F115" s="2064">
        <f>D115*E115</f>
        <v>123500000</v>
      </c>
      <c r="G115" s="4916" t="s">
        <v>4275</v>
      </c>
      <c r="H115" s="4917"/>
      <c r="I115" s="4917"/>
      <c r="J115" s="4918"/>
      <c r="K115" s="2076"/>
      <c r="L115" s="29" t="s">
        <v>4274</v>
      </c>
    </row>
    <row r="116" spans="1:12" ht="30" customHeight="1" x14ac:dyDescent="0.2">
      <c r="A116" s="2067">
        <v>64</v>
      </c>
      <c r="B116" s="2070" t="s">
        <v>1336</v>
      </c>
      <c r="C116" s="2086" t="s">
        <v>889</v>
      </c>
      <c r="D116" s="2076">
        <v>200000000</v>
      </c>
      <c r="E116" s="2079">
        <v>5.5E-2</v>
      </c>
      <c r="F116" s="2076">
        <f t="shared" si="11"/>
        <v>11000000</v>
      </c>
      <c r="G116" s="2076">
        <v>11000000</v>
      </c>
      <c r="H116" s="2076" t="s">
        <v>4333</v>
      </c>
      <c r="I116" s="21" t="s">
        <v>3925</v>
      </c>
      <c r="J116" s="2076">
        <f>G116</f>
        <v>11000000</v>
      </c>
      <c r="K116" s="2076">
        <f t="shared" ref="K116:K129" si="13">F116-J116</f>
        <v>0</v>
      </c>
      <c r="L116" s="2135" t="s">
        <v>1337</v>
      </c>
    </row>
    <row r="117" spans="1:12" ht="30" customHeight="1" x14ac:dyDescent="0.2">
      <c r="A117" s="4459">
        <v>66</v>
      </c>
      <c r="B117" s="4457" t="s">
        <v>201</v>
      </c>
      <c r="C117" s="4537" t="s">
        <v>889</v>
      </c>
      <c r="D117" s="2064">
        <v>220000000</v>
      </c>
      <c r="E117" s="2103">
        <v>0.05</v>
      </c>
      <c r="F117" s="2064">
        <f t="shared" ref="F117:F122" si="14">D117*E117</f>
        <v>11000000</v>
      </c>
      <c r="G117" s="2064"/>
      <c r="H117" s="2064"/>
      <c r="I117" s="2110" t="s">
        <v>3501</v>
      </c>
      <c r="J117" s="2064">
        <f t="shared" ref="J117:J127" si="15">G117</f>
        <v>0</v>
      </c>
      <c r="K117" s="2064">
        <f t="shared" si="13"/>
        <v>11000000</v>
      </c>
      <c r="L117" s="2135"/>
    </row>
    <row r="118" spans="1:12" ht="30" customHeight="1" x14ac:dyDescent="0.2">
      <c r="A118" s="4464"/>
      <c r="B118" s="4488"/>
      <c r="C118" s="4540"/>
      <c r="D118" s="2626">
        <v>12000000</v>
      </c>
      <c r="E118" s="2644">
        <v>7.0000000000000007E-2</v>
      </c>
      <c r="F118" s="2626">
        <f t="shared" si="14"/>
        <v>840000.00000000012</v>
      </c>
      <c r="G118" s="2626"/>
      <c r="H118" s="2626"/>
      <c r="I118" s="2643"/>
      <c r="J118" s="2626"/>
      <c r="K118" s="2626"/>
      <c r="L118" s="2635"/>
    </row>
    <row r="119" spans="1:12" ht="30" customHeight="1" x14ac:dyDescent="0.2">
      <c r="A119" s="4464"/>
      <c r="B119" s="4488"/>
      <c r="C119" s="4540"/>
      <c r="D119" s="2626">
        <v>10000000</v>
      </c>
      <c r="E119" s="2644">
        <v>0.06</v>
      </c>
      <c r="F119" s="2626">
        <f t="shared" si="14"/>
        <v>600000</v>
      </c>
      <c r="G119" s="2626"/>
      <c r="H119" s="2626"/>
      <c r="I119" s="2643"/>
      <c r="J119" s="2626"/>
      <c r="K119" s="2626"/>
      <c r="L119" s="2635"/>
    </row>
    <row r="120" spans="1:12" ht="30" customHeight="1" x14ac:dyDescent="0.2">
      <c r="A120" s="4464"/>
      <c r="B120" s="4488"/>
      <c r="C120" s="4540"/>
      <c r="D120" s="2626">
        <v>10000000</v>
      </c>
      <c r="E120" s="2644">
        <v>7.0000000000000007E-2</v>
      </c>
      <c r="F120" s="2626">
        <f t="shared" si="14"/>
        <v>700000.00000000012</v>
      </c>
      <c r="G120" s="2626"/>
      <c r="H120" s="2626"/>
      <c r="I120" s="2643"/>
      <c r="J120" s="2626"/>
      <c r="K120" s="2626"/>
      <c r="L120" s="2635"/>
    </row>
    <row r="121" spans="1:12" ht="30" customHeight="1" x14ac:dyDescent="0.2">
      <c r="A121" s="4464"/>
      <c r="B121" s="4488"/>
      <c r="C121" s="4540"/>
      <c r="D121" s="2626">
        <v>13140000</v>
      </c>
      <c r="E121" s="2644">
        <v>7.0000000000000007E-2</v>
      </c>
      <c r="F121" s="2626">
        <f t="shared" si="14"/>
        <v>919800.00000000012</v>
      </c>
      <c r="G121" s="4469" t="s">
        <v>4651</v>
      </c>
      <c r="H121" s="4470"/>
      <c r="I121" s="4470"/>
      <c r="J121" s="4471"/>
      <c r="K121" s="2626"/>
      <c r="L121" s="2635"/>
    </row>
    <row r="122" spans="1:12" ht="30" customHeight="1" x14ac:dyDescent="0.2">
      <c r="A122" s="4464"/>
      <c r="B122" s="4488"/>
      <c r="C122" s="4540"/>
      <c r="D122" s="2626">
        <v>269000000</v>
      </c>
      <c r="E122" s="2644">
        <v>7.0000000000000007E-2</v>
      </c>
      <c r="F122" s="2626">
        <f t="shared" si="14"/>
        <v>18830000</v>
      </c>
      <c r="G122" s="4469" t="s">
        <v>4652</v>
      </c>
      <c r="H122" s="4470"/>
      <c r="I122" s="4470"/>
      <c r="J122" s="4471"/>
      <c r="K122" s="2626"/>
      <c r="L122" s="2635"/>
    </row>
    <row r="123" spans="1:12" ht="30" customHeight="1" x14ac:dyDescent="0.2">
      <c r="A123" s="4460"/>
      <c r="B123" s="4458"/>
      <c r="C123" s="4538"/>
      <c r="D123" s="1856">
        <v>534000000</v>
      </c>
      <c r="E123" s="897">
        <f>F123/D123</f>
        <v>6.1573033707865168E-2</v>
      </c>
      <c r="F123" s="1856">
        <v>32880000</v>
      </c>
      <c r="G123" s="2064"/>
      <c r="H123" s="2064"/>
      <c r="I123" s="2110"/>
      <c r="J123" s="2064"/>
      <c r="K123" s="2064"/>
      <c r="L123" s="2073" t="s">
        <v>4243</v>
      </c>
    </row>
    <row r="124" spans="1:12" ht="30" customHeight="1" x14ac:dyDescent="0.2">
      <c r="A124" s="2065">
        <v>68</v>
      </c>
      <c r="B124" s="2106" t="s">
        <v>202</v>
      </c>
      <c r="C124" s="2107" t="s">
        <v>1295</v>
      </c>
      <c r="D124" s="2064">
        <v>150000000</v>
      </c>
      <c r="E124" s="2103">
        <v>0.05</v>
      </c>
      <c r="F124" s="2064">
        <f t="shared" si="11"/>
        <v>7500000</v>
      </c>
      <c r="G124" s="2064">
        <v>7500000</v>
      </c>
      <c r="H124" s="2064" t="s">
        <v>4312</v>
      </c>
      <c r="I124" s="1539" t="s">
        <v>2538</v>
      </c>
      <c r="J124" s="2064">
        <f t="shared" si="15"/>
        <v>7500000</v>
      </c>
      <c r="K124" s="2064">
        <f t="shared" si="13"/>
        <v>0</v>
      </c>
      <c r="L124" s="2087"/>
    </row>
    <row r="125" spans="1:12" ht="30" customHeight="1" x14ac:dyDescent="0.2">
      <c r="A125" s="1029">
        <v>69</v>
      </c>
      <c r="B125" s="19" t="s">
        <v>203</v>
      </c>
      <c r="C125" s="2107" t="s">
        <v>889</v>
      </c>
      <c r="D125" s="2064">
        <v>280000000</v>
      </c>
      <c r="E125" s="2103">
        <f>F125/D125</f>
        <v>7.0000000000000007E-2</v>
      </c>
      <c r="F125" s="2064">
        <v>19600000</v>
      </c>
      <c r="G125" s="4916" t="s">
        <v>4276</v>
      </c>
      <c r="H125" s="4917"/>
      <c r="I125" s="4917"/>
      <c r="J125" s="4918"/>
      <c r="K125" s="2064">
        <f t="shared" si="13"/>
        <v>19600000</v>
      </c>
      <c r="L125" s="2111"/>
    </row>
    <row r="126" spans="1:12" ht="30" customHeight="1" x14ac:dyDescent="0.2">
      <c r="A126" s="2065">
        <v>70</v>
      </c>
      <c r="B126" s="2108" t="s">
        <v>204</v>
      </c>
      <c r="C126" s="2107" t="s">
        <v>889</v>
      </c>
      <c r="D126" s="2064">
        <v>100000000</v>
      </c>
      <c r="E126" s="2103">
        <v>0.04</v>
      </c>
      <c r="F126" s="2064">
        <f t="shared" si="11"/>
        <v>4000000</v>
      </c>
      <c r="G126" s="2064">
        <v>4000000</v>
      </c>
      <c r="H126" s="2064" t="s">
        <v>4312</v>
      </c>
      <c r="I126" s="2127" t="s">
        <v>3405</v>
      </c>
      <c r="J126" s="2064">
        <f t="shared" si="15"/>
        <v>4000000</v>
      </c>
      <c r="K126" s="2064">
        <f t="shared" si="13"/>
        <v>0</v>
      </c>
      <c r="L126" s="2087"/>
    </row>
    <row r="127" spans="1:12" ht="30" customHeight="1" x14ac:dyDescent="0.2">
      <c r="A127" s="4459"/>
      <c r="B127" s="4457" t="s">
        <v>205</v>
      </c>
      <c r="C127" s="4537" t="s">
        <v>889</v>
      </c>
      <c r="D127" s="2076">
        <v>30000000</v>
      </c>
      <c r="E127" s="2079">
        <v>0.05</v>
      </c>
      <c r="F127" s="2076">
        <f t="shared" si="11"/>
        <v>1500000</v>
      </c>
      <c r="G127" s="4413">
        <v>1835000</v>
      </c>
      <c r="H127" s="4413" t="s">
        <v>4363</v>
      </c>
      <c r="I127" s="4413" t="s">
        <v>1407</v>
      </c>
      <c r="J127" s="4413">
        <f t="shared" si="15"/>
        <v>1835000</v>
      </c>
      <c r="K127" s="4413">
        <f t="shared" si="13"/>
        <v>-335000</v>
      </c>
      <c r="L127" s="2072"/>
    </row>
    <row r="128" spans="1:12" ht="30" customHeight="1" x14ac:dyDescent="0.2">
      <c r="A128" s="4460"/>
      <c r="B128" s="4458"/>
      <c r="C128" s="4538"/>
      <c r="D128" s="2080">
        <v>10000000</v>
      </c>
      <c r="E128" s="2078">
        <v>0.05</v>
      </c>
      <c r="F128" s="2080">
        <f t="shared" si="11"/>
        <v>500000</v>
      </c>
      <c r="G128" s="4415"/>
      <c r="H128" s="4415"/>
      <c r="I128" s="4415"/>
      <c r="J128" s="4415"/>
      <c r="K128" s="4415"/>
      <c r="L128" s="2121" t="s">
        <v>4220</v>
      </c>
    </row>
    <row r="129" spans="1:12" ht="30" customHeight="1" x14ac:dyDescent="0.2">
      <c r="A129" s="4459">
        <v>72</v>
      </c>
      <c r="B129" s="4457" t="s">
        <v>1023</v>
      </c>
      <c r="C129" s="4537" t="s">
        <v>1718</v>
      </c>
      <c r="D129" s="4413">
        <v>1685000000</v>
      </c>
      <c r="E129" s="4476">
        <v>0.06</v>
      </c>
      <c r="F129" s="4413">
        <f t="shared" si="11"/>
        <v>101100000</v>
      </c>
      <c r="G129" s="2076">
        <v>50000000</v>
      </c>
      <c r="H129" s="2076" t="s">
        <v>4404</v>
      </c>
      <c r="I129" s="21" t="s">
        <v>3067</v>
      </c>
      <c r="J129" s="4413">
        <f>G129+G130</f>
        <v>100000000</v>
      </c>
      <c r="K129" s="4413">
        <f t="shared" si="13"/>
        <v>1100000</v>
      </c>
      <c r="L129" s="4652"/>
    </row>
    <row r="130" spans="1:12" ht="30" customHeight="1" x14ac:dyDescent="0.2">
      <c r="A130" s="4460"/>
      <c r="B130" s="4458"/>
      <c r="C130" s="4538"/>
      <c r="D130" s="4415"/>
      <c r="E130" s="4477"/>
      <c r="F130" s="4415"/>
      <c r="G130" s="2076">
        <v>50000000</v>
      </c>
      <c r="H130" s="2076" t="s">
        <v>4428</v>
      </c>
      <c r="I130" s="21" t="s">
        <v>3067</v>
      </c>
      <c r="J130" s="4415"/>
      <c r="K130" s="4415"/>
      <c r="L130" s="4653"/>
    </row>
    <row r="131" spans="1:12" ht="30" customHeight="1" x14ac:dyDescent="0.2">
      <c r="A131" s="2067">
        <v>73</v>
      </c>
      <c r="B131" s="2106" t="s">
        <v>206</v>
      </c>
      <c r="C131" s="2086" t="s">
        <v>1293</v>
      </c>
      <c r="D131" s="2076">
        <v>20000000</v>
      </c>
      <c r="E131" s="2103">
        <v>0.05</v>
      </c>
      <c r="F131" s="2076">
        <f t="shared" si="11"/>
        <v>1000000</v>
      </c>
      <c r="G131" s="2076">
        <v>1000000</v>
      </c>
      <c r="H131" s="2076" t="s">
        <v>1193</v>
      </c>
      <c r="I131" s="21" t="s">
        <v>3989</v>
      </c>
      <c r="J131" s="2076">
        <f>G131</f>
        <v>1000000</v>
      </c>
      <c r="K131" s="2076">
        <f>F131-J131</f>
        <v>0</v>
      </c>
      <c r="L131" s="2106"/>
    </row>
    <row r="132" spans="1:12" ht="30" customHeight="1" x14ac:dyDescent="0.2">
      <c r="A132" s="4459">
        <v>74</v>
      </c>
      <c r="B132" s="4457" t="s">
        <v>4205</v>
      </c>
      <c r="C132" s="2086" t="s">
        <v>2644</v>
      </c>
      <c r="D132" s="2076">
        <v>125000000</v>
      </c>
      <c r="E132" s="2103">
        <v>0.04</v>
      </c>
      <c r="F132" s="2076">
        <f t="shared" si="11"/>
        <v>5000000</v>
      </c>
      <c r="G132" s="4413">
        <v>8150000</v>
      </c>
      <c r="H132" s="4413" t="s">
        <v>4363</v>
      </c>
      <c r="I132" s="4413" t="s">
        <v>3067</v>
      </c>
      <c r="J132" s="4413">
        <f>G132</f>
        <v>8150000</v>
      </c>
      <c r="K132" s="4413">
        <f>F132-J132</f>
        <v>-3150000</v>
      </c>
      <c r="L132" s="737"/>
    </row>
    <row r="133" spans="1:12" ht="30" customHeight="1" x14ac:dyDescent="0.2">
      <c r="A133" s="4460"/>
      <c r="B133" s="4458"/>
      <c r="C133" s="2086" t="s">
        <v>2644</v>
      </c>
      <c r="D133" s="2076">
        <v>90000000</v>
      </c>
      <c r="E133" s="2103">
        <v>0.05</v>
      </c>
      <c r="F133" s="2076">
        <f t="shared" si="11"/>
        <v>4500000</v>
      </c>
      <c r="G133" s="4415"/>
      <c r="H133" s="4415"/>
      <c r="I133" s="4415"/>
      <c r="J133" s="4415"/>
      <c r="K133" s="4415"/>
      <c r="L133" s="737" t="s">
        <v>4208</v>
      </c>
    </row>
    <row r="134" spans="1:12" ht="30" customHeight="1" x14ac:dyDescent="0.2">
      <c r="A134" s="2105"/>
      <c r="B134" s="2106" t="s">
        <v>4207</v>
      </c>
      <c r="C134" s="2086" t="s">
        <v>262</v>
      </c>
      <c r="D134" s="2076">
        <v>200000000</v>
      </c>
      <c r="E134" s="2103">
        <v>0.05</v>
      </c>
      <c r="F134" s="2076">
        <f t="shared" si="11"/>
        <v>10000000</v>
      </c>
      <c r="G134" s="2076">
        <v>10000000</v>
      </c>
      <c r="H134" s="2076" t="s">
        <v>4451</v>
      </c>
      <c r="I134" s="2091" t="s">
        <v>4463</v>
      </c>
      <c r="J134" s="2076">
        <f>G134</f>
        <v>10000000</v>
      </c>
      <c r="K134" s="2076">
        <f>F134-J134</f>
        <v>0</v>
      </c>
      <c r="L134" s="737" t="s">
        <v>4206</v>
      </c>
    </row>
    <row r="135" spans="1:12" ht="30" customHeight="1" x14ac:dyDescent="0.2">
      <c r="A135" s="2303"/>
      <c r="B135" s="2325" t="s">
        <v>208</v>
      </c>
      <c r="C135" s="2315"/>
      <c r="D135" s="2308">
        <v>50000000</v>
      </c>
      <c r="E135" s="2324">
        <v>0.05</v>
      </c>
      <c r="F135" s="2308">
        <f t="shared" si="11"/>
        <v>2500000</v>
      </c>
      <c r="G135" s="2308">
        <v>2500000</v>
      </c>
      <c r="H135" s="2308" t="s">
        <v>1193</v>
      </c>
      <c r="I135" s="2320" t="s">
        <v>948</v>
      </c>
      <c r="J135" s="2308">
        <f>G135</f>
        <v>2500000</v>
      </c>
      <c r="K135" s="2308">
        <f>F135-J135</f>
        <v>0</v>
      </c>
      <c r="L135" s="180"/>
    </row>
    <row r="136" spans="1:12" ht="30" customHeight="1" x14ac:dyDescent="0.2">
      <c r="A136" s="4459">
        <v>76</v>
      </c>
      <c r="B136" s="4457" t="s">
        <v>3462</v>
      </c>
      <c r="C136" s="4537" t="s">
        <v>1293</v>
      </c>
      <c r="D136" s="896">
        <v>100000000</v>
      </c>
      <c r="E136" s="2103">
        <v>0.05</v>
      </c>
      <c r="F136" s="2076">
        <f t="shared" si="11"/>
        <v>5000000</v>
      </c>
      <c r="G136" s="2076">
        <v>5000000</v>
      </c>
      <c r="H136" s="2076" t="s">
        <v>4312</v>
      </c>
      <c r="I136" s="21" t="s">
        <v>1538</v>
      </c>
      <c r="J136" s="2076">
        <f>G136</f>
        <v>5000000</v>
      </c>
      <c r="K136" s="2076">
        <f>F136-J136</f>
        <v>0</v>
      </c>
      <c r="L136" s="180"/>
    </row>
    <row r="137" spans="1:12" ht="30" customHeight="1" x14ac:dyDescent="0.2">
      <c r="A137" s="4464"/>
      <c r="B137" s="4488"/>
      <c r="C137" s="4540"/>
      <c r="D137" s="896">
        <v>10000000</v>
      </c>
      <c r="E137" s="2188">
        <v>0.05</v>
      </c>
      <c r="F137" s="2184">
        <f t="shared" si="11"/>
        <v>500000</v>
      </c>
      <c r="G137" s="4413">
        <v>1885000</v>
      </c>
      <c r="H137" s="4413" t="s">
        <v>4404</v>
      </c>
      <c r="I137" s="4478" t="s">
        <v>1538</v>
      </c>
      <c r="J137" s="4413">
        <f>G137</f>
        <v>1885000</v>
      </c>
      <c r="K137" s="4413"/>
      <c r="L137" s="180" t="s">
        <v>4287</v>
      </c>
    </row>
    <row r="138" spans="1:12" ht="30" customHeight="1" x14ac:dyDescent="0.2">
      <c r="A138" s="4464"/>
      <c r="B138" s="4488"/>
      <c r="C138" s="4540"/>
      <c r="D138" s="896">
        <v>10000000</v>
      </c>
      <c r="E138" s="2188">
        <v>0.05</v>
      </c>
      <c r="F138" s="2184">
        <f t="shared" si="11"/>
        <v>500000</v>
      </c>
      <c r="G138" s="4414"/>
      <c r="H138" s="4414"/>
      <c r="I138" s="4520"/>
      <c r="J138" s="4414"/>
      <c r="K138" s="4414"/>
      <c r="L138" s="180" t="s">
        <v>4288</v>
      </c>
    </row>
    <row r="139" spans="1:12" ht="30" customHeight="1" x14ac:dyDescent="0.2">
      <c r="A139" s="4464"/>
      <c r="B139" s="4488"/>
      <c r="C139" s="4540"/>
      <c r="D139" s="896">
        <v>10000000</v>
      </c>
      <c r="E139" s="2188">
        <v>0.05</v>
      </c>
      <c r="F139" s="2184">
        <f t="shared" si="11"/>
        <v>500000</v>
      </c>
      <c r="G139" s="4414"/>
      <c r="H139" s="4414"/>
      <c r="I139" s="4520"/>
      <c r="J139" s="4414"/>
      <c r="K139" s="4414"/>
      <c r="L139" s="180" t="s">
        <v>4289</v>
      </c>
    </row>
    <row r="140" spans="1:12" ht="30" customHeight="1" x14ac:dyDescent="0.2">
      <c r="A140" s="4464"/>
      <c r="B140" s="4488"/>
      <c r="C140" s="4540"/>
      <c r="D140" s="896">
        <v>10000000</v>
      </c>
      <c r="E140" s="2188">
        <v>0.05</v>
      </c>
      <c r="F140" s="2184">
        <f t="shared" si="11"/>
        <v>500000</v>
      </c>
      <c r="G140" s="4414"/>
      <c r="H140" s="4414"/>
      <c r="I140" s="4520"/>
      <c r="J140" s="4414"/>
      <c r="K140" s="4414"/>
      <c r="L140" s="180" t="s">
        <v>4290</v>
      </c>
    </row>
    <row r="141" spans="1:12" ht="30" customHeight="1" x14ac:dyDescent="0.2">
      <c r="A141" s="4460"/>
      <c r="B141" s="4458"/>
      <c r="C141" s="4538"/>
      <c r="D141" s="896">
        <v>10000000</v>
      </c>
      <c r="E141" s="2188">
        <v>0.05</v>
      </c>
      <c r="F141" s="2184">
        <f t="shared" si="11"/>
        <v>500000</v>
      </c>
      <c r="G141" s="4415"/>
      <c r="H141" s="4415"/>
      <c r="I141" s="4479"/>
      <c r="J141" s="4415"/>
      <c r="K141" s="4415"/>
      <c r="L141" s="180" t="s">
        <v>4291</v>
      </c>
    </row>
    <row r="142" spans="1:12" ht="30" customHeight="1" x14ac:dyDescent="0.2">
      <c r="A142" s="4459">
        <v>77</v>
      </c>
      <c r="B142" s="4457" t="s">
        <v>210</v>
      </c>
      <c r="C142" s="4537" t="s">
        <v>1717</v>
      </c>
      <c r="D142" s="2076">
        <v>30000000</v>
      </c>
      <c r="E142" s="2103">
        <v>7.0000000000000007E-2</v>
      </c>
      <c r="F142" s="2076">
        <f t="shared" si="11"/>
        <v>2100000</v>
      </c>
      <c r="G142" s="4413">
        <v>3675000</v>
      </c>
      <c r="H142" s="4413" t="s">
        <v>1193</v>
      </c>
      <c r="I142" s="4478" t="s">
        <v>952</v>
      </c>
      <c r="J142" s="4413">
        <f>G142</f>
        <v>3675000</v>
      </c>
      <c r="K142" s="4413">
        <f>(F142+F143)-J142</f>
        <v>0</v>
      </c>
      <c r="L142" s="4492"/>
    </row>
    <row r="143" spans="1:12" ht="30" customHeight="1" x14ac:dyDescent="0.2">
      <c r="A143" s="4460"/>
      <c r="B143" s="4458"/>
      <c r="C143" s="4538"/>
      <c r="D143" s="2076">
        <v>35000000</v>
      </c>
      <c r="E143" s="2103">
        <v>4.4999999999999998E-2</v>
      </c>
      <c r="F143" s="2076">
        <f t="shared" si="11"/>
        <v>1575000</v>
      </c>
      <c r="G143" s="4415"/>
      <c r="H143" s="4415"/>
      <c r="I143" s="4479"/>
      <c r="J143" s="4415"/>
      <c r="K143" s="4415"/>
      <c r="L143" s="4493"/>
    </row>
    <row r="144" spans="1:12" ht="30" customHeight="1" x14ac:dyDescent="0.2">
      <c r="A144" s="2105">
        <v>78</v>
      </c>
      <c r="B144" s="2106" t="s">
        <v>211</v>
      </c>
      <c r="C144" s="2086" t="s">
        <v>2644</v>
      </c>
      <c r="D144" s="2786">
        <v>45000000</v>
      </c>
      <c r="E144" s="2790">
        <v>4.2000000000000003E-2</v>
      </c>
      <c r="F144" s="2786">
        <v>1900000</v>
      </c>
      <c r="G144" s="2786">
        <v>1900000</v>
      </c>
      <c r="H144" s="2786" t="s">
        <v>1193</v>
      </c>
      <c r="I144" s="2792" t="s">
        <v>955</v>
      </c>
      <c r="J144" s="2786">
        <f t="shared" ref="J144:J150" si="16">G144</f>
        <v>1900000</v>
      </c>
      <c r="K144" s="2786">
        <f t="shared" ref="K144:K150" si="17">F144-J144</f>
        <v>0</v>
      </c>
      <c r="L144" s="2106"/>
    </row>
    <row r="145" spans="1:16" ht="30" customHeight="1" x14ac:dyDescent="0.2">
      <c r="A145" s="2105">
        <v>79</v>
      </c>
      <c r="B145" s="2106" t="s">
        <v>212</v>
      </c>
      <c r="C145" s="2086" t="s">
        <v>889</v>
      </c>
      <c r="D145" s="2076">
        <v>15000000</v>
      </c>
      <c r="E145" s="2103">
        <v>4.4999999999999998E-2</v>
      </c>
      <c r="F145" s="2076">
        <f t="shared" si="11"/>
        <v>675000</v>
      </c>
      <c r="G145" s="2076">
        <v>675000</v>
      </c>
      <c r="H145" s="2076" t="s">
        <v>4333</v>
      </c>
      <c r="I145" s="21" t="s">
        <v>1766</v>
      </c>
      <c r="J145" s="2076">
        <f t="shared" si="16"/>
        <v>675000</v>
      </c>
      <c r="K145" s="2076">
        <f t="shared" si="17"/>
        <v>0</v>
      </c>
      <c r="L145" s="2106"/>
      <c r="M145" s="366"/>
      <c r="N145" s="366"/>
      <c r="O145" s="366"/>
      <c r="P145" s="366"/>
    </row>
    <row r="146" spans="1:16" ht="30" customHeight="1" x14ac:dyDescent="0.2">
      <c r="A146" s="2105">
        <v>80</v>
      </c>
      <c r="B146" s="2106" t="s">
        <v>182</v>
      </c>
      <c r="C146" s="2086" t="s">
        <v>1293</v>
      </c>
      <c r="D146" s="2076">
        <v>145000000</v>
      </c>
      <c r="E146" s="2103">
        <v>4.4999999999999998E-2</v>
      </c>
      <c r="F146" s="2076">
        <v>6775000</v>
      </c>
      <c r="G146" s="2076">
        <v>6775000</v>
      </c>
      <c r="H146" s="2076" t="s">
        <v>4363</v>
      </c>
      <c r="I146" s="2064" t="s">
        <v>3928</v>
      </c>
      <c r="J146" s="2076">
        <f t="shared" si="16"/>
        <v>6775000</v>
      </c>
      <c r="K146" s="2076">
        <f t="shared" si="17"/>
        <v>0</v>
      </c>
      <c r="L146" s="2106"/>
      <c r="M146" s="366"/>
      <c r="N146" s="366"/>
      <c r="O146" s="366"/>
      <c r="P146" s="366"/>
    </row>
    <row r="147" spans="1:16" ht="30" customHeight="1" x14ac:dyDescent="0.2">
      <c r="A147" s="2105">
        <v>81</v>
      </c>
      <c r="B147" s="2106" t="s">
        <v>213</v>
      </c>
      <c r="C147" s="2086"/>
      <c r="D147" s="2076">
        <v>5000000</v>
      </c>
      <c r="E147" s="2103">
        <v>0.04</v>
      </c>
      <c r="F147" s="2076">
        <f t="shared" si="11"/>
        <v>200000</v>
      </c>
      <c r="G147" s="2076">
        <v>200000</v>
      </c>
      <c r="H147" s="2076" t="s">
        <v>4333</v>
      </c>
      <c r="I147" s="21" t="s">
        <v>1363</v>
      </c>
      <c r="J147" s="2076">
        <f t="shared" si="16"/>
        <v>200000</v>
      </c>
      <c r="K147" s="2076">
        <f t="shared" si="17"/>
        <v>0</v>
      </c>
      <c r="L147" s="2106"/>
      <c r="M147" s="366"/>
      <c r="N147" s="366"/>
      <c r="O147" s="366"/>
      <c r="P147" s="366"/>
    </row>
    <row r="148" spans="1:16" ht="30" customHeight="1" x14ac:dyDescent="0.2">
      <c r="A148" s="2105">
        <v>82</v>
      </c>
      <c r="B148" s="2106" t="s">
        <v>214</v>
      </c>
      <c r="C148" s="2086" t="s">
        <v>2644</v>
      </c>
      <c r="D148" s="2076">
        <v>16000000</v>
      </c>
      <c r="E148" s="2103">
        <v>0.05</v>
      </c>
      <c r="F148" s="2076">
        <f t="shared" si="11"/>
        <v>800000</v>
      </c>
      <c r="G148" s="2076">
        <v>800000</v>
      </c>
      <c r="H148" s="2076" t="s">
        <v>1193</v>
      </c>
      <c r="I148" s="2127" t="s">
        <v>964</v>
      </c>
      <c r="J148" s="2076">
        <f t="shared" si="16"/>
        <v>800000</v>
      </c>
      <c r="K148" s="2076">
        <f t="shared" si="17"/>
        <v>0</v>
      </c>
      <c r="L148" s="2106"/>
      <c r="M148" s="366"/>
      <c r="N148" s="366"/>
      <c r="O148" s="366"/>
      <c r="P148" s="366"/>
    </row>
    <row r="149" spans="1:16" ht="30" customHeight="1" x14ac:dyDescent="0.2">
      <c r="A149" s="2105">
        <v>83</v>
      </c>
      <c r="B149" s="2106" t="s">
        <v>215</v>
      </c>
      <c r="C149" s="2086" t="s">
        <v>889</v>
      </c>
      <c r="D149" s="2076">
        <v>160000000</v>
      </c>
      <c r="E149" s="2103">
        <v>0.05</v>
      </c>
      <c r="F149" s="2076">
        <f>D149*E149</f>
        <v>8000000</v>
      </c>
      <c r="G149" s="2076">
        <v>8000000</v>
      </c>
      <c r="H149" s="2076" t="s">
        <v>1193</v>
      </c>
      <c r="I149" s="2064" t="s">
        <v>3983</v>
      </c>
      <c r="J149" s="2076">
        <f t="shared" si="16"/>
        <v>8000000</v>
      </c>
      <c r="K149" s="2076">
        <f t="shared" si="17"/>
        <v>0</v>
      </c>
      <c r="L149" s="2106"/>
      <c r="M149" s="366"/>
      <c r="N149" s="366"/>
      <c r="O149" s="366"/>
      <c r="P149" s="366"/>
    </row>
    <row r="150" spans="1:16" ht="30" customHeight="1" x14ac:dyDescent="0.2">
      <c r="A150" s="2105">
        <v>84</v>
      </c>
      <c r="B150" s="2106" t="s">
        <v>216</v>
      </c>
      <c r="C150" s="2086"/>
      <c r="D150" s="2076">
        <v>400000000</v>
      </c>
      <c r="E150" s="2103">
        <v>6.0999999999999999E-2</v>
      </c>
      <c r="F150" s="2076">
        <f t="shared" si="11"/>
        <v>24400000</v>
      </c>
      <c r="G150" s="2076">
        <v>24400000</v>
      </c>
      <c r="H150" s="2076" t="s">
        <v>1193</v>
      </c>
      <c r="I150" s="2127" t="s">
        <v>1553</v>
      </c>
      <c r="J150" s="2076">
        <f t="shared" si="16"/>
        <v>24400000</v>
      </c>
      <c r="K150" s="2076">
        <f t="shared" si="17"/>
        <v>0</v>
      </c>
      <c r="L150" s="2106"/>
      <c r="M150" s="366"/>
      <c r="N150" s="366"/>
      <c r="O150" s="366"/>
      <c r="P150" s="366"/>
    </row>
    <row r="151" spans="1:16" ht="30" customHeight="1" x14ac:dyDescent="0.2">
      <c r="A151" s="1029"/>
      <c r="B151" s="19" t="s">
        <v>975</v>
      </c>
      <c r="C151" s="2107" t="s">
        <v>889</v>
      </c>
      <c r="D151" s="2064">
        <v>850000000</v>
      </c>
      <c r="E151" s="2103">
        <f>F151/D151</f>
        <v>6.1647058823529409E-2</v>
      </c>
      <c r="F151" s="2064">
        <v>52400000</v>
      </c>
      <c r="G151" s="2064">
        <v>52400000</v>
      </c>
      <c r="H151" s="2064" t="s">
        <v>4397</v>
      </c>
      <c r="I151" s="2064" t="s">
        <v>2540</v>
      </c>
      <c r="J151" s="2064">
        <f>G151</f>
        <v>52400000</v>
      </c>
      <c r="K151" s="2064">
        <f>F151-J151</f>
        <v>0</v>
      </c>
      <c r="L151" s="2085"/>
      <c r="M151" s="366"/>
      <c r="N151" s="366"/>
      <c r="O151" s="366"/>
      <c r="P151" s="366"/>
    </row>
    <row r="152" spans="1:16" ht="30" customHeight="1" x14ac:dyDescent="0.2">
      <c r="A152" s="2105">
        <v>86</v>
      </c>
      <c r="B152" s="19" t="s">
        <v>217</v>
      </c>
      <c r="C152" s="2107" t="s">
        <v>889</v>
      </c>
      <c r="D152" s="2064">
        <v>111000000</v>
      </c>
      <c r="E152" s="2103">
        <v>0.05</v>
      </c>
      <c r="F152" s="2064">
        <f t="shared" ref="F152" si="18">D152*E152</f>
        <v>5550000</v>
      </c>
      <c r="G152" s="2064">
        <v>5550000</v>
      </c>
      <c r="H152" s="2064" t="s">
        <v>4333</v>
      </c>
      <c r="I152" s="2064" t="s">
        <v>3972</v>
      </c>
      <c r="J152" s="2064">
        <f>G152</f>
        <v>5550000</v>
      </c>
      <c r="K152" s="2064">
        <f>F152-J152</f>
        <v>0</v>
      </c>
      <c r="L152" s="180"/>
      <c r="M152" s="366"/>
      <c r="N152" s="366"/>
      <c r="O152" s="366"/>
      <c r="P152" s="366"/>
    </row>
    <row r="153" spans="1:16" ht="30" customHeight="1" x14ac:dyDescent="0.2">
      <c r="A153" s="2067"/>
      <c r="B153" s="4457" t="s">
        <v>174</v>
      </c>
      <c r="C153" s="4537" t="s">
        <v>889</v>
      </c>
      <c r="D153" s="2076">
        <v>723000000</v>
      </c>
      <c r="E153" s="2079">
        <f>F153/D153</f>
        <v>6.5560165975103737E-2</v>
      </c>
      <c r="F153" s="2076">
        <v>47400000</v>
      </c>
      <c r="G153" s="2076">
        <v>47400000</v>
      </c>
      <c r="H153" s="2076" t="s">
        <v>4387</v>
      </c>
      <c r="I153" s="18" t="s">
        <v>3061</v>
      </c>
      <c r="J153" s="2076">
        <f>G153</f>
        <v>47400000</v>
      </c>
      <c r="K153" s="2076">
        <f>F153-J153</f>
        <v>0</v>
      </c>
      <c r="L153" s="4616"/>
      <c r="M153" s="4617"/>
      <c r="N153" s="4617"/>
      <c r="O153" s="4617"/>
      <c r="P153" s="4618"/>
    </row>
    <row r="154" spans="1:16" ht="30" customHeight="1" x14ac:dyDescent="0.2">
      <c r="A154" s="2477"/>
      <c r="B154" s="4458"/>
      <c r="C154" s="4538"/>
      <c r="D154" s="2480">
        <v>793000000</v>
      </c>
      <c r="E154" s="2479">
        <v>6.6000000000000003E-2</v>
      </c>
      <c r="F154" s="2480">
        <v>52300000</v>
      </c>
      <c r="G154" s="4303" t="s">
        <v>4550</v>
      </c>
      <c r="H154" s="4324"/>
      <c r="I154" s="4324"/>
      <c r="J154" s="4324"/>
      <c r="K154" s="4355"/>
      <c r="L154" s="2493" t="s">
        <v>4551</v>
      </c>
      <c r="M154" s="2522"/>
      <c r="N154" s="2522"/>
      <c r="O154" s="2522"/>
      <c r="P154" s="2522"/>
    </row>
    <row r="155" spans="1:16" ht="30" customHeight="1" x14ac:dyDescent="0.2">
      <c r="A155" s="4459">
        <v>88</v>
      </c>
      <c r="B155" s="4457" t="s">
        <v>218</v>
      </c>
      <c r="C155" s="4537" t="s">
        <v>1295</v>
      </c>
      <c r="D155" s="2076">
        <v>45000000</v>
      </c>
      <c r="E155" s="2103">
        <v>0.04</v>
      </c>
      <c r="F155" s="2076">
        <v>2050000</v>
      </c>
      <c r="G155" s="4933" t="s">
        <v>2404</v>
      </c>
      <c r="H155" s="4934"/>
      <c r="I155" s="4934"/>
      <c r="J155" s="4935"/>
      <c r="K155" s="2076">
        <f>F155-J155</f>
        <v>2050000</v>
      </c>
      <c r="L155" s="2106"/>
      <c r="M155" s="366"/>
      <c r="N155" s="366"/>
      <c r="O155" s="366"/>
      <c r="P155" s="366"/>
    </row>
    <row r="156" spans="1:16" ht="30" customHeight="1" x14ac:dyDescent="0.2">
      <c r="A156" s="4464"/>
      <c r="B156" s="4488"/>
      <c r="C156" s="4540"/>
      <c r="D156" s="2982">
        <v>2050000</v>
      </c>
      <c r="E156" s="2995"/>
      <c r="F156" s="2982"/>
      <c r="G156" s="4936"/>
      <c r="H156" s="4937"/>
      <c r="I156" s="4937"/>
      <c r="J156" s="4938"/>
      <c r="K156" s="2988"/>
      <c r="L156" s="2985"/>
      <c r="M156" s="366"/>
      <c r="N156" s="366"/>
      <c r="O156" s="366"/>
      <c r="P156" s="366"/>
    </row>
    <row r="157" spans="1:16" ht="30" customHeight="1" x14ac:dyDescent="0.2">
      <c r="A157" s="4464"/>
      <c r="B157" s="4488"/>
      <c r="C157" s="4540"/>
      <c r="D157" s="2982">
        <v>950000</v>
      </c>
      <c r="E157" s="2995"/>
      <c r="F157" s="2982"/>
      <c r="G157" s="4919" t="s">
        <v>4869</v>
      </c>
      <c r="H157" s="4920"/>
      <c r="I157" s="4920"/>
      <c r="J157" s="4921"/>
      <c r="K157" s="2988"/>
      <c r="L157" s="2985"/>
      <c r="M157" s="366"/>
      <c r="N157" s="366"/>
      <c r="O157" s="366"/>
      <c r="P157" s="366"/>
    </row>
    <row r="158" spans="1:16" ht="30" customHeight="1" x14ac:dyDescent="0.2">
      <c r="A158" s="4464"/>
      <c r="B158" s="4488"/>
      <c r="C158" s="4540"/>
      <c r="D158" s="2982">
        <v>52000000</v>
      </c>
      <c r="E158" s="2995"/>
      <c r="F158" s="2982"/>
      <c r="G158" s="4919" t="s">
        <v>4870</v>
      </c>
      <c r="H158" s="4920"/>
      <c r="I158" s="4920"/>
      <c r="J158" s="4921"/>
      <c r="K158" s="2988"/>
      <c r="L158" s="2985"/>
      <c r="M158" s="366"/>
      <c r="N158" s="366"/>
      <c r="O158" s="366"/>
      <c r="P158" s="366"/>
    </row>
    <row r="159" spans="1:16" ht="30" customHeight="1" x14ac:dyDescent="0.2">
      <c r="A159" s="4460"/>
      <c r="B159" s="4458"/>
      <c r="C159" s="4538"/>
      <c r="D159" s="2982">
        <f>SUM(D155:D158)</f>
        <v>100000000</v>
      </c>
      <c r="E159" s="2995">
        <v>0.06</v>
      </c>
      <c r="F159" s="2982">
        <f>D159*E159</f>
        <v>6000000</v>
      </c>
      <c r="G159" s="4919" t="s">
        <v>2685</v>
      </c>
      <c r="H159" s="4920"/>
      <c r="I159" s="4920"/>
      <c r="J159" s="4921"/>
      <c r="K159" s="2988"/>
      <c r="L159" s="2985"/>
      <c r="M159" s="366"/>
      <c r="N159" s="366"/>
      <c r="O159" s="366"/>
      <c r="P159" s="366"/>
    </row>
    <row r="160" spans="1:16" ht="30" customHeight="1" x14ac:dyDescent="0.2">
      <c r="A160" s="4459">
        <v>89</v>
      </c>
      <c r="B160" s="4457" t="s">
        <v>219</v>
      </c>
      <c r="C160" s="4537" t="s">
        <v>1293</v>
      </c>
      <c r="D160" s="1856">
        <v>93000000</v>
      </c>
      <c r="E160" s="897">
        <v>7.0000000000000007E-2</v>
      </c>
      <c r="F160" s="1856">
        <v>6500000</v>
      </c>
      <c r="G160" s="1456"/>
      <c r="H160" s="1456"/>
      <c r="I160" s="1456"/>
      <c r="J160" s="1456"/>
      <c r="K160" s="4413">
        <v>0</v>
      </c>
      <c r="L160" s="29" t="s">
        <v>3319</v>
      </c>
      <c r="M160" s="366"/>
      <c r="N160" s="366"/>
      <c r="O160" s="366"/>
      <c r="P160" s="366"/>
    </row>
    <row r="161" spans="1:16" ht="30" customHeight="1" x14ac:dyDescent="0.2">
      <c r="A161" s="4464"/>
      <c r="B161" s="4488"/>
      <c r="C161" s="4540"/>
      <c r="D161" s="1856">
        <v>450000000</v>
      </c>
      <c r="E161" s="897">
        <v>0.05</v>
      </c>
      <c r="F161" s="2651">
        <f>D161*E161</f>
        <v>22500000</v>
      </c>
      <c r="G161" s="1456"/>
      <c r="H161" s="1456"/>
      <c r="I161" s="1456"/>
      <c r="J161" s="1456"/>
      <c r="K161" s="4415"/>
      <c r="L161" s="29" t="s">
        <v>4653</v>
      </c>
      <c r="M161" s="366"/>
      <c r="N161" s="366"/>
      <c r="O161" s="366"/>
      <c r="P161" s="366"/>
    </row>
    <row r="162" spans="1:16" ht="30" customHeight="1" x14ac:dyDescent="0.2">
      <c r="A162" s="4460"/>
      <c r="B162" s="4458"/>
      <c r="C162" s="4538"/>
      <c r="D162" s="2651">
        <v>100000000</v>
      </c>
      <c r="E162" s="897">
        <v>0.06</v>
      </c>
      <c r="F162" s="2651">
        <f>D162*E162</f>
        <v>6000000</v>
      </c>
      <c r="G162" s="4947" t="s">
        <v>4369</v>
      </c>
      <c r="H162" s="4948"/>
      <c r="I162" s="4948"/>
      <c r="J162" s="4949"/>
      <c r="K162" s="2310"/>
      <c r="L162" s="29" t="s">
        <v>4367</v>
      </c>
      <c r="M162" s="366"/>
      <c r="N162" s="366"/>
      <c r="O162" s="366"/>
      <c r="P162" s="366"/>
    </row>
    <row r="163" spans="1:16" ht="30" customHeight="1" x14ac:dyDescent="0.2">
      <c r="A163" s="4459">
        <v>90</v>
      </c>
      <c r="B163" s="4457" t="s">
        <v>220</v>
      </c>
      <c r="C163" s="4537" t="s">
        <v>1172</v>
      </c>
      <c r="D163" s="2076">
        <v>130000000</v>
      </c>
      <c r="E163" s="2103">
        <v>7.0000000000000007E-2</v>
      </c>
      <c r="F163" s="2076">
        <f>D163*E163</f>
        <v>9100000</v>
      </c>
      <c r="G163" s="4413">
        <v>14460000</v>
      </c>
      <c r="H163" s="4413" t="s">
        <v>1193</v>
      </c>
      <c r="I163" s="4478" t="s">
        <v>1808</v>
      </c>
      <c r="J163" s="4413">
        <f>G163</f>
        <v>14460000</v>
      </c>
      <c r="K163" s="4413">
        <f>(F163+F164)-J163</f>
        <v>0</v>
      </c>
      <c r="L163" s="4599"/>
      <c r="M163" s="366"/>
      <c r="N163" s="366"/>
      <c r="O163" s="366"/>
      <c r="P163" s="366"/>
    </row>
    <row r="164" spans="1:16" ht="30" customHeight="1" x14ac:dyDescent="0.2">
      <c r="A164" s="4460"/>
      <c r="B164" s="4458"/>
      <c r="C164" s="4538"/>
      <c r="D164" s="2076">
        <v>100000000</v>
      </c>
      <c r="E164" s="2103">
        <v>5.3999999999999999E-2</v>
      </c>
      <c r="F164" s="2076">
        <v>5360000</v>
      </c>
      <c r="G164" s="4415"/>
      <c r="H164" s="4415"/>
      <c r="I164" s="4479"/>
      <c r="J164" s="4415"/>
      <c r="K164" s="4415"/>
      <c r="L164" s="4607"/>
      <c r="M164" s="366"/>
      <c r="N164" s="366"/>
      <c r="O164" s="366"/>
      <c r="P164" s="366"/>
    </row>
    <row r="165" spans="1:16" ht="30" customHeight="1" x14ac:dyDescent="0.2">
      <c r="A165" s="4459">
        <v>91</v>
      </c>
      <c r="B165" s="4457" t="s">
        <v>4468</v>
      </c>
      <c r="C165" s="4537"/>
      <c r="D165" s="2076">
        <v>50000000</v>
      </c>
      <c r="E165" s="2103">
        <v>0.05</v>
      </c>
      <c r="F165" s="2076">
        <f t="shared" si="11"/>
        <v>2500000</v>
      </c>
      <c r="G165" s="4413">
        <v>12333000</v>
      </c>
      <c r="H165" s="4413" t="s">
        <v>4464</v>
      </c>
      <c r="I165" s="4553" t="s">
        <v>4466</v>
      </c>
      <c r="J165" s="4413">
        <f>G165</f>
        <v>12333000</v>
      </c>
      <c r="K165" s="4413">
        <f>F165-J165</f>
        <v>-9833000</v>
      </c>
      <c r="L165" s="29" t="s">
        <v>3991</v>
      </c>
      <c r="M165" s="366"/>
      <c r="N165" s="366"/>
      <c r="O165" s="366"/>
      <c r="P165" s="366"/>
    </row>
    <row r="166" spans="1:16" ht="30" customHeight="1" x14ac:dyDescent="0.2">
      <c r="A166" s="4460"/>
      <c r="B166" s="4488"/>
      <c r="C166" s="4540"/>
      <c r="D166" s="2076">
        <v>30000000</v>
      </c>
      <c r="E166" s="2103">
        <v>0.05</v>
      </c>
      <c r="F166" s="2076">
        <f>D166*E166</f>
        <v>1500000</v>
      </c>
      <c r="G166" s="4414"/>
      <c r="H166" s="4414"/>
      <c r="I166" s="4950"/>
      <c r="J166" s="4414"/>
      <c r="K166" s="4414"/>
      <c r="L166" s="180" t="s">
        <v>3915</v>
      </c>
      <c r="M166" s="366"/>
      <c r="N166" s="366"/>
      <c r="O166" s="366"/>
      <c r="P166" s="366"/>
    </row>
    <row r="167" spans="1:16" ht="30" customHeight="1" x14ac:dyDescent="0.2">
      <c r="A167" s="2382"/>
      <c r="B167" s="4458"/>
      <c r="C167" s="4538"/>
      <c r="D167" s="2388">
        <v>200000000</v>
      </c>
      <c r="E167" s="2397">
        <v>0.05</v>
      </c>
      <c r="F167" s="2388">
        <f>D167*E167</f>
        <v>10000000</v>
      </c>
      <c r="G167" s="4415"/>
      <c r="H167" s="4415"/>
      <c r="I167" s="4554"/>
      <c r="J167" s="4415"/>
      <c r="K167" s="4415"/>
      <c r="L167" s="180" t="s">
        <v>4467</v>
      </c>
      <c r="M167" s="366"/>
      <c r="N167" s="366"/>
      <c r="O167" s="366"/>
      <c r="P167" s="366"/>
    </row>
    <row r="168" spans="1:16" ht="30" customHeight="1" x14ac:dyDescent="0.2">
      <c r="A168" s="4459">
        <v>92</v>
      </c>
      <c r="B168" s="4599" t="s">
        <v>749</v>
      </c>
      <c r="C168" s="2107" t="s">
        <v>889</v>
      </c>
      <c r="D168" s="2064">
        <v>450000000</v>
      </c>
      <c r="E168" s="2103">
        <f>F168/D168</f>
        <v>5.3222222222222219E-2</v>
      </c>
      <c r="F168" s="2064">
        <v>23950000</v>
      </c>
      <c r="G168" s="2064">
        <v>23950000</v>
      </c>
      <c r="H168" s="2064" t="s">
        <v>4387</v>
      </c>
      <c r="I168" s="2110" t="s">
        <v>3009</v>
      </c>
      <c r="J168" s="2064">
        <f>G168</f>
        <v>23950000</v>
      </c>
      <c r="K168" s="2064">
        <f>F168-J168</f>
        <v>0</v>
      </c>
      <c r="L168" s="2108"/>
      <c r="M168" s="366"/>
      <c r="N168" s="366"/>
      <c r="O168" s="366"/>
      <c r="P168" s="366"/>
    </row>
    <row r="169" spans="1:16" ht="30" customHeight="1" x14ac:dyDescent="0.2">
      <c r="A169" s="4464"/>
      <c r="B169" s="4600"/>
      <c r="C169" s="4537" t="s">
        <v>1287</v>
      </c>
      <c r="D169" s="2076">
        <v>273000000</v>
      </c>
      <c r="E169" s="2079">
        <f>F169/D169</f>
        <v>5.4615384615384614E-2</v>
      </c>
      <c r="F169" s="2076">
        <v>14910000</v>
      </c>
      <c r="G169" s="4413">
        <v>19910000</v>
      </c>
      <c r="H169" s="4413" t="s">
        <v>2473</v>
      </c>
      <c r="I169" s="4413" t="s">
        <v>3009</v>
      </c>
      <c r="J169" s="4413">
        <f>G169</f>
        <v>19910000</v>
      </c>
      <c r="K169" s="4413">
        <f>(F169+F170)-J169</f>
        <v>0</v>
      </c>
      <c r="L169" s="180" t="s">
        <v>3603</v>
      </c>
      <c r="M169" s="366"/>
      <c r="N169" s="366"/>
      <c r="O169" s="366"/>
      <c r="P169" s="366"/>
    </row>
    <row r="170" spans="1:16" ht="30" customHeight="1" x14ac:dyDescent="0.2">
      <c r="A170" s="4464"/>
      <c r="B170" s="4600"/>
      <c r="C170" s="4540"/>
      <c r="D170" s="2104">
        <v>100000000</v>
      </c>
      <c r="E170" s="2077">
        <v>0.05</v>
      </c>
      <c r="F170" s="2075">
        <f>D170*E170</f>
        <v>5000000</v>
      </c>
      <c r="G170" s="4415"/>
      <c r="H170" s="4414"/>
      <c r="I170" s="4414"/>
      <c r="J170" s="4415"/>
      <c r="K170" s="4415"/>
      <c r="L170" s="180"/>
      <c r="M170" s="366"/>
      <c r="N170" s="366"/>
      <c r="O170" s="366"/>
      <c r="P170" s="366"/>
    </row>
    <row r="171" spans="1:16" ht="30" customHeight="1" x14ac:dyDescent="0.2">
      <c r="A171" s="4460"/>
      <c r="B171" s="2457"/>
      <c r="C171" s="4538"/>
      <c r="D171" s="4322" t="s">
        <v>4538</v>
      </c>
      <c r="E171" s="4322"/>
      <c r="F171" s="4322"/>
      <c r="G171" s="2453">
        <v>350000</v>
      </c>
      <c r="H171" s="4415"/>
      <c r="I171" s="4415"/>
      <c r="J171" s="2453">
        <f>G171</f>
        <v>350000</v>
      </c>
      <c r="K171" s="2453"/>
      <c r="L171" s="180"/>
      <c r="M171" s="366"/>
      <c r="N171" s="366"/>
      <c r="O171" s="366"/>
      <c r="P171" s="366"/>
    </row>
    <row r="172" spans="1:16" ht="30" customHeight="1" x14ac:dyDescent="0.2">
      <c r="A172" s="2067"/>
      <c r="B172" s="19" t="s">
        <v>222</v>
      </c>
      <c r="C172" s="2107"/>
      <c r="D172" s="2064">
        <v>25000000</v>
      </c>
      <c r="E172" s="2970">
        <v>5.5E-2</v>
      </c>
      <c r="F172" s="2064">
        <f>D172*E172</f>
        <v>1375000</v>
      </c>
      <c r="G172" s="4527" t="s">
        <v>4955</v>
      </c>
      <c r="H172" s="4528"/>
      <c r="I172" s="4528"/>
      <c r="J172" s="4529"/>
      <c r="K172" s="2064"/>
      <c r="L172" s="2015" t="s">
        <v>3916</v>
      </c>
      <c r="M172" s="366"/>
      <c r="N172" s="366"/>
      <c r="O172" s="366"/>
      <c r="P172" s="366"/>
    </row>
    <row r="173" spans="1:16" ht="30" customHeight="1" x14ac:dyDescent="0.2">
      <c r="A173" s="2105">
        <v>94</v>
      </c>
      <c r="B173" s="2106" t="s">
        <v>1144</v>
      </c>
      <c r="C173" s="2086"/>
      <c r="D173" s="2076">
        <v>25000000</v>
      </c>
      <c r="E173" s="2103">
        <v>0.04</v>
      </c>
      <c r="F173" s="2076">
        <f>D173*E173</f>
        <v>1000000</v>
      </c>
      <c r="G173" s="2076">
        <v>1000000</v>
      </c>
      <c r="H173" s="2076" t="s">
        <v>1193</v>
      </c>
      <c r="I173" s="21" t="s">
        <v>1146</v>
      </c>
      <c r="J173" s="2076">
        <f>G173</f>
        <v>1000000</v>
      </c>
      <c r="K173" s="2076">
        <f t="shared" ref="K173:K178" si="19">F173-J173</f>
        <v>0</v>
      </c>
      <c r="L173" s="2106"/>
      <c r="M173" s="366"/>
      <c r="N173" s="366"/>
      <c r="O173" s="366"/>
      <c r="P173" s="366"/>
    </row>
    <row r="174" spans="1:16" ht="30" customHeight="1" x14ac:dyDescent="0.2">
      <c r="A174" s="2067"/>
      <c r="B174" s="19" t="s">
        <v>223</v>
      </c>
      <c r="C174" s="2107"/>
      <c r="D174" s="2064">
        <v>355000000</v>
      </c>
      <c r="E174" s="2103">
        <v>0.05</v>
      </c>
      <c r="F174" s="2064">
        <f>D174*E174</f>
        <v>17750000</v>
      </c>
      <c r="G174" s="2064">
        <v>18000000</v>
      </c>
      <c r="H174" s="2064" t="s">
        <v>1193</v>
      </c>
      <c r="I174" s="2110" t="s">
        <v>3431</v>
      </c>
      <c r="J174" s="2064">
        <f>G174</f>
        <v>18000000</v>
      </c>
      <c r="K174" s="2064">
        <f t="shared" si="19"/>
        <v>-250000</v>
      </c>
      <c r="L174" s="378" t="s">
        <v>4383</v>
      </c>
      <c r="M174" s="366"/>
      <c r="N174" s="366"/>
      <c r="O174" s="366"/>
      <c r="P174" s="366"/>
    </row>
    <row r="175" spans="1:16" ht="30" customHeight="1" x14ac:dyDescent="0.2">
      <c r="A175" s="2105">
        <v>96</v>
      </c>
      <c r="B175" s="2106" t="s">
        <v>224</v>
      </c>
      <c r="C175" s="2086"/>
      <c r="D175" s="2076">
        <v>70000000</v>
      </c>
      <c r="E175" s="2103">
        <v>0.05</v>
      </c>
      <c r="F175" s="2076">
        <f>D175*E175</f>
        <v>3500000</v>
      </c>
      <c r="G175" s="2076"/>
      <c r="H175" s="2076"/>
      <c r="I175" s="2064" t="s">
        <v>1440</v>
      </c>
      <c r="J175" s="2076">
        <f>F175</f>
        <v>3500000</v>
      </c>
      <c r="K175" s="2076">
        <f t="shared" si="19"/>
        <v>0</v>
      </c>
      <c r="L175" s="2106"/>
      <c r="M175" s="366"/>
      <c r="N175" s="366"/>
      <c r="O175" s="366"/>
      <c r="P175" s="366"/>
    </row>
    <row r="176" spans="1:16" ht="30" customHeight="1" x14ac:dyDescent="0.2">
      <c r="A176" s="2105">
        <v>98</v>
      </c>
      <c r="B176" s="2106" t="s">
        <v>226</v>
      </c>
      <c r="C176" s="2086"/>
      <c r="D176" s="2076">
        <v>20000000</v>
      </c>
      <c r="E176" s="2103">
        <v>0.05</v>
      </c>
      <c r="F176" s="2076">
        <f t="shared" ref="F176" si="20">D176*E176</f>
        <v>1000000</v>
      </c>
      <c r="G176" s="2076"/>
      <c r="H176" s="2076"/>
      <c r="I176" s="2064" t="s">
        <v>789</v>
      </c>
      <c r="J176" s="2076">
        <f>G176</f>
        <v>0</v>
      </c>
      <c r="K176" s="2076">
        <f t="shared" si="19"/>
        <v>1000000</v>
      </c>
      <c r="L176" s="2106"/>
      <c r="M176" s="366"/>
      <c r="N176" s="366"/>
      <c r="O176" s="366"/>
      <c r="P176" s="366"/>
    </row>
    <row r="177" spans="1:16" ht="30" customHeight="1" x14ac:dyDescent="0.2">
      <c r="A177" s="2105">
        <v>99</v>
      </c>
      <c r="B177" s="2106" t="s">
        <v>227</v>
      </c>
      <c r="C177" s="2086" t="s">
        <v>1297</v>
      </c>
      <c r="D177" s="2076">
        <v>100000000</v>
      </c>
      <c r="E177" s="2103">
        <v>0.04</v>
      </c>
      <c r="F177" s="2076">
        <f>D177*E177</f>
        <v>4000000</v>
      </c>
      <c r="G177" s="2076">
        <v>4000000</v>
      </c>
      <c r="H177" s="2076" t="s">
        <v>4312</v>
      </c>
      <c r="I177" s="2127" t="s">
        <v>4329</v>
      </c>
      <c r="J177" s="2076">
        <f>G177</f>
        <v>4000000</v>
      </c>
      <c r="K177" s="2076">
        <f t="shared" si="19"/>
        <v>0</v>
      </c>
      <c r="L177" s="2106"/>
      <c r="M177" s="366"/>
      <c r="N177" s="366"/>
      <c r="O177" s="366"/>
      <c r="P177" s="366"/>
    </row>
    <row r="178" spans="1:16" ht="30" customHeight="1" x14ac:dyDescent="0.2">
      <c r="A178" s="2105">
        <v>100</v>
      </c>
      <c r="B178" s="2106" t="s">
        <v>228</v>
      </c>
      <c r="C178" s="2086" t="s">
        <v>392</v>
      </c>
      <c r="D178" s="2076">
        <v>101000000</v>
      </c>
      <c r="E178" s="2103">
        <v>5.0999999999999997E-2</v>
      </c>
      <c r="F178" s="2076">
        <v>5100000</v>
      </c>
      <c r="G178" s="2076">
        <v>5100000</v>
      </c>
      <c r="H178" s="2076" t="s">
        <v>4428</v>
      </c>
      <c r="I178" s="21" t="s">
        <v>2860</v>
      </c>
      <c r="J178" s="2076">
        <f>G178</f>
        <v>5100000</v>
      </c>
      <c r="K178" s="2076">
        <f t="shared" si="19"/>
        <v>0</v>
      </c>
      <c r="L178" s="2106"/>
      <c r="M178" s="366"/>
      <c r="N178" s="366"/>
      <c r="O178" s="366"/>
      <c r="P178" s="366"/>
    </row>
    <row r="179" spans="1:16" ht="30" customHeight="1" x14ac:dyDescent="0.2">
      <c r="A179" s="4533"/>
      <c r="B179" s="4457" t="s">
        <v>177</v>
      </c>
      <c r="C179" s="4537" t="s">
        <v>1080</v>
      </c>
      <c r="D179" s="4413">
        <v>100000000</v>
      </c>
      <c r="E179" s="4476">
        <v>0.06</v>
      </c>
      <c r="F179" s="4413">
        <f>D179*E179</f>
        <v>6000000</v>
      </c>
      <c r="G179" s="4413">
        <v>6000000</v>
      </c>
      <c r="H179" s="4413" t="s">
        <v>4312</v>
      </c>
      <c r="I179" s="4413" t="s">
        <v>3345</v>
      </c>
      <c r="J179" s="4413">
        <f>G179</f>
        <v>6000000</v>
      </c>
      <c r="K179" s="4413">
        <f>F179-J179</f>
        <v>0</v>
      </c>
      <c r="L179" s="2113" t="s">
        <v>3303</v>
      </c>
      <c r="M179" s="366"/>
      <c r="N179" s="366"/>
      <c r="O179" s="366"/>
      <c r="P179" s="366"/>
    </row>
    <row r="180" spans="1:16" ht="30" customHeight="1" x14ac:dyDescent="0.2">
      <c r="A180" s="4534"/>
      <c r="B180" s="4458"/>
      <c r="C180" s="4538"/>
      <c r="D180" s="4415"/>
      <c r="E180" s="4477"/>
      <c r="F180" s="4415"/>
      <c r="G180" s="4415"/>
      <c r="H180" s="4415"/>
      <c r="I180" s="4415"/>
      <c r="J180" s="4415"/>
      <c r="K180" s="4415"/>
      <c r="L180" s="2113" t="s">
        <v>3917</v>
      </c>
      <c r="M180" s="366"/>
      <c r="N180" s="366"/>
      <c r="O180" s="366"/>
      <c r="P180" s="366"/>
    </row>
    <row r="181" spans="1:16" s="1540" customFormat="1" ht="30" customHeight="1" x14ac:dyDescent="0.2">
      <c r="A181" s="2105"/>
      <c r="B181" s="19" t="s">
        <v>230</v>
      </c>
      <c r="C181" s="2107" t="s">
        <v>1172</v>
      </c>
      <c r="D181" s="2064">
        <v>37000000</v>
      </c>
      <c r="E181" s="2103">
        <v>5.5E-2</v>
      </c>
      <c r="F181" s="2064">
        <v>2000000</v>
      </c>
      <c r="G181" s="2064">
        <v>2000000</v>
      </c>
      <c r="H181" s="2064" t="s">
        <v>1193</v>
      </c>
      <c r="I181" s="2064" t="s">
        <v>4264</v>
      </c>
      <c r="J181" s="2064">
        <f>G181</f>
        <v>2000000</v>
      </c>
      <c r="K181" s="2064">
        <f>F181-J181</f>
        <v>0</v>
      </c>
      <c r="L181" s="2015"/>
      <c r="M181" s="9"/>
      <c r="N181" s="9"/>
      <c r="O181" s="9"/>
      <c r="P181" s="9"/>
    </row>
    <row r="182" spans="1:16" ht="30" customHeight="1" x14ac:dyDescent="0.2">
      <c r="A182" s="2067">
        <v>104</v>
      </c>
      <c r="B182" s="2070" t="s">
        <v>231</v>
      </c>
      <c r="C182" s="2086" t="s">
        <v>1172</v>
      </c>
      <c r="D182" s="2076">
        <v>20000000</v>
      </c>
      <c r="E182" s="2079">
        <v>0.05</v>
      </c>
      <c r="F182" s="2076">
        <f t="shared" si="11"/>
        <v>1000000</v>
      </c>
      <c r="G182" s="2076">
        <v>1000000</v>
      </c>
      <c r="H182" s="2076" t="s">
        <v>1193</v>
      </c>
      <c r="I182" s="21" t="s">
        <v>3437</v>
      </c>
      <c r="J182" s="2076">
        <f>G182</f>
        <v>1000000</v>
      </c>
      <c r="K182" s="2076">
        <f>F182-J182</f>
        <v>0</v>
      </c>
      <c r="L182" s="2070"/>
      <c r="M182" s="366"/>
      <c r="N182" s="366"/>
      <c r="O182" s="366"/>
      <c r="P182" s="366"/>
    </row>
    <row r="183" spans="1:16" ht="30" customHeight="1" x14ac:dyDescent="0.2">
      <c r="A183" s="4459">
        <v>105</v>
      </c>
      <c r="B183" s="4626" t="s">
        <v>232</v>
      </c>
      <c r="C183" s="4537"/>
      <c r="D183" s="4506"/>
      <c r="E183" s="4512"/>
      <c r="F183" s="4506">
        <f t="shared" ref="F183:F217" si="21">D183*E183</f>
        <v>0</v>
      </c>
      <c r="G183" s="2076"/>
      <c r="H183" s="2076"/>
      <c r="I183" s="21" t="s">
        <v>772</v>
      </c>
      <c r="J183" s="2076">
        <f>G183</f>
        <v>0</v>
      </c>
      <c r="K183" s="2081">
        <f>F183-J183</f>
        <v>0</v>
      </c>
      <c r="L183" s="2068"/>
    </row>
    <row r="184" spans="1:16" ht="30" customHeight="1" x14ac:dyDescent="0.2">
      <c r="A184" s="4460"/>
      <c r="B184" s="4628"/>
      <c r="C184" s="4538"/>
      <c r="D184" s="4508"/>
      <c r="E184" s="4514"/>
      <c r="F184" s="4508"/>
      <c r="G184" s="2076"/>
      <c r="H184" s="2076"/>
      <c r="I184" s="21" t="s">
        <v>3548</v>
      </c>
      <c r="J184" s="2076">
        <f>G184</f>
        <v>0</v>
      </c>
      <c r="K184" s="2081"/>
      <c r="L184" s="2074" t="s">
        <v>3549</v>
      </c>
    </row>
    <row r="185" spans="1:16" ht="30" customHeight="1" x14ac:dyDescent="0.2">
      <c r="A185" s="2105">
        <v>107</v>
      </c>
      <c r="B185" s="2106" t="s">
        <v>234</v>
      </c>
      <c r="C185" s="2086"/>
      <c r="D185" s="2076">
        <v>65000000</v>
      </c>
      <c r="E185" s="2103">
        <v>3.4000000000000002E-2</v>
      </c>
      <c r="F185" s="2076">
        <v>2200000</v>
      </c>
      <c r="G185" s="2076">
        <v>2200000</v>
      </c>
      <c r="H185" s="2076" t="s">
        <v>1193</v>
      </c>
      <c r="I185" s="2064" t="s">
        <v>4385</v>
      </c>
      <c r="J185" s="2076">
        <f t="shared" ref="J185:J194" si="22">G185</f>
        <v>2200000</v>
      </c>
      <c r="K185" s="2076">
        <f t="shared" ref="K185:K194" si="23">F185-J185</f>
        <v>0</v>
      </c>
      <c r="L185" s="2074" t="s">
        <v>4271</v>
      </c>
    </row>
    <row r="186" spans="1:16" ht="30" customHeight="1" x14ac:dyDescent="0.2">
      <c r="A186" s="4459">
        <v>108</v>
      </c>
      <c r="B186" s="4457" t="s">
        <v>235</v>
      </c>
      <c r="C186" s="4537" t="s">
        <v>1172</v>
      </c>
      <c r="D186" s="2064">
        <v>1430000000</v>
      </c>
      <c r="E186" s="2103">
        <v>5.5E-2</v>
      </c>
      <c r="F186" s="2064">
        <f t="shared" si="21"/>
        <v>78650000</v>
      </c>
      <c r="G186" s="4725" t="s">
        <v>4358</v>
      </c>
      <c r="H186" s="4726"/>
      <c r="I186" s="4726"/>
      <c r="J186" s="4727"/>
      <c r="K186" s="2064">
        <v>0</v>
      </c>
      <c r="L186" s="2107"/>
    </row>
    <row r="187" spans="1:16" ht="30" customHeight="1" x14ac:dyDescent="0.2">
      <c r="A187" s="4464"/>
      <c r="B187" s="4488"/>
      <c r="C187" s="4540"/>
      <c r="D187" s="2213">
        <v>150000000</v>
      </c>
      <c r="E187" s="2210">
        <v>5.5E-2</v>
      </c>
      <c r="F187" s="2213">
        <f>D187*E187</f>
        <v>8250000</v>
      </c>
      <c r="G187" s="4469" t="s">
        <v>4357</v>
      </c>
      <c r="H187" s="4470"/>
      <c r="I187" s="4470"/>
      <c r="J187" s="4471"/>
      <c r="K187" s="2213"/>
      <c r="L187" s="2616" t="s">
        <v>4649</v>
      </c>
    </row>
    <row r="188" spans="1:16" ht="30" customHeight="1" x14ac:dyDescent="0.2">
      <c r="A188" s="4460"/>
      <c r="B188" s="4458"/>
      <c r="C188" s="4538"/>
      <c r="D188" s="2620">
        <v>1580000000</v>
      </c>
      <c r="E188" s="2654">
        <v>5.5E-2</v>
      </c>
      <c r="F188" s="2655">
        <f>D188*E188</f>
        <v>86900000</v>
      </c>
      <c r="G188" s="2617"/>
      <c r="H188" s="2618"/>
      <c r="I188" s="2618"/>
      <c r="J188" s="2619"/>
      <c r="K188" s="2614"/>
      <c r="L188" s="2615"/>
    </row>
    <row r="189" spans="1:16" ht="30" customHeight="1" x14ac:dyDescent="0.2">
      <c r="A189" s="4459">
        <v>109</v>
      </c>
      <c r="B189" s="4457" t="s">
        <v>236</v>
      </c>
      <c r="C189" s="4537"/>
      <c r="D189" s="4322">
        <v>1000000000</v>
      </c>
      <c r="E189" s="4476">
        <v>0.05</v>
      </c>
      <c r="F189" s="4413">
        <f t="shared" si="21"/>
        <v>50000000</v>
      </c>
      <c r="G189" s="2076">
        <v>50000000</v>
      </c>
      <c r="H189" s="2076" t="s">
        <v>4428</v>
      </c>
      <c r="I189" s="21" t="s">
        <v>4429</v>
      </c>
      <c r="J189" s="2076">
        <f t="shared" si="22"/>
        <v>50000000</v>
      </c>
      <c r="K189" s="2076">
        <f t="shared" si="23"/>
        <v>0</v>
      </c>
      <c r="L189" s="2356" t="s">
        <v>4439</v>
      </c>
    </row>
    <row r="190" spans="1:16" ht="30" customHeight="1" x14ac:dyDescent="0.2">
      <c r="A190" s="4460"/>
      <c r="B190" s="4458"/>
      <c r="C190" s="4538"/>
      <c r="D190" s="4322"/>
      <c r="E190" s="4477"/>
      <c r="F190" s="4415"/>
      <c r="G190" s="2355">
        <v>50000000</v>
      </c>
      <c r="H190" s="2355" t="s">
        <v>4438</v>
      </c>
      <c r="I190" s="21" t="s">
        <v>4429</v>
      </c>
      <c r="J190" s="2355">
        <f>G190</f>
        <v>50000000</v>
      </c>
      <c r="K190" s="2355"/>
      <c r="L190" s="2356" t="s">
        <v>4440</v>
      </c>
    </row>
    <row r="191" spans="1:16" ht="30" customHeight="1" x14ac:dyDescent="0.2">
      <c r="A191" s="2105">
        <v>110</v>
      </c>
      <c r="B191" s="2108" t="s">
        <v>1842</v>
      </c>
      <c r="C191" s="2085" t="s">
        <v>1292</v>
      </c>
      <c r="D191" s="2080">
        <v>14000000</v>
      </c>
      <c r="E191" s="2077">
        <v>4.2999999999999997E-2</v>
      </c>
      <c r="F191" s="2076">
        <v>600000</v>
      </c>
      <c r="G191" s="2076">
        <v>600000</v>
      </c>
      <c r="H191" s="2076" t="s">
        <v>3865</v>
      </c>
      <c r="I191" s="21" t="s">
        <v>3927</v>
      </c>
      <c r="J191" s="2064">
        <f t="shared" si="22"/>
        <v>600000</v>
      </c>
      <c r="K191" s="2064">
        <f t="shared" si="23"/>
        <v>0</v>
      </c>
      <c r="L191" s="2386" t="s">
        <v>4475</v>
      </c>
    </row>
    <row r="192" spans="1:16" ht="30" customHeight="1" x14ac:dyDescent="0.2">
      <c r="A192" s="2067"/>
      <c r="B192" s="19" t="s">
        <v>237</v>
      </c>
      <c r="C192" s="2107" t="s">
        <v>392</v>
      </c>
      <c r="D192" s="2064">
        <v>30000000</v>
      </c>
      <c r="E192" s="2103">
        <v>0.05</v>
      </c>
      <c r="F192" s="2076">
        <f>D192*E192</f>
        <v>1500000</v>
      </c>
      <c r="G192" s="2064">
        <v>1500000</v>
      </c>
      <c r="H192" s="2064" t="s">
        <v>4404</v>
      </c>
      <c r="I192" s="2064" t="s">
        <v>3927</v>
      </c>
      <c r="J192" s="2064">
        <f t="shared" si="22"/>
        <v>1500000</v>
      </c>
      <c r="K192" s="2076">
        <f t="shared" si="23"/>
        <v>0</v>
      </c>
      <c r="L192" s="2074" t="s">
        <v>3450</v>
      </c>
    </row>
    <row r="193" spans="1:12" ht="30" customHeight="1" x14ac:dyDescent="0.2">
      <c r="A193" s="2105">
        <v>112</v>
      </c>
      <c r="B193" s="2106" t="s">
        <v>238</v>
      </c>
      <c r="C193" s="2107"/>
      <c r="D193" s="2076">
        <v>40000000</v>
      </c>
      <c r="E193" s="2103">
        <v>0.05</v>
      </c>
      <c r="F193" s="2076">
        <f t="shared" si="21"/>
        <v>2000000</v>
      </c>
      <c r="G193" s="2076">
        <v>2000000</v>
      </c>
      <c r="H193" s="2076" t="s">
        <v>4428</v>
      </c>
      <c r="I193" s="2127" t="s">
        <v>3465</v>
      </c>
      <c r="J193" s="2076">
        <f t="shared" si="22"/>
        <v>2000000</v>
      </c>
      <c r="K193" s="2076">
        <f t="shared" si="23"/>
        <v>0</v>
      </c>
      <c r="L193" s="2106"/>
    </row>
    <row r="194" spans="1:12" ht="30" customHeight="1" x14ac:dyDescent="0.2">
      <c r="A194" s="2067"/>
      <c r="B194" s="2068" t="s">
        <v>239</v>
      </c>
      <c r="C194" s="2107" t="s">
        <v>402</v>
      </c>
      <c r="D194" s="2076">
        <v>250000000</v>
      </c>
      <c r="E194" s="2103">
        <v>0.05</v>
      </c>
      <c r="F194" s="2076">
        <f>D194*E194</f>
        <v>12500000</v>
      </c>
      <c r="G194" s="2064">
        <v>12500000</v>
      </c>
      <c r="H194" s="2064" t="s">
        <v>1193</v>
      </c>
      <c r="I194" s="2064" t="s">
        <v>3990</v>
      </c>
      <c r="J194" s="2064">
        <f t="shared" si="22"/>
        <v>12500000</v>
      </c>
      <c r="K194" s="2076">
        <f t="shared" si="23"/>
        <v>0</v>
      </c>
      <c r="L194" s="2074"/>
    </row>
    <row r="195" spans="1:12" ht="30" customHeight="1" x14ac:dyDescent="0.2">
      <c r="A195" s="2105">
        <v>114</v>
      </c>
      <c r="B195" s="2106" t="s">
        <v>240</v>
      </c>
      <c r="C195" s="2086"/>
      <c r="D195" s="2076">
        <v>100000000</v>
      </c>
      <c r="E195" s="2103">
        <v>4.4999999999999998E-2</v>
      </c>
      <c r="F195" s="2076">
        <f t="shared" si="21"/>
        <v>4500000</v>
      </c>
      <c r="G195" s="2076"/>
      <c r="H195" s="2076"/>
      <c r="I195" s="84"/>
      <c r="J195" s="2076">
        <f>G195</f>
        <v>0</v>
      </c>
      <c r="K195" s="2076">
        <f>F195-J195</f>
        <v>4500000</v>
      </c>
      <c r="L195" s="2106"/>
    </row>
    <row r="196" spans="1:12" ht="30" customHeight="1" x14ac:dyDescent="0.2">
      <c r="A196" s="2140">
        <v>115</v>
      </c>
      <c r="B196" s="2108" t="s">
        <v>241</v>
      </c>
      <c r="C196" s="2085" t="s">
        <v>1138</v>
      </c>
      <c r="D196" s="2075">
        <v>20000000</v>
      </c>
      <c r="E196" s="2077">
        <v>0.05</v>
      </c>
      <c r="F196" s="2075">
        <f t="shared" si="21"/>
        <v>1000000</v>
      </c>
      <c r="G196" s="2076">
        <v>1000000</v>
      </c>
      <c r="H196" s="2076" t="s">
        <v>4404</v>
      </c>
      <c r="I196" s="21" t="s">
        <v>1372</v>
      </c>
      <c r="J196" s="2076">
        <f>G196</f>
        <v>1000000</v>
      </c>
      <c r="K196" s="2076">
        <f>F196-J196</f>
        <v>0</v>
      </c>
      <c r="L196" s="2073"/>
    </row>
    <row r="197" spans="1:12" ht="30" customHeight="1" x14ac:dyDescent="0.2">
      <c r="A197" s="1029"/>
      <c r="B197" s="19" t="s">
        <v>243</v>
      </c>
      <c r="C197" s="2107" t="s">
        <v>889</v>
      </c>
      <c r="D197" s="2064">
        <v>445000000</v>
      </c>
      <c r="E197" s="2103">
        <v>4.4999999999999998E-2</v>
      </c>
      <c r="F197" s="2064">
        <v>20000000</v>
      </c>
      <c r="G197" s="2076"/>
      <c r="H197" s="2076"/>
      <c r="I197" s="84" t="s">
        <v>2646</v>
      </c>
      <c r="J197" s="2076">
        <f>G197</f>
        <v>0</v>
      </c>
      <c r="K197" s="2076">
        <f>F197-J197</f>
        <v>20000000</v>
      </c>
      <c r="L197" s="2135" t="s">
        <v>4267</v>
      </c>
    </row>
    <row r="198" spans="1:12" ht="30" customHeight="1" x14ac:dyDescent="0.2">
      <c r="A198" s="4459">
        <v>118</v>
      </c>
      <c r="B198" s="4457" t="s">
        <v>244</v>
      </c>
      <c r="C198" s="4537" t="s">
        <v>4225</v>
      </c>
      <c r="D198" s="4413">
        <v>33000000</v>
      </c>
      <c r="E198" s="4476">
        <v>0.05</v>
      </c>
      <c r="F198" s="4413">
        <f>D198*E198</f>
        <v>1650000</v>
      </c>
      <c r="G198" s="4413">
        <v>1650000</v>
      </c>
      <c r="H198" s="4413" t="s">
        <v>4404</v>
      </c>
      <c r="I198" s="5014" t="s">
        <v>611</v>
      </c>
      <c r="J198" s="4413">
        <f>G198</f>
        <v>1650000</v>
      </c>
      <c r="K198" s="4413">
        <f>F198-J198</f>
        <v>0</v>
      </c>
      <c r="L198" s="2135" t="s">
        <v>4226</v>
      </c>
    </row>
    <row r="199" spans="1:12" ht="30" customHeight="1" x14ac:dyDescent="0.2">
      <c r="A199" s="4464"/>
      <c r="B199" s="4488"/>
      <c r="C199" s="4538"/>
      <c r="D199" s="4415"/>
      <c r="E199" s="4477"/>
      <c r="F199" s="4415"/>
      <c r="G199" s="4415"/>
      <c r="H199" s="4415"/>
      <c r="I199" s="5015"/>
      <c r="J199" s="4415"/>
      <c r="K199" s="4415"/>
      <c r="L199" s="2135" t="s">
        <v>4227</v>
      </c>
    </row>
    <row r="200" spans="1:12" ht="30" customHeight="1" x14ac:dyDescent="0.2">
      <c r="A200" s="4459">
        <v>120</v>
      </c>
      <c r="B200" s="4457" t="s">
        <v>246</v>
      </c>
      <c r="C200" s="4537" t="s">
        <v>371</v>
      </c>
      <c r="D200" s="4413">
        <v>617000000</v>
      </c>
      <c r="E200" s="4476">
        <v>7.0000000000000007E-2</v>
      </c>
      <c r="F200" s="4413">
        <v>43200000</v>
      </c>
      <c r="G200" s="2064">
        <v>30000000</v>
      </c>
      <c r="H200" s="2064" t="s">
        <v>4464</v>
      </c>
      <c r="I200" s="2110" t="s">
        <v>2866</v>
      </c>
      <c r="J200" s="4413">
        <f>G200+G201</f>
        <v>43200000</v>
      </c>
      <c r="K200" s="4413">
        <f>F200-J200</f>
        <v>0</v>
      </c>
      <c r="L200" s="4599"/>
    </row>
    <row r="201" spans="1:12" ht="30" customHeight="1" x14ac:dyDescent="0.2">
      <c r="A201" s="4460"/>
      <c r="B201" s="4458"/>
      <c r="C201" s="4538"/>
      <c r="D201" s="4415"/>
      <c r="E201" s="4477"/>
      <c r="F201" s="4415"/>
      <c r="G201" s="2076">
        <v>13200000</v>
      </c>
      <c r="H201" s="2076" t="s">
        <v>2473</v>
      </c>
      <c r="I201" s="2110" t="s">
        <v>2866</v>
      </c>
      <c r="J201" s="4415"/>
      <c r="K201" s="4415"/>
      <c r="L201" s="4607"/>
    </row>
    <row r="202" spans="1:12" ht="30" customHeight="1" x14ac:dyDescent="0.2">
      <c r="A202" s="2105">
        <v>122</v>
      </c>
      <c r="B202" s="2106" t="s">
        <v>248</v>
      </c>
      <c r="C202" s="2086"/>
      <c r="D202" s="2076">
        <v>50000000</v>
      </c>
      <c r="E202" s="2103">
        <v>4.4999999999999998E-2</v>
      </c>
      <c r="F202" s="2076">
        <f t="shared" si="21"/>
        <v>2250000</v>
      </c>
      <c r="G202" s="2076">
        <v>2250000</v>
      </c>
      <c r="H202" s="2076" t="s">
        <v>4404</v>
      </c>
      <c r="I202" s="18" t="s">
        <v>1568</v>
      </c>
      <c r="J202" s="2076">
        <f>G202</f>
        <v>2250000</v>
      </c>
      <c r="K202" s="2076">
        <f>F202-J202</f>
        <v>0</v>
      </c>
      <c r="L202" s="2106"/>
    </row>
    <row r="203" spans="1:12" ht="30" customHeight="1" x14ac:dyDescent="0.2">
      <c r="A203" s="4459">
        <v>123</v>
      </c>
      <c r="B203" s="4457" t="s">
        <v>1650</v>
      </c>
      <c r="C203" s="4537" t="s">
        <v>1176</v>
      </c>
      <c r="D203" s="2064">
        <v>60000000</v>
      </c>
      <c r="E203" s="2103">
        <v>0.05</v>
      </c>
      <c r="F203" s="2064">
        <f t="shared" si="21"/>
        <v>3000000</v>
      </c>
      <c r="G203" s="4413">
        <v>7000000</v>
      </c>
      <c r="H203" s="4413" t="s">
        <v>4464</v>
      </c>
      <c r="I203" s="4478" t="s">
        <v>3533</v>
      </c>
      <c r="J203" s="4413">
        <f>G203</f>
        <v>7000000</v>
      </c>
      <c r="K203" s="4413">
        <f>(F203+F204+F205)-G203</f>
        <v>0</v>
      </c>
      <c r="L203" s="4599"/>
    </row>
    <row r="204" spans="1:12" ht="30" customHeight="1" x14ac:dyDescent="0.2">
      <c r="A204" s="4464"/>
      <c r="B204" s="4488"/>
      <c r="C204" s="4540"/>
      <c r="D204" s="2064">
        <v>20000000</v>
      </c>
      <c r="E204" s="2103">
        <v>7.0000000000000007E-2</v>
      </c>
      <c r="F204" s="2064">
        <f t="shared" si="21"/>
        <v>1400000.0000000002</v>
      </c>
      <c r="G204" s="4414"/>
      <c r="H204" s="4414"/>
      <c r="I204" s="4520"/>
      <c r="J204" s="4414"/>
      <c r="K204" s="4414"/>
      <c r="L204" s="4607"/>
    </row>
    <row r="205" spans="1:12" ht="30" customHeight="1" x14ac:dyDescent="0.2">
      <c r="A205" s="4464"/>
      <c r="B205" s="4458"/>
      <c r="C205" s="4538"/>
      <c r="D205" s="2064">
        <v>52000000</v>
      </c>
      <c r="E205" s="2103">
        <v>0.05</v>
      </c>
      <c r="F205" s="2064">
        <f>D205*E205</f>
        <v>2600000</v>
      </c>
      <c r="G205" s="4415"/>
      <c r="H205" s="4415"/>
      <c r="I205" s="4479"/>
      <c r="J205" s="4415"/>
      <c r="K205" s="4415"/>
      <c r="L205" s="2135"/>
    </row>
    <row r="206" spans="1:12" ht="30" customHeight="1" x14ac:dyDescent="0.2">
      <c r="A206" s="2105">
        <v>124</v>
      </c>
      <c r="B206" s="2106" t="s">
        <v>250</v>
      </c>
      <c r="C206" s="2086" t="s">
        <v>392</v>
      </c>
      <c r="D206" s="2076">
        <v>200000000</v>
      </c>
      <c r="E206" s="2079">
        <v>0.05</v>
      </c>
      <c r="F206" s="2076">
        <f t="shared" si="21"/>
        <v>10000000</v>
      </c>
      <c r="G206" s="2076">
        <v>10000000</v>
      </c>
      <c r="H206" s="2076" t="s">
        <v>4404</v>
      </c>
      <c r="I206" s="2095" t="s">
        <v>1401</v>
      </c>
      <c r="J206" s="2076">
        <f t="shared" ref="J206:J217" si="24">G206</f>
        <v>10000000</v>
      </c>
      <c r="K206" s="2076">
        <f t="shared" ref="K206:K217" si="25">F206-J206</f>
        <v>0</v>
      </c>
      <c r="L206" s="2106"/>
    </row>
    <row r="207" spans="1:12" ht="30" customHeight="1" x14ac:dyDescent="0.2">
      <c r="A207" s="2140">
        <v>125</v>
      </c>
      <c r="B207" s="2108" t="s">
        <v>251</v>
      </c>
      <c r="C207" s="2107"/>
      <c r="D207" s="2064">
        <v>160000000</v>
      </c>
      <c r="E207" s="2103">
        <v>7.0000000000000007E-2</v>
      </c>
      <c r="F207" s="2064">
        <v>11000000</v>
      </c>
      <c r="G207" s="2076">
        <v>11000000</v>
      </c>
      <c r="H207" s="2076" t="s">
        <v>1193</v>
      </c>
      <c r="I207" s="21" t="s">
        <v>1630</v>
      </c>
      <c r="J207" s="2076">
        <f t="shared" si="24"/>
        <v>11000000</v>
      </c>
      <c r="K207" s="2076">
        <f t="shared" si="25"/>
        <v>0</v>
      </c>
      <c r="L207" s="2106"/>
    </row>
    <row r="208" spans="1:12" ht="30" customHeight="1" x14ac:dyDescent="0.2">
      <c r="A208" s="4459">
        <v>126</v>
      </c>
      <c r="B208" s="4457" t="s">
        <v>252</v>
      </c>
      <c r="C208" s="4537" t="s">
        <v>402</v>
      </c>
      <c r="D208" s="2076">
        <v>180000000</v>
      </c>
      <c r="E208" s="2079">
        <v>4.4999999999999998E-2</v>
      </c>
      <c r="F208" s="2076">
        <f t="shared" si="21"/>
        <v>8100000</v>
      </c>
      <c r="G208" s="2076">
        <v>8100000</v>
      </c>
      <c r="H208" s="4413" t="s">
        <v>4387</v>
      </c>
      <c r="I208" s="4478" t="s">
        <v>4442</v>
      </c>
      <c r="J208" s="2076">
        <f t="shared" si="24"/>
        <v>8100000</v>
      </c>
      <c r="K208" s="2076">
        <f t="shared" si="25"/>
        <v>0</v>
      </c>
      <c r="L208" s="2374" t="s">
        <v>4443</v>
      </c>
    </row>
    <row r="209" spans="1:12" ht="30" customHeight="1" x14ac:dyDescent="0.2">
      <c r="A209" s="4464"/>
      <c r="B209" s="4488"/>
      <c r="C209" s="4540"/>
      <c r="D209" s="4325" t="s">
        <v>1983</v>
      </c>
      <c r="E209" s="4326"/>
      <c r="F209" s="4563"/>
      <c r="G209" s="2360">
        <v>24900000</v>
      </c>
      <c r="H209" s="4415"/>
      <c r="I209" s="4479"/>
      <c r="J209" s="4413">
        <f>G209+G210+G211</f>
        <v>180000000</v>
      </c>
      <c r="K209" s="4413">
        <f>180000000-J209</f>
        <v>0</v>
      </c>
      <c r="L209" s="2358"/>
    </row>
    <row r="210" spans="1:12" ht="30" customHeight="1" x14ac:dyDescent="0.2">
      <c r="A210" s="4464"/>
      <c r="B210" s="4488"/>
      <c r="C210" s="4540"/>
      <c r="D210" s="4612"/>
      <c r="E210" s="4359"/>
      <c r="F210" s="4613"/>
      <c r="G210" s="2360">
        <v>100000000</v>
      </c>
      <c r="H210" s="2360" t="s">
        <v>4404</v>
      </c>
      <c r="I210" s="21" t="s">
        <v>4442</v>
      </c>
      <c r="J210" s="4414"/>
      <c r="K210" s="4414"/>
      <c r="L210" s="2358"/>
    </row>
    <row r="211" spans="1:12" ht="30" customHeight="1" x14ac:dyDescent="0.2">
      <c r="A211" s="4460"/>
      <c r="B211" s="4458"/>
      <c r="C211" s="4538"/>
      <c r="D211" s="4564"/>
      <c r="E211" s="4596"/>
      <c r="F211" s="4565"/>
      <c r="G211" s="2360">
        <v>55100000</v>
      </c>
      <c r="H211" s="2360" t="s">
        <v>4428</v>
      </c>
      <c r="I211" s="21" t="s">
        <v>4442</v>
      </c>
      <c r="J211" s="4415"/>
      <c r="K211" s="4415"/>
      <c r="L211" s="2358"/>
    </row>
    <row r="212" spans="1:12" ht="30" customHeight="1" x14ac:dyDescent="0.2">
      <c r="A212" s="2065">
        <v>127</v>
      </c>
      <c r="B212" s="2108" t="s">
        <v>253</v>
      </c>
      <c r="C212" s="2107" t="s">
        <v>889</v>
      </c>
      <c r="D212" s="2064">
        <v>800000000</v>
      </c>
      <c r="E212" s="2103">
        <v>0.05</v>
      </c>
      <c r="F212" s="2064">
        <f t="shared" si="21"/>
        <v>40000000</v>
      </c>
      <c r="G212" s="2064">
        <v>40000000</v>
      </c>
      <c r="H212" s="2064" t="s">
        <v>3929</v>
      </c>
      <c r="I212" s="2110" t="s">
        <v>2540</v>
      </c>
      <c r="J212" s="2064">
        <f t="shared" si="24"/>
        <v>40000000</v>
      </c>
      <c r="K212" s="2064">
        <f t="shared" si="25"/>
        <v>0</v>
      </c>
      <c r="L212" s="2087"/>
    </row>
    <row r="213" spans="1:12" ht="30" customHeight="1" x14ac:dyDescent="0.2">
      <c r="A213" s="2105">
        <v>128</v>
      </c>
      <c r="B213" s="2106" t="s">
        <v>254</v>
      </c>
      <c r="C213" s="2086"/>
      <c r="D213" s="2081"/>
      <c r="E213" s="2084"/>
      <c r="F213" s="2081">
        <f t="shared" si="21"/>
        <v>0</v>
      </c>
      <c r="G213" s="2076"/>
      <c r="H213" s="2076"/>
      <c r="I213" s="21"/>
      <c r="J213" s="2076">
        <f t="shared" si="24"/>
        <v>0</v>
      </c>
      <c r="K213" s="2081">
        <f t="shared" si="25"/>
        <v>0</v>
      </c>
      <c r="L213" s="2106"/>
    </row>
    <row r="214" spans="1:12" ht="30" customHeight="1" x14ac:dyDescent="0.2">
      <c r="A214" s="2105">
        <v>129</v>
      </c>
      <c r="B214" s="19" t="s">
        <v>255</v>
      </c>
      <c r="C214" s="2107" t="s">
        <v>1107</v>
      </c>
      <c r="D214" s="2064">
        <v>200000000</v>
      </c>
      <c r="E214" s="2103">
        <v>0.06</v>
      </c>
      <c r="F214" s="2064">
        <f>D214*E214</f>
        <v>12000000</v>
      </c>
      <c r="G214" s="2076"/>
      <c r="H214" s="2076"/>
      <c r="I214" s="21" t="s">
        <v>3252</v>
      </c>
      <c r="J214" s="2076">
        <f t="shared" si="24"/>
        <v>0</v>
      </c>
      <c r="K214" s="2076">
        <f t="shared" si="25"/>
        <v>12000000</v>
      </c>
      <c r="L214" s="2135"/>
    </row>
    <row r="215" spans="1:12" ht="30" customHeight="1" x14ac:dyDescent="0.2">
      <c r="A215" s="4791"/>
      <c r="B215" s="4457" t="s">
        <v>1171</v>
      </c>
      <c r="C215" s="4537" t="s">
        <v>1299</v>
      </c>
      <c r="D215" s="4413">
        <v>150000000</v>
      </c>
      <c r="E215" s="4476">
        <v>0.05</v>
      </c>
      <c r="F215" s="4413">
        <f>D215*E215</f>
        <v>7500000</v>
      </c>
      <c r="G215" s="2064">
        <v>7500000</v>
      </c>
      <c r="H215" s="2064" t="s">
        <v>1017</v>
      </c>
      <c r="I215" s="2064" t="s">
        <v>2986</v>
      </c>
      <c r="J215" s="2064">
        <f t="shared" si="24"/>
        <v>7500000</v>
      </c>
      <c r="K215" s="2064">
        <f t="shared" si="25"/>
        <v>0</v>
      </c>
      <c r="L215" s="2135" t="s">
        <v>4524</v>
      </c>
    </row>
    <row r="216" spans="1:12" ht="30" customHeight="1" x14ac:dyDescent="0.2">
      <c r="A216" s="4792"/>
      <c r="B216" s="4458"/>
      <c r="C216" s="4538"/>
      <c r="D216" s="4415"/>
      <c r="E216" s="4477"/>
      <c r="F216" s="4415"/>
      <c r="G216" s="2308">
        <v>1000000</v>
      </c>
      <c r="H216" s="2308" t="s">
        <v>4363</v>
      </c>
      <c r="I216" s="2320" t="s">
        <v>4374</v>
      </c>
      <c r="J216" s="2308"/>
      <c r="K216" s="2308"/>
      <c r="L216" s="2333" t="s">
        <v>4262</v>
      </c>
    </row>
    <row r="217" spans="1:12" ht="30" customHeight="1" x14ac:dyDescent="0.2">
      <c r="A217" s="4459">
        <v>131</v>
      </c>
      <c r="B217" s="4461" t="s">
        <v>256</v>
      </c>
      <c r="C217" s="4677"/>
      <c r="D217" s="2311">
        <v>200000000</v>
      </c>
      <c r="E217" s="2314">
        <v>0.05</v>
      </c>
      <c r="F217" s="2311">
        <f t="shared" si="21"/>
        <v>10000000</v>
      </c>
      <c r="G217" s="4506">
        <v>20000000</v>
      </c>
      <c r="H217" s="4506" t="s">
        <v>1193</v>
      </c>
      <c r="I217" s="4506" t="s">
        <v>3436</v>
      </c>
      <c r="J217" s="4506">
        <f t="shared" si="24"/>
        <v>20000000</v>
      </c>
      <c r="K217" s="4506">
        <f t="shared" si="25"/>
        <v>-10000000</v>
      </c>
      <c r="L217" s="1025"/>
    </row>
    <row r="218" spans="1:12" ht="30" customHeight="1" x14ac:dyDescent="0.2">
      <c r="A218" s="4460"/>
      <c r="B218" s="4463"/>
      <c r="C218" s="4679"/>
      <c r="D218" s="2312">
        <v>400000000</v>
      </c>
      <c r="E218" s="2313"/>
      <c r="F218" s="2312"/>
      <c r="G218" s="4508"/>
      <c r="H218" s="4508"/>
      <c r="I218" s="4508"/>
      <c r="J218" s="4508"/>
      <c r="K218" s="4508"/>
      <c r="L218" s="2352" t="s">
        <v>4014</v>
      </c>
    </row>
    <row r="219" spans="1:12" ht="30" customHeight="1" x14ac:dyDescent="0.2">
      <c r="A219" s="4459"/>
      <c r="B219" s="4457" t="s">
        <v>1218</v>
      </c>
      <c r="C219" s="4537" t="s">
        <v>1652</v>
      </c>
      <c r="D219" s="4413">
        <v>490000000</v>
      </c>
      <c r="E219" s="4476">
        <v>0.06</v>
      </c>
      <c r="F219" s="4413">
        <f>D219*E219</f>
        <v>29400000</v>
      </c>
      <c r="G219" s="3630">
        <v>10000000</v>
      </c>
      <c r="H219" s="2076" t="s">
        <v>1193</v>
      </c>
      <c r="I219" s="2091" t="s">
        <v>1220</v>
      </c>
      <c r="J219" s="4413">
        <f>10000000+G219+G220</f>
        <v>29400000</v>
      </c>
      <c r="K219" s="4413">
        <f>F219-J219</f>
        <v>0</v>
      </c>
      <c r="L219" s="2307" t="s">
        <v>4277</v>
      </c>
    </row>
    <row r="220" spans="1:12" ht="30" customHeight="1" x14ac:dyDescent="0.2">
      <c r="A220" s="4460"/>
      <c r="B220" s="4458"/>
      <c r="C220" s="4538"/>
      <c r="D220" s="4415"/>
      <c r="E220" s="4477"/>
      <c r="F220" s="4415"/>
      <c r="G220" s="2302">
        <v>9400000</v>
      </c>
      <c r="H220" s="2308" t="s">
        <v>4404</v>
      </c>
      <c r="I220" s="2320" t="s">
        <v>1220</v>
      </c>
      <c r="J220" s="4415"/>
      <c r="K220" s="4415"/>
      <c r="L220" s="2073"/>
    </row>
    <row r="221" spans="1:12" ht="30" customHeight="1" x14ac:dyDescent="0.2">
      <c r="A221" s="2105">
        <v>133</v>
      </c>
      <c r="B221" s="2070" t="s">
        <v>175</v>
      </c>
      <c r="C221" s="2086" t="s">
        <v>1718</v>
      </c>
      <c r="D221" s="2076">
        <v>100000000</v>
      </c>
      <c r="E221" s="2079">
        <v>0.05</v>
      </c>
      <c r="F221" s="2076">
        <f t="shared" ref="F221:F307" si="26">D221*E221</f>
        <v>5000000</v>
      </c>
      <c r="G221" s="2076">
        <v>5000000</v>
      </c>
      <c r="H221" s="2076" t="s">
        <v>4404</v>
      </c>
      <c r="I221" s="21" t="s">
        <v>4414</v>
      </c>
      <c r="J221" s="2076">
        <f>G221</f>
        <v>5000000</v>
      </c>
      <c r="K221" s="2076">
        <f>F221-J221</f>
        <v>0</v>
      </c>
      <c r="L221" s="2073" t="s">
        <v>3112</v>
      </c>
    </row>
    <row r="222" spans="1:12" ht="30" customHeight="1" x14ac:dyDescent="0.2">
      <c r="A222" s="2065">
        <v>134</v>
      </c>
      <c r="B222" s="2108" t="s">
        <v>166</v>
      </c>
      <c r="C222" s="2107" t="s">
        <v>1652</v>
      </c>
      <c r="D222" s="2064">
        <v>110000000</v>
      </c>
      <c r="E222" s="2103">
        <v>0.04</v>
      </c>
      <c r="F222" s="2064">
        <f t="shared" si="26"/>
        <v>4400000</v>
      </c>
      <c r="G222" s="2076">
        <v>4400000</v>
      </c>
      <c r="H222" s="2076" t="s">
        <v>4404</v>
      </c>
      <c r="I222" s="21" t="s">
        <v>4101</v>
      </c>
      <c r="J222" s="2075">
        <f>G222</f>
        <v>4400000</v>
      </c>
      <c r="K222" s="2075">
        <f>F222-J222</f>
        <v>0</v>
      </c>
      <c r="L222" s="2087"/>
    </row>
    <row r="223" spans="1:12" ht="30" customHeight="1" x14ac:dyDescent="0.2">
      <c r="A223" s="4459">
        <v>135</v>
      </c>
      <c r="B223" s="4457" t="s">
        <v>4365</v>
      </c>
      <c r="C223" s="2107" t="s">
        <v>392</v>
      </c>
      <c r="D223" s="2076">
        <v>100000000</v>
      </c>
      <c r="E223" s="2103">
        <v>0.05</v>
      </c>
      <c r="F223" s="2076">
        <f t="shared" si="26"/>
        <v>5000000</v>
      </c>
      <c r="G223" s="2076">
        <v>5000000</v>
      </c>
      <c r="H223" s="2076" t="s">
        <v>4363</v>
      </c>
      <c r="I223" s="26" t="s">
        <v>1549</v>
      </c>
      <c r="J223" s="4413">
        <f>G223+G224</f>
        <v>11000000</v>
      </c>
      <c r="K223" s="4413">
        <f>(F223+F224)-J223</f>
        <v>0</v>
      </c>
      <c r="L223" s="4599"/>
    </row>
    <row r="224" spans="1:12" ht="30" customHeight="1" x14ac:dyDescent="0.2">
      <c r="A224" s="4460"/>
      <c r="B224" s="4458"/>
      <c r="C224" s="2107" t="s">
        <v>1299</v>
      </c>
      <c r="D224" s="2076">
        <v>124000000</v>
      </c>
      <c r="E224" s="2103">
        <v>4.9000000000000002E-2</v>
      </c>
      <c r="F224" s="2076">
        <v>6000000</v>
      </c>
      <c r="G224" s="2076">
        <v>6000000</v>
      </c>
      <c r="H224" s="2076" t="s">
        <v>1017</v>
      </c>
      <c r="I224" s="52" t="s">
        <v>1549</v>
      </c>
      <c r="J224" s="4415"/>
      <c r="K224" s="4415"/>
      <c r="L224" s="4607"/>
    </row>
    <row r="225" spans="1:12" ht="30" customHeight="1" x14ac:dyDescent="0.2">
      <c r="A225" s="4459">
        <v>136</v>
      </c>
      <c r="B225" s="4457" t="s">
        <v>4003</v>
      </c>
      <c r="C225" s="4620"/>
      <c r="D225" s="4506"/>
      <c r="E225" s="4512"/>
      <c r="F225" s="4506">
        <f t="shared" si="26"/>
        <v>0</v>
      </c>
      <c r="G225" s="2076">
        <v>13000000</v>
      </c>
      <c r="H225" s="2076" t="s">
        <v>3003</v>
      </c>
      <c r="I225" s="24" t="s">
        <v>3969</v>
      </c>
      <c r="J225" s="2076">
        <f>G225</f>
        <v>13000000</v>
      </c>
      <c r="K225" s="2081">
        <f>F225-J225</f>
        <v>-13000000</v>
      </c>
      <c r="L225" s="2073"/>
    </row>
    <row r="226" spans="1:12" ht="30" customHeight="1" x14ac:dyDescent="0.2">
      <c r="A226" s="4464"/>
      <c r="B226" s="4488"/>
      <c r="C226" s="4620"/>
      <c r="D226" s="4507"/>
      <c r="E226" s="4513"/>
      <c r="F226" s="4507"/>
      <c r="G226" s="2064"/>
      <c r="H226" s="2064"/>
      <c r="I226" s="234" t="s">
        <v>3969</v>
      </c>
      <c r="J226" s="2064">
        <f>G226</f>
        <v>0</v>
      </c>
      <c r="K226" s="2090"/>
      <c r="L226" s="2135"/>
    </row>
    <row r="227" spans="1:12" ht="30" customHeight="1" x14ac:dyDescent="0.2">
      <c r="A227" s="4460"/>
      <c r="B227" s="4458"/>
      <c r="C227" s="4620"/>
      <c r="D227" s="4508"/>
      <c r="E227" s="4514"/>
      <c r="F227" s="4508"/>
      <c r="G227" s="4303" t="s">
        <v>4278</v>
      </c>
      <c r="H227" s="4324"/>
      <c r="I227" s="4324"/>
      <c r="J227" s="4355"/>
      <c r="K227" s="2090"/>
      <c r="L227" s="2135" t="s">
        <v>4197</v>
      </c>
    </row>
    <row r="228" spans="1:12" ht="30" customHeight="1" x14ac:dyDescent="0.2">
      <c r="A228" s="2065"/>
      <c r="B228" s="2068" t="s">
        <v>257</v>
      </c>
      <c r="C228" s="2094" t="s">
        <v>1652</v>
      </c>
      <c r="D228" s="2076">
        <v>100000000</v>
      </c>
      <c r="E228" s="2103">
        <v>0.05</v>
      </c>
      <c r="F228" s="2076">
        <f>D228*E228</f>
        <v>5000000</v>
      </c>
      <c r="G228" s="2080">
        <v>5000000</v>
      </c>
      <c r="H228" s="2080" t="s">
        <v>1193</v>
      </c>
      <c r="I228" s="1611" t="s">
        <v>4004</v>
      </c>
      <c r="J228" s="2080">
        <f>G228</f>
        <v>5000000</v>
      </c>
      <c r="K228" s="2080">
        <f>F228-J228</f>
        <v>0</v>
      </c>
      <c r="L228" s="2121"/>
    </row>
    <row r="229" spans="1:12" ht="30" customHeight="1" x14ac:dyDescent="0.2">
      <c r="A229" s="4459"/>
      <c r="B229" s="4457" t="s">
        <v>179</v>
      </c>
      <c r="C229" s="4537" t="s">
        <v>1176</v>
      </c>
      <c r="D229" s="2064">
        <v>80000000</v>
      </c>
      <c r="E229" s="2103">
        <v>0.05</v>
      </c>
      <c r="F229" s="2064">
        <f>D229*E229</f>
        <v>4000000</v>
      </c>
      <c r="G229" s="4413">
        <v>6100000</v>
      </c>
      <c r="H229" s="4413" t="s">
        <v>4404</v>
      </c>
      <c r="I229" s="4413" t="s">
        <v>1711</v>
      </c>
      <c r="J229" s="4413">
        <f>G229</f>
        <v>6100000</v>
      </c>
      <c r="K229" s="4413">
        <f>(F229+F230)-J229</f>
        <v>0</v>
      </c>
      <c r="L229" s="4492"/>
    </row>
    <row r="230" spans="1:12" ht="30" customHeight="1" x14ac:dyDescent="0.2">
      <c r="A230" s="4460"/>
      <c r="B230" s="4458"/>
      <c r="C230" s="4538"/>
      <c r="D230" s="2075">
        <v>30000000</v>
      </c>
      <c r="E230" s="2077">
        <v>7.0000000000000007E-2</v>
      </c>
      <c r="F230" s="2075">
        <f>D230*E230</f>
        <v>2100000</v>
      </c>
      <c r="G230" s="4415"/>
      <c r="H230" s="4415"/>
      <c r="I230" s="4415"/>
      <c r="J230" s="4415"/>
      <c r="K230" s="4415"/>
      <c r="L230" s="4493"/>
    </row>
    <row r="231" spans="1:12" ht="30" customHeight="1" x14ac:dyDescent="0.2">
      <c r="A231" s="4459">
        <v>138</v>
      </c>
      <c r="B231" s="4457" t="s">
        <v>259</v>
      </c>
      <c r="C231" s="4537" t="s">
        <v>1172</v>
      </c>
      <c r="D231" s="4413">
        <v>1200000000</v>
      </c>
      <c r="E231" s="4476">
        <v>6.5000000000000002E-2</v>
      </c>
      <c r="F231" s="4413">
        <f t="shared" si="26"/>
        <v>78000000</v>
      </c>
      <c r="G231" s="2076"/>
      <c r="H231" s="2064"/>
      <c r="I231" s="2110" t="s">
        <v>529</v>
      </c>
      <c r="J231" s="4413">
        <f>G231+G232</f>
        <v>0</v>
      </c>
      <c r="K231" s="4413">
        <f>F231-J231</f>
        <v>78000000</v>
      </c>
      <c r="L231" s="4599"/>
    </row>
    <row r="232" spans="1:12" ht="30" customHeight="1" x14ac:dyDescent="0.2">
      <c r="A232" s="4464"/>
      <c r="B232" s="4488"/>
      <c r="C232" s="4540"/>
      <c r="D232" s="4415"/>
      <c r="E232" s="4477"/>
      <c r="F232" s="4415"/>
      <c r="G232" s="2064"/>
      <c r="H232" s="2064"/>
      <c r="I232" s="2110" t="s">
        <v>529</v>
      </c>
      <c r="J232" s="4415"/>
      <c r="K232" s="4415"/>
      <c r="L232" s="4600"/>
    </row>
    <row r="233" spans="1:12" ht="30" customHeight="1" x14ac:dyDescent="0.2">
      <c r="A233" s="4464"/>
      <c r="B233" s="4488"/>
      <c r="C233" s="4540"/>
      <c r="D233" s="2076">
        <v>150000000</v>
      </c>
      <c r="E233" s="2079">
        <v>6.5000000000000002E-2</v>
      </c>
      <c r="F233" s="2076">
        <f>D233*E233</f>
        <v>9750000</v>
      </c>
      <c r="G233" s="4919" t="s">
        <v>4232</v>
      </c>
      <c r="H233" s="4920"/>
      <c r="I233" s="4920"/>
      <c r="J233" s="4921"/>
      <c r="K233" s="2076"/>
      <c r="L233" s="4684" t="s">
        <v>4234</v>
      </c>
    </row>
    <row r="234" spans="1:12" ht="30" customHeight="1" x14ac:dyDescent="0.2">
      <c r="A234" s="4460"/>
      <c r="B234" s="4458"/>
      <c r="C234" s="4538"/>
      <c r="D234" s="2076">
        <v>79600000</v>
      </c>
      <c r="E234" s="2079">
        <v>6.5000000000000002E-2</v>
      </c>
      <c r="F234" s="2076">
        <f>D234*E234</f>
        <v>5174000</v>
      </c>
      <c r="G234" s="4469" t="s">
        <v>4233</v>
      </c>
      <c r="H234" s="4470"/>
      <c r="I234" s="4470"/>
      <c r="J234" s="4471"/>
      <c r="K234" s="2076"/>
      <c r="L234" s="4493"/>
    </row>
    <row r="235" spans="1:12" ht="30" customHeight="1" x14ac:dyDescent="0.2">
      <c r="A235" s="2105">
        <v>139</v>
      </c>
      <c r="B235" s="19" t="s">
        <v>160</v>
      </c>
      <c r="C235" s="2086" t="s">
        <v>1718</v>
      </c>
      <c r="D235" s="2064">
        <v>110000000</v>
      </c>
      <c r="E235" s="2103">
        <v>0.05</v>
      </c>
      <c r="F235" s="2064">
        <f t="shared" si="26"/>
        <v>5500000</v>
      </c>
      <c r="G235" s="2076">
        <v>5500000</v>
      </c>
      <c r="H235" s="2076" t="s">
        <v>4404</v>
      </c>
      <c r="I235" s="26" t="s">
        <v>1734</v>
      </c>
      <c r="J235" s="2064">
        <f>G235</f>
        <v>5500000</v>
      </c>
      <c r="K235" s="2064">
        <f>F235-J235</f>
        <v>0</v>
      </c>
      <c r="L235" s="19"/>
    </row>
    <row r="236" spans="1:12" ht="30" customHeight="1" x14ac:dyDescent="0.2">
      <c r="A236" s="2105"/>
      <c r="B236" s="19" t="s">
        <v>2270</v>
      </c>
      <c r="C236" s="2086" t="s">
        <v>262</v>
      </c>
      <c r="D236" s="2064">
        <v>50000000</v>
      </c>
      <c r="E236" s="2103">
        <v>0.05</v>
      </c>
      <c r="F236" s="2064">
        <f>D236*E236</f>
        <v>2500000</v>
      </c>
      <c r="G236" s="2076">
        <v>2500000</v>
      </c>
      <c r="H236" s="2076" t="s">
        <v>4451</v>
      </c>
      <c r="I236" s="26" t="s">
        <v>456</v>
      </c>
      <c r="J236" s="2064">
        <f>G236</f>
        <v>2500000</v>
      </c>
      <c r="K236" s="2064">
        <f>F236-J236</f>
        <v>0</v>
      </c>
      <c r="L236" s="19"/>
    </row>
    <row r="237" spans="1:12" ht="30" customHeight="1" x14ac:dyDescent="0.2">
      <c r="A237" s="2105">
        <v>140</v>
      </c>
      <c r="B237" s="2106" t="s">
        <v>533</v>
      </c>
      <c r="C237" s="2086" t="s">
        <v>372</v>
      </c>
      <c r="D237" s="2076">
        <v>150000000</v>
      </c>
      <c r="E237" s="2103">
        <v>0.04</v>
      </c>
      <c r="F237" s="2076">
        <f t="shared" si="26"/>
        <v>6000000</v>
      </c>
      <c r="G237" s="2076">
        <v>6000000</v>
      </c>
      <c r="H237" s="2076" t="s">
        <v>4404</v>
      </c>
      <c r="I237" s="18" t="s">
        <v>2682</v>
      </c>
      <c r="J237" s="2076">
        <f>G237</f>
        <v>6000000</v>
      </c>
      <c r="K237" s="2076">
        <f>F237-J237</f>
        <v>0</v>
      </c>
      <c r="L237" s="2106"/>
    </row>
    <row r="238" spans="1:12" ht="30" customHeight="1" x14ac:dyDescent="0.2">
      <c r="A238" s="4459">
        <v>141</v>
      </c>
      <c r="B238" s="4457" t="s">
        <v>7</v>
      </c>
      <c r="C238" s="4537"/>
      <c r="D238" s="4413">
        <v>30000000</v>
      </c>
      <c r="E238" s="4476">
        <v>0.05</v>
      </c>
      <c r="F238" s="4413">
        <f t="shared" si="26"/>
        <v>1500000</v>
      </c>
      <c r="G238" s="2076"/>
      <c r="H238" s="2076"/>
      <c r="I238" s="21" t="s">
        <v>535</v>
      </c>
      <c r="J238" s="2076">
        <f>G238</f>
        <v>0</v>
      </c>
      <c r="K238" s="2076">
        <f>F238-J238</f>
        <v>1500000</v>
      </c>
      <c r="L238" s="2073"/>
    </row>
    <row r="239" spans="1:12" ht="30" customHeight="1" x14ac:dyDescent="0.2">
      <c r="A239" s="4460"/>
      <c r="B239" s="4458"/>
      <c r="C239" s="4538"/>
      <c r="D239" s="4415"/>
      <c r="E239" s="4477"/>
      <c r="F239" s="4415"/>
      <c r="G239" s="2081"/>
      <c r="H239" s="2081"/>
      <c r="I239" s="56" t="s">
        <v>535</v>
      </c>
      <c r="J239" s="2082">
        <f>G239</f>
        <v>0</v>
      </c>
      <c r="K239" s="2080">
        <f>F238-J239</f>
        <v>1500000</v>
      </c>
      <c r="L239" s="2073" t="s">
        <v>4089</v>
      </c>
    </row>
    <row r="240" spans="1:12" ht="30" customHeight="1" x14ac:dyDescent="0.2">
      <c r="A240" s="4459">
        <v>142</v>
      </c>
      <c r="B240" s="4599" t="s">
        <v>8</v>
      </c>
      <c r="C240" s="4537"/>
      <c r="D240" s="4413">
        <v>2000000000</v>
      </c>
      <c r="E240" s="4476">
        <v>0.08</v>
      </c>
      <c r="F240" s="4413">
        <f>D240*E240</f>
        <v>160000000</v>
      </c>
      <c r="G240" s="1856">
        <v>10000000</v>
      </c>
      <c r="H240" s="1856" t="s">
        <v>4333</v>
      </c>
      <c r="I240" s="1856" t="s">
        <v>4360</v>
      </c>
      <c r="J240" s="4322"/>
      <c r="K240" s="4322"/>
      <c r="L240" s="4492" t="s">
        <v>4721</v>
      </c>
    </row>
    <row r="241" spans="1:12" ht="30" customHeight="1" x14ac:dyDescent="0.2">
      <c r="A241" s="4464"/>
      <c r="B241" s="4600"/>
      <c r="C241" s="4540"/>
      <c r="D241" s="4414"/>
      <c r="E241" s="4516"/>
      <c r="F241" s="4414"/>
      <c r="G241" s="2556">
        <v>50000000</v>
      </c>
      <c r="H241" s="2556" t="s">
        <v>4397</v>
      </c>
      <c r="I241" s="1856" t="s">
        <v>1937</v>
      </c>
      <c r="J241" s="4322"/>
      <c r="K241" s="4322"/>
      <c r="L241" s="4684"/>
    </row>
    <row r="242" spans="1:12" ht="30" customHeight="1" x14ac:dyDescent="0.2">
      <c r="A242" s="4464"/>
      <c r="B242" s="4600"/>
      <c r="C242" s="4540"/>
      <c r="D242" s="4414"/>
      <c r="E242" s="4516"/>
      <c r="F242" s="4414"/>
      <c r="G242" s="2076">
        <v>50000000</v>
      </c>
      <c r="H242" s="2076" t="s">
        <v>2125</v>
      </c>
      <c r="I242" s="2110" t="s">
        <v>1937</v>
      </c>
      <c r="J242" s="4322"/>
      <c r="K242" s="4322"/>
      <c r="L242" s="4684"/>
    </row>
    <row r="243" spans="1:12" ht="30" customHeight="1" x14ac:dyDescent="0.2">
      <c r="A243" s="4464"/>
      <c r="B243" s="4600"/>
      <c r="C243" s="4540"/>
      <c r="D243" s="4414"/>
      <c r="E243" s="4516"/>
      <c r="F243" s="4414"/>
      <c r="G243" s="2076">
        <v>26930000</v>
      </c>
      <c r="H243" s="2076" t="s">
        <v>4597</v>
      </c>
      <c r="I243" s="2110" t="s">
        <v>1937</v>
      </c>
      <c r="J243" s="4322"/>
      <c r="K243" s="4322"/>
      <c r="L243" s="4684"/>
    </row>
    <row r="244" spans="1:12" ht="30" customHeight="1" x14ac:dyDescent="0.2">
      <c r="A244" s="4464"/>
      <c r="B244" s="4600"/>
      <c r="C244" s="4540"/>
      <c r="D244" s="4414"/>
      <c r="E244" s="4516"/>
      <c r="F244" s="4414"/>
      <c r="G244" s="2076">
        <v>50000000</v>
      </c>
      <c r="H244" s="2076" t="s">
        <v>4621</v>
      </c>
      <c r="I244" s="2064" t="s">
        <v>1937</v>
      </c>
      <c r="J244" s="4322"/>
      <c r="K244" s="4322"/>
      <c r="L244" s="4684"/>
    </row>
    <row r="245" spans="1:12" ht="30" customHeight="1" x14ac:dyDescent="0.2">
      <c r="A245" s="4464"/>
      <c r="B245" s="4600"/>
      <c r="C245" s="4540"/>
      <c r="D245" s="4414"/>
      <c r="E245" s="4516"/>
      <c r="F245" s="4414"/>
      <c r="G245" s="4799" t="s">
        <v>5094</v>
      </c>
      <c r="H245" s="4800"/>
      <c r="I245" s="4800"/>
      <c r="J245" s="4800"/>
      <c r="K245" s="4801"/>
      <c r="L245" s="4684"/>
    </row>
    <row r="246" spans="1:12" ht="30" customHeight="1" x14ac:dyDescent="0.2">
      <c r="A246" s="2105">
        <v>143</v>
      </c>
      <c r="B246" s="2717" t="s">
        <v>4148</v>
      </c>
      <c r="C246" s="2718"/>
      <c r="D246" s="2703">
        <v>50000000</v>
      </c>
      <c r="E246" s="2715">
        <v>0.04</v>
      </c>
      <c r="F246" s="2703">
        <f t="shared" si="26"/>
        <v>2000000</v>
      </c>
      <c r="G246" s="2703">
        <v>2000000</v>
      </c>
      <c r="H246" s="2703" t="s">
        <v>4451</v>
      </c>
      <c r="I246" s="26" t="s">
        <v>4259</v>
      </c>
      <c r="J246" s="2703">
        <f>G246</f>
        <v>2000000</v>
      </c>
      <c r="K246" s="2703">
        <f t="shared" ref="K246:K252" si="27">F246-J246</f>
        <v>0</v>
      </c>
      <c r="L246" s="2135" t="s">
        <v>4459</v>
      </c>
    </row>
    <row r="247" spans="1:12" ht="30" customHeight="1" x14ac:dyDescent="0.2">
      <c r="A247" s="2105">
        <v>144</v>
      </c>
      <c r="B247" s="2106" t="s">
        <v>514</v>
      </c>
      <c r="C247" s="2086"/>
      <c r="D247" s="2076">
        <v>5000000</v>
      </c>
      <c r="E247" s="2103">
        <v>0.05</v>
      </c>
      <c r="F247" s="2076">
        <f t="shared" si="26"/>
        <v>250000</v>
      </c>
      <c r="G247" s="2076">
        <v>250000</v>
      </c>
      <c r="H247" s="2076" t="s">
        <v>4464</v>
      </c>
      <c r="I247" s="21" t="s">
        <v>516</v>
      </c>
      <c r="J247" s="2076">
        <f>G247</f>
        <v>250000</v>
      </c>
      <c r="K247" s="2076">
        <f t="shared" si="27"/>
        <v>0</v>
      </c>
      <c r="L247" s="2106"/>
    </row>
    <row r="248" spans="1:12" ht="30" customHeight="1" x14ac:dyDescent="0.2">
      <c r="A248" s="2105">
        <v>145</v>
      </c>
      <c r="B248" s="2106" t="s">
        <v>10</v>
      </c>
      <c r="C248" s="2086" t="s">
        <v>1172</v>
      </c>
      <c r="D248" s="2076">
        <v>100000000</v>
      </c>
      <c r="E248" s="2103">
        <v>0.05</v>
      </c>
      <c r="F248" s="2076">
        <f t="shared" si="26"/>
        <v>5000000</v>
      </c>
      <c r="G248" s="2076">
        <v>5000000</v>
      </c>
      <c r="H248" s="2076" t="s">
        <v>4404</v>
      </c>
      <c r="I248" s="18" t="s">
        <v>3525</v>
      </c>
      <c r="J248" s="2076">
        <f>G248</f>
        <v>5000000</v>
      </c>
      <c r="K248" s="2076">
        <f t="shared" si="27"/>
        <v>0</v>
      </c>
      <c r="L248" s="2106"/>
    </row>
    <row r="249" spans="1:12" ht="30" customHeight="1" x14ac:dyDescent="0.2">
      <c r="A249" s="2105">
        <v>146</v>
      </c>
      <c r="B249" s="2106" t="s">
        <v>11</v>
      </c>
      <c r="C249" s="2086"/>
      <c r="D249" s="2076">
        <v>50000000</v>
      </c>
      <c r="E249" s="2103">
        <v>4.4999999999999998E-2</v>
      </c>
      <c r="F249" s="2076">
        <f t="shared" si="26"/>
        <v>2250000</v>
      </c>
      <c r="G249" s="2076"/>
      <c r="H249" s="2076"/>
      <c r="I249" s="21"/>
      <c r="J249" s="2076"/>
      <c r="K249" s="2076">
        <f t="shared" si="27"/>
        <v>2250000</v>
      </c>
      <c r="L249" s="2106"/>
    </row>
    <row r="250" spans="1:12" ht="30" customHeight="1" x14ac:dyDescent="0.2">
      <c r="A250" s="4459">
        <v>147</v>
      </c>
      <c r="B250" s="4457" t="s">
        <v>12</v>
      </c>
      <c r="C250" s="4537" t="s">
        <v>1295</v>
      </c>
      <c r="D250" s="2076">
        <v>60000000</v>
      </c>
      <c r="E250" s="2103">
        <v>0.05</v>
      </c>
      <c r="F250" s="2076">
        <f t="shared" si="26"/>
        <v>3000000</v>
      </c>
      <c r="G250" s="2064">
        <v>3000000</v>
      </c>
      <c r="H250" s="2064" t="s">
        <v>4333</v>
      </c>
      <c r="I250" s="26" t="s">
        <v>4355</v>
      </c>
      <c r="J250" s="2064">
        <f>G250</f>
        <v>3000000</v>
      </c>
      <c r="K250" s="2064">
        <f t="shared" si="27"/>
        <v>0</v>
      </c>
      <c r="L250" s="2134"/>
    </row>
    <row r="251" spans="1:12" ht="30" customHeight="1" x14ac:dyDescent="0.2">
      <c r="A251" s="4460"/>
      <c r="B251" s="4458"/>
      <c r="C251" s="4538"/>
      <c r="D251" s="2444">
        <v>70000000</v>
      </c>
      <c r="E251" s="2448">
        <v>0.05</v>
      </c>
      <c r="F251" s="2444">
        <f t="shared" si="26"/>
        <v>3500000</v>
      </c>
      <c r="G251" s="2443"/>
      <c r="H251" s="2443"/>
      <c r="I251" s="26"/>
      <c r="J251" s="2443"/>
      <c r="K251" s="2443"/>
      <c r="L251" s="2015" t="s">
        <v>4673</v>
      </c>
    </row>
    <row r="252" spans="1:12" ht="30" customHeight="1" x14ac:dyDescent="0.2">
      <c r="A252" s="2065">
        <v>148</v>
      </c>
      <c r="B252" s="2108" t="s">
        <v>13</v>
      </c>
      <c r="C252" s="2107" t="s">
        <v>371</v>
      </c>
      <c r="D252" s="2064">
        <v>50000000</v>
      </c>
      <c r="E252" s="2103">
        <v>0.05</v>
      </c>
      <c r="F252" s="2064">
        <f t="shared" si="26"/>
        <v>2500000</v>
      </c>
      <c r="G252" s="2064">
        <v>2500000</v>
      </c>
      <c r="H252" s="2064" t="s">
        <v>4451</v>
      </c>
      <c r="I252" s="2110" t="s">
        <v>1401</v>
      </c>
      <c r="J252" s="2064">
        <f t="shared" ref="J252:J257" si="28">G252</f>
        <v>2500000</v>
      </c>
      <c r="K252" s="2064">
        <f t="shared" si="27"/>
        <v>0</v>
      </c>
      <c r="L252" s="2015"/>
    </row>
    <row r="253" spans="1:12" ht="30" customHeight="1" x14ac:dyDescent="0.2">
      <c r="A253" s="2105">
        <v>149</v>
      </c>
      <c r="B253" s="2106" t="s">
        <v>14</v>
      </c>
      <c r="C253" s="2086" t="s">
        <v>1291</v>
      </c>
      <c r="D253" s="2076">
        <v>80000000</v>
      </c>
      <c r="E253" s="2079">
        <v>0.05</v>
      </c>
      <c r="F253" s="2076">
        <f t="shared" si="26"/>
        <v>4000000</v>
      </c>
      <c r="G253" s="2076">
        <v>4000000</v>
      </c>
      <c r="H253" s="2076" t="s">
        <v>3865</v>
      </c>
      <c r="I253" s="2142" t="s">
        <v>2580</v>
      </c>
      <c r="J253" s="2076">
        <f t="shared" si="28"/>
        <v>4000000</v>
      </c>
      <c r="K253" s="2076">
        <f t="shared" ref="K253:K258" si="29">F253-J253</f>
        <v>0</v>
      </c>
      <c r="L253" s="2015" t="s">
        <v>357</v>
      </c>
    </row>
    <row r="254" spans="1:12" ht="30" customHeight="1" x14ac:dyDescent="0.2">
      <c r="A254" s="2105">
        <v>150</v>
      </c>
      <c r="B254" s="2106" t="s">
        <v>15</v>
      </c>
      <c r="C254" s="2086" t="s">
        <v>1294</v>
      </c>
      <c r="D254" s="2076">
        <v>160000000</v>
      </c>
      <c r="E254" s="2103">
        <v>0.04</v>
      </c>
      <c r="F254" s="2076">
        <f t="shared" si="26"/>
        <v>6400000</v>
      </c>
      <c r="G254" s="2076">
        <v>6400000</v>
      </c>
      <c r="H254" s="2076" t="s">
        <v>4477</v>
      </c>
      <c r="I254" s="21" t="s">
        <v>2986</v>
      </c>
      <c r="J254" s="2076">
        <f t="shared" si="28"/>
        <v>6400000</v>
      </c>
      <c r="K254" s="2076">
        <f t="shared" si="29"/>
        <v>0</v>
      </c>
      <c r="L254" s="2073" t="s">
        <v>2987</v>
      </c>
    </row>
    <row r="255" spans="1:12" ht="30" customHeight="1" x14ac:dyDescent="0.2">
      <c r="A255" s="2105">
        <v>151</v>
      </c>
      <c r="B255" s="2106" t="s">
        <v>16</v>
      </c>
      <c r="C255" s="2086" t="s">
        <v>1107</v>
      </c>
      <c r="D255" s="2076">
        <v>180000000</v>
      </c>
      <c r="E255" s="2103">
        <v>0.05</v>
      </c>
      <c r="F255" s="2076">
        <f t="shared" si="26"/>
        <v>9000000</v>
      </c>
      <c r="G255" s="2076">
        <v>9000000</v>
      </c>
      <c r="H255" s="2076" t="s">
        <v>3003</v>
      </c>
      <c r="I255" s="21" t="s">
        <v>2149</v>
      </c>
      <c r="J255" s="2076">
        <f t="shared" si="28"/>
        <v>9000000</v>
      </c>
      <c r="K255" s="2076">
        <f t="shared" si="29"/>
        <v>0</v>
      </c>
      <c r="L255" s="2106"/>
    </row>
    <row r="256" spans="1:12" ht="30" customHeight="1" x14ac:dyDescent="0.2">
      <c r="A256" s="2105">
        <v>153</v>
      </c>
      <c r="B256" s="2106" t="s">
        <v>17</v>
      </c>
      <c r="C256" s="2086"/>
      <c r="D256" s="2076">
        <v>30000000</v>
      </c>
      <c r="E256" s="2103">
        <v>0.04</v>
      </c>
      <c r="F256" s="2076">
        <f t="shared" si="26"/>
        <v>1200000</v>
      </c>
      <c r="G256" s="2076">
        <v>1200000</v>
      </c>
      <c r="H256" s="2076" t="s">
        <v>4598</v>
      </c>
      <c r="I256" s="21" t="s">
        <v>1143</v>
      </c>
      <c r="J256" s="2076">
        <f t="shared" si="28"/>
        <v>1200000</v>
      </c>
      <c r="K256" s="2076">
        <f t="shared" si="29"/>
        <v>0</v>
      </c>
      <c r="L256" s="2106"/>
    </row>
    <row r="257" spans="1:16" ht="30" customHeight="1" x14ac:dyDescent="0.2">
      <c r="A257" s="2105">
        <v>154</v>
      </c>
      <c r="B257" s="2106" t="s">
        <v>18</v>
      </c>
      <c r="C257" s="2086" t="s">
        <v>1796</v>
      </c>
      <c r="D257" s="2076">
        <v>15000000</v>
      </c>
      <c r="E257" s="2103">
        <v>7.0000000000000007E-2</v>
      </c>
      <c r="F257" s="2076">
        <f t="shared" si="26"/>
        <v>1050000</v>
      </c>
      <c r="G257" s="2076">
        <v>1050000</v>
      </c>
      <c r="H257" s="2076" t="s">
        <v>4771</v>
      </c>
      <c r="I257" s="21" t="s">
        <v>1278</v>
      </c>
      <c r="J257" s="2076">
        <f t="shared" si="28"/>
        <v>1050000</v>
      </c>
      <c r="K257" s="2076">
        <f t="shared" si="29"/>
        <v>0</v>
      </c>
      <c r="L257" s="2106"/>
    </row>
    <row r="258" spans="1:16" ht="30" customHeight="1" x14ac:dyDescent="0.2">
      <c r="A258" s="2105">
        <v>155</v>
      </c>
      <c r="B258" s="2106" t="s">
        <v>19</v>
      </c>
      <c r="C258" s="2086"/>
      <c r="D258" s="2081"/>
      <c r="E258" s="40"/>
      <c r="F258" s="2081">
        <f t="shared" si="26"/>
        <v>0</v>
      </c>
      <c r="G258" s="2076"/>
      <c r="H258" s="2076"/>
      <c r="I258" s="21"/>
      <c r="J258" s="2076"/>
      <c r="K258" s="2081">
        <f t="shared" si="29"/>
        <v>0</v>
      </c>
      <c r="L258" s="2106"/>
    </row>
    <row r="259" spans="1:16" ht="30" customHeight="1" x14ac:dyDescent="0.2">
      <c r="A259" s="2065">
        <v>156</v>
      </c>
      <c r="B259" s="2108" t="s">
        <v>20</v>
      </c>
      <c r="C259" s="378"/>
      <c r="D259" s="2064">
        <v>50000000</v>
      </c>
      <c r="E259" s="2103">
        <v>0.04</v>
      </c>
      <c r="F259" s="2064">
        <f t="shared" si="26"/>
        <v>2000000</v>
      </c>
      <c r="G259" s="2076">
        <v>1500000</v>
      </c>
      <c r="H259" s="2076" t="s">
        <v>4477</v>
      </c>
      <c r="I259" s="18" t="s">
        <v>3664</v>
      </c>
      <c r="J259" s="2064">
        <f>G259</f>
        <v>1500000</v>
      </c>
      <c r="K259" s="2064">
        <f>F259-500000-G259</f>
        <v>0</v>
      </c>
      <c r="L259" s="2073"/>
      <c r="M259" s="366"/>
      <c r="N259" s="366"/>
      <c r="O259" s="366"/>
      <c r="P259" s="366"/>
    </row>
    <row r="260" spans="1:16" ht="30" customHeight="1" x14ac:dyDescent="0.2">
      <c r="A260" s="2105">
        <v>157</v>
      </c>
      <c r="B260" s="2106" t="s">
        <v>21</v>
      </c>
      <c r="C260" s="2086" t="s">
        <v>1294</v>
      </c>
      <c r="D260" s="2076">
        <v>20000000</v>
      </c>
      <c r="E260" s="2079">
        <v>0.05</v>
      </c>
      <c r="F260" s="2076">
        <f t="shared" si="26"/>
        <v>1000000</v>
      </c>
      <c r="G260" s="2076">
        <v>1000000</v>
      </c>
      <c r="H260" s="2076" t="s">
        <v>1017</v>
      </c>
      <c r="I260" s="21" t="s">
        <v>4525</v>
      </c>
      <c r="J260" s="2076">
        <f>G260</f>
        <v>1000000</v>
      </c>
      <c r="K260" s="2076">
        <f>F260-J260</f>
        <v>0</v>
      </c>
      <c r="L260" s="2106"/>
      <c r="M260" s="366"/>
      <c r="N260" s="366"/>
      <c r="O260" s="366"/>
      <c r="P260" s="366"/>
    </row>
    <row r="261" spans="1:16" ht="30" customHeight="1" x14ac:dyDescent="0.2">
      <c r="A261" s="4459"/>
      <c r="B261" s="4457" t="s">
        <v>822</v>
      </c>
      <c r="C261" s="4537" t="s">
        <v>1306</v>
      </c>
      <c r="D261" s="2076">
        <v>160000000</v>
      </c>
      <c r="E261" s="2103">
        <v>0.05</v>
      </c>
      <c r="F261" s="2076">
        <f>D261*E261</f>
        <v>8000000</v>
      </c>
      <c r="G261" s="4793" t="s">
        <v>5164</v>
      </c>
      <c r="H261" s="4794"/>
      <c r="I261" s="4794"/>
      <c r="J261" s="4795"/>
      <c r="K261" s="4413">
        <f>(F261+F262)-J261</f>
        <v>9200000</v>
      </c>
      <c r="L261" s="233"/>
      <c r="M261" s="233"/>
      <c r="N261" s="233"/>
      <c r="O261" s="233"/>
      <c r="P261" s="233"/>
    </row>
    <row r="262" spans="1:16" ht="30" customHeight="1" x14ac:dyDescent="0.2">
      <c r="A262" s="4464"/>
      <c r="B262" s="4488"/>
      <c r="C262" s="4538"/>
      <c r="D262" s="2076">
        <v>22000000</v>
      </c>
      <c r="E262" s="2103">
        <v>5.5E-2</v>
      </c>
      <c r="F262" s="2076">
        <v>1200000</v>
      </c>
      <c r="G262" s="4799"/>
      <c r="H262" s="4800"/>
      <c r="I262" s="4800"/>
      <c r="J262" s="4801"/>
      <c r="K262" s="4415"/>
      <c r="L262" s="2106"/>
      <c r="M262" s="366"/>
      <c r="N262" s="366"/>
      <c r="O262" s="366"/>
      <c r="P262" s="366"/>
    </row>
    <row r="263" spans="1:16" ht="30" customHeight="1" x14ac:dyDescent="0.2">
      <c r="A263" s="4464"/>
      <c r="B263" s="4488"/>
      <c r="C263" s="4537" t="s">
        <v>1306</v>
      </c>
      <c r="D263" s="2566">
        <v>160000000</v>
      </c>
      <c r="E263" s="897">
        <v>0.05</v>
      </c>
      <c r="F263" s="2566">
        <f>D263*E263</f>
        <v>8000000</v>
      </c>
      <c r="G263" s="2563"/>
      <c r="H263" s="2564"/>
      <c r="I263" s="2564"/>
      <c r="J263" s="2565"/>
      <c r="K263" s="2560"/>
      <c r="L263" s="2562"/>
      <c r="M263" s="366"/>
      <c r="N263" s="366"/>
      <c r="O263" s="366"/>
      <c r="P263" s="366"/>
    </row>
    <row r="264" spans="1:16" ht="30" customHeight="1" x14ac:dyDescent="0.2">
      <c r="A264" s="4460"/>
      <c r="B264" s="4458"/>
      <c r="C264" s="4538"/>
      <c r="D264" s="2566">
        <f>22000000+9200000+13800000</f>
        <v>45000000</v>
      </c>
      <c r="E264" s="897">
        <v>0.06</v>
      </c>
      <c r="F264" s="2566">
        <f>D264*E264</f>
        <v>2700000</v>
      </c>
      <c r="G264" s="2560"/>
      <c r="H264" s="2560"/>
      <c r="I264" s="2561"/>
      <c r="J264" s="2560"/>
      <c r="K264" s="2560"/>
      <c r="L264" s="2562"/>
      <c r="M264" s="366"/>
      <c r="N264" s="366"/>
      <c r="O264" s="366"/>
      <c r="P264" s="366"/>
    </row>
    <row r="265" spans="1:16" ht="30" customHeight="1" x14ac:dyDescent="0.2">
      <c r="A265" s="4459">
        <v>159</v>
      </c>
      <c r="B265" s="4457" t="s">
        <v>22</v>
      </c>
      <c r="C265" s="4537" t="s">
        <v>1300</v>
      </c>
      <c r="D265" s="4413">
        <v>25000000</v>
      </c>
      <c r="E265" s="4476">
        <v>0.05</v>
      </c>
      <c r="F265" s="4413">
        <f t="shared" si="26"/>
        <v>1250000</v>
      </c>
      <c r="G265" s="2076">
        <v>1250000</v>
      </c>
      <c r="H265" s="2076" t="s">
        <v>4451</v>
      </c>
      <c r="I265" s="21" t="s">
        <v>2192</v>
      </c>
      <c r="J265" s="2076">
        <f t="shared" ref="J265:J271" si="30">G265</f>
        <v>1250000</v>
      </c>
      <c r="K265" s="2076">
        <f t="shared" ref="K265:K278" si="31">F265-J265</f>
        <v>0</v>
      </c>
      <c r="L265" s="388" t="s">
        <v>4662</v>
      </c>
      <c r="M265" s="366"/>
      <c r="N265" s="366"/>
      <c r="O265" s="366"/>
      <c r="P265" s="366"/>
    </row>
    <row r="266" spans="1:16" ht="30" customHeight="1" x14ac:dyDescent="0.2">
      <c r="A266" s="4460"/>
      <c r="B266" s="4458"/>
      <c r="C266" s="4538"/>
      <c r="D266" s="4415"/>
      <c r="E266" s="4477"/>
      <c r="F266" s="4415"/>
      <c r="G266" s="3391">
        <v>1250000</v>
      </c>
      <c r="H266" s="3391"/>
      <c r="I266" s="3393"/>
      <c r="J266" s="3391"/>
      <c r="K266" s="3391"/>
      <c r="L266" s="388" t="s">
        <v>5263</v>
      </c>
      <c r="M266" s="366"/>
      <c r="N266" s="366"/>
      <c r="O266" s="366"/>
      <c r="P266" s="366"/>
    </row>
    <row r="267" spans="1:16" ht="30" customHeight="1" x14ac:dyDescent="0.2">
      <c r="A267" s="2105">
        <v>160</v>
      </c>
      <c r="B267" s="2106" t="s">
        <v>23</v>
      </c>
      <c r="C267" s="2086"/>
      <c r="D267" s="2076">
        <v>55000000</v>
      </c>
      <c r="E267" s="2103">
        <v>0.05</v>
      </c>
      <c r="F267" s="2076">
        <f t="shared" si="26"/>
        <v>2750000</v>
      </c>
      <c r="G267" s="2076"/>
      <c r="H267" s="2076"/>
      <c r="I267" s="21"/>
      <c r="J267" s="2076">
        <f t="shared" si="30"/>
        <v>0</v>
      </c>
      <c r="K267" s="2076">
        <f t="shared" si="31"/>
        <v>2750000</v>
      </c>
      <c r="L267" s="2106"/>
      <c r="M267" s="366"/>
      <c r="N267" s="366"/>
      <c r="O267" s="366"/>
      <c r="P267" s="366"/>
    </row>
    <row r="268" spans="1:16" ht="30" customHeight="1" x14ac:dyDescent="0.2">
      <c r="A268" s="2105">
        <v>161</v>
      </c>
      <c r="B268" s="2108" t="s">
        <v>24</v>
      </c>
      <c r="C268" s="2107" t="s">
        <v>1306</v>
      </c>
      <c r="D268" s="2076">
        <v>20000000</v>
      </c>
      <c r="E268" s="2103">
        <v>4.4999999999999998E-2</v>
      </c>
      <c r="F268" s="2076">
        <f t="shared" si="26"/>
        <v>900000</v>
      </c>
      <c r="G268" s="2076">
        <v>900000</v>
      </c>
      <c r="H268" s="2076" t="s">
        <v>4598</v>
      </c>
      <c r="I268" s="21" t="s">
        <v>4603</v>
      </c>
      <c r="J268" s="2076">
        <f t="shared" si="30"/>
        <v>900000</v>
      </c>
      <c r="K268" s="2076">
        <f t="shared" si="31"/>
        <v>0</v>
      </c>
      <c r="L268" s="2106"/>
      <c r="M268" s="366"/>
      <c r="N268" s="366"/>
      <c r="O268" s="366"/>
      <c r="P268" s="366"/>
    </row>
    <row r="269" spans="1:16" ht="30" customHeight="1" x14ac:dyDescent="0.2">
      <c r="A269" s="2105">
        <v>162</v>
      </c>
      <c r="B269" s="2106" t="s">
        <v>25</v>
      </c>
      <c r="C269" s="2086" t="s">
        <v>1306</v>
      </c>
      <c r="D269" s="2076">
        <v>180000000</v>
      </c>
      <c r="E269" s="2103">
        <v>0.05</v>
      </c>
      <c r="F269" s="2076">
        <f t="shared" si="26"/>
        <v>9000000</v>
      </c>
      <c r="G269" s="2076">
        <v>9000000</v>
      </c>
      <c r="H269" s="2076" t="s">
        <v>4542</v>
      </c>
      <c r="I269" s="21" t="s">
        <v>4578</v>
      </c>
      <c r="J269" s="2076">
        <f t="shared" si="30"/>
        <v>9000000</v>
      </c>
      <c r="K269" s="2076">
        <f t="shared" si="31"/>
        <v>0</v>
      </c>
      <c r="L269" s="2106"/>
      <c r="M269" s="366"/>
      <c r="N269" s="366"/>
      <c r="O269" s="366"/>
      <c r="P269" s="366"/>
    </row>
    <row r="270" spans="1:16" ht="30" customHeight="1" x14ac:dyDescent="0.2">
      <c r="A270" s="4459">
        <v>163</v>
      </c>
      <c r="B270" s="4457" t="s">
        <v>828</v>
      </c>
      <c r="C270" s="4537" t="s">
        <v>1306</v>
      </c>
      <c r="D270" s="2076">
        <v>200000000</v>
      </c>
      <c r="E270" s="2103">
        <v>0.06</v>
      </c>
      <c r="F270" s="2076">
        <f t="shared" si="26"/>
        <v>12000000</v>
      </c>
      <c r="G270" s="2076">
        <v>10000000</v>
      </c>
      <c r="H270" s="2076" t="s">
        <v>2125</v>
      </c>
      <c r="I270" s="21" t="s">
        <v>3732</v>
      </c>
      <c r="J270" s="2076">
        <f t="shared" si="30"/>
        <v>10000000</v>
      </c>
      <c r="K270" s="2076">
        <f t="shared" si="31"/>
        <v>2000000</v>
      </c>
      <c r="L270" s="388" t="s">
        <v>4625</v>
      </c>
      <c r="M270" s="366"/>
      <c r="N270" s="366"/>
      <c r="O270" s="366"/>
      <c r="P270" s="366"/>
    </row>
    <row r="271" spans="1:16" ht="30" customHeight="1" x14ac:dyDescent="0.2">
      <c r="A271" s="4464"/>
      <c r="B271" s="4488"/>
      <c r="C271" s="4540"/>
      <c r="D271" s="2548">
        <v>50000000</v>
      </c>
      <c r="E271" s="2549">
        <v>7.0000000000000007E-2</v>
      </c>
      <c r="F271" s="2548">
        <f t="shared" si="26"/>
        <v>3500000.0000000005</v>
      </c>
      <c r="G271" s="2548">
        <v>7000000</v>
      </c>
      <c r="H271" s="2548" t="s">
        <v>4621</v>
      </c>
      <c r="I271" s="21" t="s">
        <v>3732</v>
      </c>
      <c r="J271" s="2548">
        <f t="shared" si="30"/>
        <v>7000000</v>
      </c>
      <c r="K271" s="2548">
        <f t="shared" si="31"/>
        <v>-3499999.9999999995</v>
      </c>
      <c r="L271" s="388" t="s">
        <v>4626</v>
      </c>
      <c r="M271" s="366"/>
      <c r="N271" s="366"/>
      <c r="O271" s="366"/>
      <c r="P271" s="366"/>
    </row>
    <row r="272" spans="1:16" ht="30" customHeight="1" x14ac:dyDescent="0.2">
      <c r="A272" s="4460"/>
      <c r="B272" s="4458"/>
      <c r="C272" s="4538"/>
      <c r="D272" s="2571">
        <v>100000000</v>
      </c>
      <c r="E272" s="2576">
        <v>7.0000000000000007E-2</v>
      </c>
      <c r="F272" s="2571">
        <f t="shared" si="26"/>
        <v>7000000.0000000009</v>
      </c>
      <c r="G272" s="2571"/>
      <c r="H272" s="2571"/>
      <c r="I272" s="21"/>
      <c r="J272" s="2571"/>
      <c r="K272" s="2571"/>
      <c r="L272" s="388" t="s">
        <v>4629</v>
      </c>
      <c r="M272" s="366"/>
      <c r="N272" s="366"/>
      <c r="O272" s="366"/>
      <c r="P272" s="366"/>
    </row>
    <row r="273" spans="1:16" ht="30" customHeight="1" x14ac:dyDescent="0.2">
      <c r="A273" s="2105">
        <v>164</v>
      </c>
      <c r="B273" s="2106" t="s">
        <v>26</v>
      </c>
      <c r="C273" s="2086"/>
      <c r="D273" s="2076">
        <v>50000000</v>
      </c>
      <c r="E273" s="2103">
        <v>0.05</v>
      </c>
      <c r="F273" s="2076">
        <f t="shared" si="26"/>
        <v>2500000</v>
      </c>
      <c r="G273" s="2076">
        <v>2500000</v>
      </c>
      <c r="H273" s="2076" t="s">
        <v>4542</v>
      </c>
      <c r="I273" s="21" t="s">
        <v>741</v>
      </c>
      <c r="J273" s="2076">
        <f t="shared" ref="J273:J281" si="32">G273</f>
        <v>2500000</v>
      </c>
      <c r="K273" s="2076">
        <f t="shared" si="31"/>
        <v>0</v>
      </c>
      <c r="L273" s="2106"/>
      <c r="M273" s="366"/>
      <c r="N273" s="366"/>
      <c r="O273" s="366"/>
      <c r="P273" s="366"/>
    </row>
    <row r="274" spans="1:16" ht="30" customHeight="1" x14ac:dyDescent="0.2">
      <c r="A274" s="2105">
        <v>165</v>
      </c>
      <c r="B274" s="2106" t="s">
        <v>27</v>
      </c>
      <c r="C274" s="2086" t="s">
        <v>681</v>
      </c>
      <c r="D274" s="2076">
        <v>20000000</v>
      </c>
      <c r="E274" s="2103">
        <v>0.04</v>
      </c>
      <c r="F274" s="2076">
        <f t="shared" si="26"/>
        <v>800000</v>
      </c>
      <c r="G274" s="2076">
        <v>800000</v>
      </c>
      <c r="H274" s="2076" t="s">
        <v>4598</v>
      </c>
      <c r="I274" s="21" t="s">
        <v>3740</v>
      </c>
      <c r="J274" s="2076">
        <f t="shared" si="32"/>
        <v>800000</v>
      </c>
      <c r="K274" s="2076">
        <f t="shared" si="31"/>
        <v>0</v>
      </c>
      <c r="L274" s="2106"/>
      <c r="M274" s="366"/>
      <c r="N274" s="366"/>
      <c r="O274" s="366"/>
      <c r="P274" s="366"/>
    </row>
    <row r="275" spans="1:16" ht="30" customHeight="1" x14ac:dyDescent="0.2">
      <c r="A275" s="2105">
        <v>166</v>
      </c>
      <c r="B275" s="2106" t="s">
        <v>28</v>
      </c>
      <c r="C275" s="2086" t="s">
        <v>551</v>
      </c>
      <c r="D275" s="2076">
        <v>100000000</v>
      </c>
      <c r="E275" s="2103">
        <v>0.05</v>
      </c>
      <c r="F275" s="2076">
        <f t="shared" si="26"/>
        <v>5000000</v>
      </c>
      <c r="G275" s="2076">
        <v>5000000</v>
      </c>
      <c r="H275" s="2076" t="s">
        <v>1017</v>
      </c>
      <c r="I275" s="26" t="s">
        <v>4125</v>
      </c>
      <c r="J275" s="2076">
        <f t="shared" si="32"/>
        <v>5000000</v>
      </c>
      <c r="K275" s="2076">
        <f t="shared" si="31"/>
        <v>0</v>
      </c>
      <c r="L275" s="2106"/>
      <c r="M275" s="366"/>
      <c r="N275" s="366"/>
      <c r="O275" s="366"/>
      <c r="P275" s="366"/>
    </row>
    <row r="276" spans="1:16" ht="30" customHeight="1" x14ac:dyDescent="0.2">
      <c r="A276" s="2105">
        <v>167</v>
      </c>
      <c r="B276" s="2106" t="s">
        <v>737</v>
      </c>
      <c r="C276" s="2086" t="s">
        <v>1306</v>
      </c>
      <c r="D276" s="2076">
        <v>50000000</v>
      </c>
      <c r="E276" s="2103">
        <v>0.05</v>
      </c>
      <c r="F276" s="2076">
        <f t="shared" si="26"/>
        <v>2500000</v>
      </c>
      <c r="G276" s="2076">
        <v>2500000</v>
      </c>
      <c r="H276" s="2076" t="s">
        <v>1017</v>
      </c>
      <c r="I276" s="21" t="s">
        <v>739</v>
      </c>
      <c r="J276" s="2076">
        <f t="shared" si="32"/>
        <v>2500000</v>
      </c>
      <c r="K276" s="2076">
        <f t="shared" si="31"/>
        <v>0</v>
      </c>
      <c r="L276" s="2106"/>
      <c r="M276" s="366"/>
      <c r="N276" s="366"/>
      <c r="O276" s="366"/>
      <c r="P276" s="366"/>
    </row>
    <row r="277" spans="1:16" ht="30" customHeight="1" x14ac:dyDescent="0.2">
      <c r="A277" s="2105">
        <v>168</v>
      </c>
      <c r="B277" s="2106" t="s">
        <v>818</v>
      </c>
      <c r="C277" s="2086" t="s">
        <v>1306</v>
      </c>
      <c r="D277" s="2076">
        <v>50000000</v>
      </c>
      <c r="E277" s="2103">
        <v>7.0000000000000007E-2</v>
      </c>
      <c r="F277" s="2076">
        <f t="shared" si="26"/>
        <v>3500000.0000000005</v>
      </c>
      <c r="G277" s="2076">
        <v>3500000</v>
      </c>
      <c r="H277" s="2076" t="s">
        <v>2125</v>
      </c>
      <c r="I277" s="21" t="s">
        <v>3085</v>
      </c>
      <c r="J277" s="2076">
        <f t="shared" si="32"/>
        <v>3500000</v>
      </c>
      <c r="K277" s="2076">
        <f t="shared" si="31"/>
        <v>0</v>
      </c>
      <c r="L277" s="2106"/>
      <c r="M277" s="366"/>
      <c r="N277" s="366"/>
      <c r="O277" s="366"/>
      <c r="P277" s="366"/>
    </row>
    <row r="278" spans="1:16" ht="30" customHeight="1" x14ac:dyDescent="0.2">
      <c r="A278" s="2141"/>
      <c r="B278" s="2108" t="s">
        <v>29</v>
      </c>
      <c r="C278" s="711"/>
      <c r="D278" s="2076">
        <v>20000000</v>
      </c>
      <c r="E278" s="2103">
        <v>0.05</v>
      </c>
      <c r="F278" s="2076">
        <f>D278*E278</f>
        <v>1000000</v>
      </c>
      <c r="G278" s="2076">
        <v>1000000</v>
      </c>
      <c r="H278" s="2076" t="s">
        <v>4598</v>
      </c>
      <c r="I278" s="2076" t="s">
        <v>848</v>
      </c>
      <c r="J278" s="2076">
        <f t="shared" si="32"/>
        <v>1000000</v>
      </c>
      <c r="K278" s="2076">
        <f t="shared" si="31"/>
        <v>0</v>
      </c>
      <c r="L278" s="4469"/>
      <c r="M278" s="4470"/>
      <c r="N278" s="4470"/>
      <c r="O278" s="4470"/>
      <c r="P278" s="4471"/>
    </row>
    <row r="279" spans="1:16" ht="30" customHeight="1" x14ac:dyDescent="0.2">
      <c r="A279" s="2105">
        <v>170</v>
      </c>
      <c r="B279" s="2106" t="s">
        <v>30</v>
      </c>
      <c r="C279" s="2086" t="s">
        <v>1107</v>
      </c>
      <c r="D279" s="2076">
        <v>70000000</v>
      </c>
      <c r="E279" s="2103">
        <v>0.05</v>
      </c>
      <c r="F279" s="2076">
        <f t="shared" si="26"/>
        <v>3500000</v>
      </c>
      <c r="G279" s="2076">
        <v>3500000</v>
      </c>
      <c r="H279" s="2076" t="s">
        <v>4598</v>
      </c>
      <c r="I279" s="21" t="s">
        <v>4140</v>
      </c>
      <c r="J279" s="2076">
        <f t="shared" si="32"/>
        <v>3500000</v>
      </c>
      <c r="K279" s="2076">
        <f>F279-J279</f>
        <v>0</v>
      </c>
      <c r="L279" s="2106"/>
      <c r="M279" s="366"/>
      <c r="N279" s="366"/>
      <c r="O279" s="366"/>
      <c r="P279" s="366"/>
    </row>
    <row r="280" spans="1:16" ht="30" customHeight="1" x14ac:dyDescent="0.2">
      <c r="A280" s="2105">
        <v>171</v>
      </c>
      <c r="B280" s="2106" t="s">
        <v>31</v>
      </c>
      <c r="C280" s="2086" t="s">
        <v>1293</v>
      </c>
      <c r="D280" s="2076">
        <v>10000000</v>
      </c>
      <c r="E280" s="2103">
        <v>0.04</v>
      </c>
      <c r="F280" s="2076">
        <f>D280*E280</f>
        <v>400000</v>
      </c>
      <c r="G280" s="2076">
        <v>400000</v>
      </c>
      <c r="H280" s="2076" t="s">
        <v>4363</v>
      </c>
      <c r="I280" s="21" t="s">
        <v>670</v>
      </c>
      <c r="J280" s="2076">
        <f t="shared" si="32"/>
        <v>400000</v>
      </c>
      <c r="K280" s="2076">
        <f>F280-J280</f>
        <v>0</v>
      </c>
      <c r="L280" s="2135"/>
    </row>
    <row r="281" spans="1:16" ht="30" customHeight="1" x14ac:dyDescent="0.2">
      <c r="A281" s="2065">
        <v>172</v>
      </c>
      <c r="B281" s="2108" t="s">
        <v>32</v>
      </c>
      <c r="C281" s="2645" t="s">
        <v>989</v>
      </c>
      <c r="D281" s="2076">
        <v>5000000</v>
      </c>
      <c r="E281" s="2103">
        <v>0.06</v>
      </c>
      <c r="F281" s="2076">
        <f t="shared" si="26"/>
        <v>300000</v>
      </c>
      <c r="G281" s="2076">
        <v>300000</v>
      </c>
      <c r="H281" s="2076" t="s">
        <v>4788</v>
      </c>
      <c r="I281" s="21" t="s">
        <v>632</v>
      </c>
      <c r="J281" s="2076">
        <f t="shared" si="32"/>
        <v>300000</v>
      </c>
      <c r="K281" s="2076">
        <f>F281-J281</f>
        <v>0</v>
      </c>
      <c r="L281" s="388" t="s">
        <v>3258</v>
      </c>
    </row>
    <row r="282" spans="1:16" ht="30" customHeight="1" x14ac:dyDescent="0.2">
      <c r="A282" s="4459">
        <v>173</v>
      </c>
      <c r="B282" s="4457" t="s">
        <v>33</v>
      </c>
      <c r="C282" s="4537" t="s">
        <v>1306</v>
      </c>
      <c r="D282" s="2076">
        <v>40000000</v>
      </c>
      <c r="E282" s="2103">
        <v>0.05</v>
      </c>
      <c r="F282" s="2076">
        <f t="shared" si="26"/>
        <v>2000000</v>
      </c>
      <c r="G282" s="2076">
        <v>2000000</v>
      </c>
      <c r="H282" s="2076" t="s">
        <v>4598</v>
      </c>
      <c r="I282" s="21" t="s">
        <v>838</v>
      </c>
      <c r="J282" s="2076">
        <f>G282</f>
        <v>2000000</v>
      </c>
      <c r="K282" s="2076">
        <f>F282-J282</f>
        <v>0</v>
      </c>
      <c r="L282" s="2106"/>
    </row>
    <row r="283" spans="1:16" ht="30" customHeight="1" x14ac:dyDescent="0.2">
      <c r="A283" s="4460"/>
      <c r="B283" s="4458"/>
      <c r="C283" s="4538"/>
      <c r="D283" s="3396">
        <v>10000000</v>
      </c>
      <c r="E283" s="3412">
        <v>0.05</v>
      </c>
      <c r="F283" s="3396">
        <f t="shared" si="26"/>
        <v>500000</v>
      </c>
      <c r="G283" s="3396"/>
      <c r="H283" s="3396"/>
      <c r="I283" s="3432"/>
      <c r="J283" s="3395"/>
      <c r="K283" s="3395"/>
      <c r="L283" s="1662" t="s">
        <v>5266</v>
      </c>
    </row>
    <row r="284" spans="1:16" ht="30" customHeight="1" x14ac:dyDescent="0.2">
      <c r="A284" s="4614"/>
      <c r="B284" s="4615" t="s">
        <v>4268</v>
      </c>
      <c r="C284" s="4620" t="s">
        <v>1287</v>
      </c>
      <c r="D284" s="4322">
        <v>5730000000</v>
      </c>
      <c r="E284" s="4608">
        <v>0.08</v>
      </c>
      <c r="F284" s="4322">
        <f>D284*E284</f>
        <v>458400000</v>
      </c>
      <c r="G284" s="2076"/>
      <c r="H284" s="2076"/>
      <c r="I284" s="21"/>
      <c r="J284" s="4413"/>
      <c r="K284" s="4413"/>
      <c r="L284" s="1662" t="s">
        <v>2324</v>
      </c>
    </row>
    <row r="285" spans="1:16" ht="30" customHeight="1" x14ac:dyDescent="0.2">
      <c r="A285" s="4614"/>
      <c r="B285" s="4615"/>
      <c r="C285" s="4620"/>
      <c r="D285" s="4322"/>
      <c r="E285" s="4608"/>
      <c r="F285" s="4322"/>
      <c r="G285" s="233"/>
      <c r="H285" s="233"/>
      <c r="I285" s="233"/>
      <c r="J285" s="4414"/>
      <c r="K285" s="4414"/>
      <c r="L285" s="1662" t="s">
        <v>4730</v>
      </c>
    </row>
    <row r="286" spans="1:16" ht="30" customHeight="1" x14ac:dyDescent="0.2">
      <c r="A286" s="4614"/>
      <c r="B286" s="4615"/>
      <c r="C286" s="4620"/>
      <c r="D286" s="4322"/>
      <c r="E286" s="4608"/>
      <c r="F286" s="4322"/>
      <c r="G286" s="233"/>
      <c r="H286" s="233"/>
      <c r="I286" s="233"/>
      <c r="J286" s="4414"/>
      <c r="K286" s="4414"/>
      <c r="L286" s="388" t="s">
        <v>4731</v>
      </c>
    </row>
    <row r="287" spans="1:16" ht="30" customHeight="1" x14ac:dyDescent="0.2">
      <c r="A287" s="4614"/>
      <c r="B287" s="4615"/>
      <c r="C287" s="4620"/>
      <c r="D287" s="4322"/>
      <c r="E287" s="4608"/>
      <c r="F287" s="4322"/>
      <c r="G287" s="233"/>
      <c r="H287" s="233"/>
      <c r="I287" s="233"/>
      <c r="J287" s="4414"/>
      <c r="K287" s="4414"/>
      <c r="L287" s="388" t="s">
        <v>4732</v>
      </c>
    </row>
    <row r="288" spans="1:16" ht="30" customHeight="1" x14ac:dyDescent="0.2">
      <c r="A288" s="4614"/>
      <c r="B288" s="4615"/>
      <c r="C288" s="4620"/>
      <c r="D288" s="4322"/>
      <c r="E288" s="4608"/>
      <c r="F288" s="4322"/>
      <c r="G288" s="233"/>
      <c r="H288" s="233"/>
      <c r="I288" s="233"/>
      <c r="J288" s="4415"/>
      <c r="K288" s="4415"/>
      <c r="L288" s="2727"/>
    </row>
    <row r="289" spans="1:12" ht="30" customHeight="1" x14ac:dyDescent="0.2">
      <c r="A289" s="2105">
        <v>175</v>
      </c>
      <c r="B289" s="2106" t="s">
        <v>36</v>
      </c>
      <c r="C289" s="2086" t="s">
        <v>1306</v>
      </c>
      <c r="D289" s="2076">
        <v>200000000</v>
      </c>
      <c r="E289" s="2079">
        <v>0.05</v>
      </c>
      <c r="F289" s="2076">
        <f t="shared" si="26"/>
        <v>10000000</v>
      </c>
      <c r="G289" s="4725" t="s">
        <v>4677</v>
      </c>
      <c r="H289" s="4726"/>
      <c r="I289" s="4726"/>
      <c r="J289" s="4727"/>
      <c r="K289" s="2076">
        <f t="shared" ref="K289:K294" si="33">F289-J289</f>
        <v>10000000</v>
      </c>
      <c r="L289" s="2106"/>
    </row>
    <row r="290" spans="1:12" ht="30" customHeight="1" x14ac:dyDescent="0.2">
      <c r="A290" s="2105">
        <v>176</v>
      </c>
      <c r="B290" s="2106" t="s">
        <v>37</v>
      </c>
      <c r="C290" s="2086" t="s">
        <v>1107</v>
      </c>
      <c r="D290" s="2076">
        <v>150000000</v>
      </c>
      <c r="E290" s="2103">
        <v>7.0000000000000007E-2</v>
      </c>
      <c r="F290" s="2076">
        <f t="shared" si="26"/>
        <v>10500000.000000002</v>
      </c>
      <c r="G290" s="2076">
        <v>10500000</v>
      </c>
      <c r="H290" s="2076" t="s">
        <v>4598</v>
      </c>
      <c r="I290" s="21" t="s">
        <v>3223</v>
      </c>
      <c r="J290" s="2076">
        <f t="shared" ref="J290:J296" si="34">G290</f>
        <v>10500000</v>
      </c>
      <c r="K290" s="2076">
        <f t="shared" si="33"/>
        <v>0</v>
      </c>
      <c r="L290" s="2106"/>
    </row>
    <row r="291" spans="1:12" ht="30" customHeight="1" x14ac:dyDescent="0.2">
      <c r="A291" s="2105">
        <v>177</v>
      </c>
      <c r="B291" s="2106" t="s">
        <v>38</v>
      </c>
      <c r="C291" s="2086" t="s">
        <v>1299</v>
      </c>
      <c r="D291" s="2076">
        <v>25000000</v>
      </c>
      <c r="E291" s="2103">
        <v>0.04</v>
      </c>
      <c r="F291" s="2076">
        <f t="shared" si="26"/>
        <v>1000000</v>
      </c>
      <c r="G291" s="2076">
        <v>1000000</v>
      </c>
      <c r="H291" s="2076" t="s">
        <v>1017</v>
      </c>
      <c r="I291" s="18" t="s">
        <v>746</v>
      </c>
      <c r="J291" s="2076">
        <f t="shared" si="34"/>
        <v>1000000</v>
      </c>
      <c r="K291" s="2076">
        <f t="shared" si="33"/>
        <v>0</v>
      </c>
      <c r="L291" s="2106"/>
    </row>
    <row r="292" spans="1:12" ht="30" customHeight="1" x14ac:dyDescent="0.2">
      <c r="A292" s="2105">
        <v>178</v>
      </c>
      <c r="B292" s="2106" t="s">
        <v>39</v>
      </c>
      <c r="C292" s="2086" t="s">
        <v>1299</v>
      </c>
      <c r="D292" s="2076">
        <v>90000000</v>
      </c>
      <c r="E292" s="2103">
        <v>4.4999999999999998E-2</v>
      </c>
      <c r="F292" s="2076">
        <v>4000000</v>
      </c>
      <c r="G292" s="2076">
        <v>4000000</v>
      </c>
      <c r="H292" s="2076" t="s">
        <v>3003</v>
      </c>
      <c r="I292" s="21" t="s">
        <v>2164</v>
      </c>
      <c r="J292" s="2076">
        <f t="shared" si="34"/>
        <v>4000000</v>
      </c>
      <c r="K292" s="2076">
        <f t="shared" si="33"/>
        <v>0</v>
      </c>
      <c r="L292" s="2106"/>
    </row>
    <row r="293" spans="1:12" ht="30" customHeight="1" x14ac:dyDescent="0.2">
      <c r="A293" s="2140">
        <v>179</v>
      </c>
      <c r="B293" s="2108" t="s">
        <v>40</v>
      </c>
      <c r="C293" s="2085"/>
      <c r="D293" s="2075">
        <v>320000000</v>
      </c>
      <c r="E293" s="2077">
        <v>0.05</v>
      </c>
      <c r="F293" s="2075">
        <f t="shared" si="26"/>
        <v>16000000</v>
      </c>
      <c r="G293" s="2076">
        <v>16000000</v>
      </c>
      <c r="H293" s="2076" t="s">
        <v>3003</v>
      </c>
      <c r="I293" s="21" t="s">
        <v>1090</v>
      </c>
      <c r="J293" s="2075">
        <f t="shared" si="34"/>
        <v>16000000</v>
      </c>
      <c r="K293" s="2075">
        <f t="shared" si="33"/>
        <v>0</v>
      </c>
      <c r="L293" s="2087"/>
    </row>
    <row r="294" spans="1:12" ht="30" customHeight="1" x14ac:dyDescent="0.2">
      <c r="A294" s="2065">
        <v>180</v>
      </c>
      <c r="B294" s="19" t="s">
        <v>41</v>
      </c>
      <c r="C294" s="48" t="s">
        <v>2403</v>
      </c>
      <c r="D294" s="2064">
        <v>300000000</v>
      </c>
      <c r="E294" s="2103">
        <v>5.7000000000000002E-2</v>
      </c>
      <c r="F294" s="2064">
        <v>17000000</v>
      </c>
      <c r="G294" s="2064">
        <v>17000000</v>
      </c>
      <c r="H294" s="2064" t="s">
        <v>2125</v>
      </c>
      <c r="I294" s="2110" t="s">
        <v>2260</v>
      </c>
      <c r="J294" s="2064">
        <f t="shared" si="34"/>
        <v>17000000</v>
      </c>
      <c r="K294" s="2064">
        <f t="shared" si="33"/>
        <v>0</v>
      </c>
      <c r="L294" s="2123"/>
    </row>
    <row r="295" spans="1:12" ht="30" customHeight="1" x14ac:dyDescent="0.2">
      <c r="A295" s="2105">
        <v>181</v>
      </c>
      <c r="B295" s="2070" t="s">
        <v>42</v>
      </c>
      <c r="C295" s="2086" t="s">
        <v>989</v>
      </c>
      <c r="D295" s="2076">
        <v>50000000</v>
      </c>
      <c r="E295" s="2079">
        <v>0.05</v>
      </c>
      <c r="F295" s="2076">
        <f t="shared" si="26"/>
        <v>2500000</v>
      </c>
      <c r="G295" s="2076">
        <v>2500000</v>
      </c>
      <c r="H295" s="2076" t="s">
        <v>4621</v>
      </c>
      <c r="I295" s="21" t="s">
        <v>1076</v>
      </c>
      <c r="J295" s="2076">
        <f t="shared" si="34"/>
        <v>2500000</v>
      </c>
      <c r="K295" s="2076">
        <f>F295-J295</f>
        <v>0</v>
      </c>
      <c r="L295" s="2070"/>
    </row>
    <row r="296" spans="1:12" ht="30" customHeight="1" x14ac:dyDescent="0.2">
      <c r="A296" s="4464"/>
      <c r="B296" s="4457" t="s">
        <v>43</v>
      </c>
      <c r="C296" s="4537" t="s">
        <v>989</v>
      </c>
      <c r="D296" s="4413">
        <v>125000000</v>
      </c>
      <c r="E296" s="4476">
        <v>0.05</v>
      </c>
      <c r="F296" s="4413">
        <f>D296*E296</f>
        <v>6250000</v>
      </c>
      <c r="G296" s="4413">
        <v>6250000</v>
      </c>
      <c r="H296" s="4413" t="s">
        <v>3865</v>
      </c>
      <c r="I296" s="4413" t="s">
        <v>3716</v>
      </c>
      <c r="J296" s="4413">
        <f t="shared" si="34"/>
        <v>6250000</v>
      </c>
      <c r="K296" s="4413">
        <f>F296-J296</f>
        <v>0</v>
      </c>
      <c r="L296" s="388" t="s">
        <v>2765</v>
      </c>
    </row>
    <row r="297" spans="1:12" ht="30" customHeight="1" x14ac:dyDescent="0.2">
      <c r="A297" s="4460"/>
      <c r="B297" s="4458"/>
      <c r="C297" s="4538"/>
      <c r="D297" s="4415"/>
      <c r="E297" s="4477"/>
      <c r="F297" s="4415"/>
      <c r="G297" s="4415"/>
      <c r="H297" s="4415"/>
      <c r="I297" s="4415"/>
      <c r="J297" s="4415"/>
      <c r="K297" s="4415"/>
      <c r="L297" s="388" t="s">
        <v>3167</v>
      </c>
    </row>
    <row r="298" spans="1:12" ht="30" customHeight="1" x14ac:dyDescent="0.2">
      <c r="A298" s="4459">
        <v>183</v>
      </c>
      <c r="B298" s="4457" t="s">
        <v>4150</v>
      </c>
      <c r="C298" s="4537" t="s">
        <v>1100</v>
      </c>
      <c r="D298" s="4413">
        <v>100000000</v>
      </c>
      <c r="E298" s="4476">
        <v>0.05</v>
      </c>
      <c r="F298" s="4413">
        <f t="shared" si="26"/>
        <v>5000000</v>
      </c>
      <c r="G298" s="2076">
        <v>2000000</v>
      </c>
      <c r="H298" s="2076" t="s">
        <v>4464</v>
      </c>
      <c r="I298" s="21" t="s">
        <v>4469</v>
      </c>
      <c r="J298" s="2076">
        <f t="shared" ref="J298:J305" si="35">G298</f>
        <v>2000000</v>
      </c>
      <c r="K298" s="2076">
        <f t="shared" ref="K298:K303" si="36">F298-J298</f>
        <v>3000000</v>
      </c>
      <c r="L298" s="2015"/>
    </row>
    <row r="299" spans="1:12" ht="30" customHeight="1" x14ac:dyDescent="0.2">
      <c r="A299" s="4460"/>
      <c r="B299" s="4458"/>
      <c r="C299" s="4538"/>
      <c r="D299" s="4415"/>
      <c r="E299" s="4477"/>
      <c r="F299" s="4415"/>
      <c r="G299" s="2764">
        <v>3000000</v>
      </c>
      <c r="H299" s="2764" t="s">
        <v>4771</v>
      </c>
      <c r="I299" s="21" t="s">
        <v>4776</v>
      </c>
      <c r="J299" s="2764">
        <f t="shared" si="35"/>
        <v>3000000</v>
      </c>
      <c r="K299" s="2764"/>
      <c r="L299" s="2015"/>
    </row>
    <row r="300" spans="1:12" ht="30" customHeight="1" x14ac:dyDescent="0.2">
      <c r="A300" s="2105">
        <v>184</v>
      </c>
      <c r="B300" s="2106" t="s">
        <v>45</v>
      </c>
      <c r="C300" s="2086" t="s">
        <v>989</v>
      </c>
      <c r="D300" s="2076">
        <v>20000000</v>
      </c>
      <c r="E300" s="2103">
        <v>0.05</v>
      </c>
      <c r="F300" s="2076">
        <f t="shared" si="26"/>
        <v>1000000</v>
      </c>
      <c r="G300" s="2076">
        <v>1000000</v>
      </c>
      <c r="H300" s="2076" t="s">
        <v>4621</v>
      </c>
      <c r="I300" s="21" t="s">
        <v>1094</v>
      </c>
      <c r="J300" s="2076">
        <f t="shared" si="35"/>
        <v>1000000</v>
      </c>
      <c r="K300" s="2076">
        <f t="shared" si="36"/>
        <v>0</v>
      </c>
      <c r="L300" s="2106"/>
    </row>
    <row r="301" spans="1:12" ht="30" customHeight="1" x14ac:dyDescent="0.2">
      <c r="A301" s="2105">
        <v>186</v>
      </c>
      <c r="B301" s="2106" t="s">
        <v>47</v>
      </c>
      <c r="C301" s="2086"/>
      <c r="D301" s="2076">
        <v>8000000</v>
      </c>
      <c r="E301" s="2103">
        <v>0.04</v>
      </c>
      <c r="F301" s="2076">
        <f t="shared" si="26"/>
        <v>320000</v>
      </c>
      <c r="G301" s="2076">
        <v>320000</v>
      </c>
      <c r="H301" s="2076" t="s">
        <v>4598</v>
      </c>
      <c r="I301" s="21" t="s">
        <v>4601</v>
      </c>
      <c r="J301" s="2076">
        <f t="shared" si="35"/>
        <v>320000</v>
      </c>
      <c r="K301" s="2076">
        <f t="shared" si="36"/>
        <v>0</v>
      </c>
      <c r="L301" s="2106"/>
    </row>
    <row r="302" spans="1:12" ht="30" customHeight="1" x14ac:dyDescent="0.2">
      <c r="A302" s="2065">
        <v>187</v>
      </c>
      <c r="B302" s="2106" t="s">
        <v>2470</v>
      </c>
      <c r="C302" s="2107" t="s">
        <v>1138</v>
      </c>
      <c r="D302" s="2064">
        <v>200000000</v>
      </c>
      <c r="E302" s="2103">
        <v>0.05</v>
      </c>
      <c r="F302" s="2064">
        <f t="shared" si="26"/>
        <v>10000000</v>
      </c>
      <c r="G302" s="2076">
        <v>10000000</v>
      </c>
      <c r="H302" s="2076" t="s">
        <v>4404</v>
      </c>
      <c r="I302" s="21" t="s">
        <v>3331</v>
      </c>
      <c r="J302" s="2076">
        <f t="shared" si="35"/>
        <v>10000000</v>
      </c>
      <c r="K302" s="2076">
        <f t="shared" si="36"/>
        <v>0</v>
      </c>
      <c r="L302" s="2135" t="s">
        <v>4406</v>
      </c>
    </row>
    <row r="303" spans="1:12" ht="30" customHeight="1" x14ac:dyDescent="0.2">
      <c r="A303" s="2105">
        <v>188</v>
      </c>
      <c r="B303" s="2070" t="s">
        <v>49</v>
      </c>
      <c r="C303" s="2086"/>
      <c r="D303" s="2076">
        <v>200000000</v>
      </c>
      <c r="E303" s="2079">
        <v>0.05</v>
      </c>
      <c r="F303" s="2076">
        <f t="shared" si="26"/>
        <v>10000000</v>
      </c>
      <c r="G303" s="4725" t="s">
        <v>5252</v>
      </c>
      <c r="H303" s="4726"/>
      <c r="I303" s="4726"/>
      <c r="J303" s="4727"/>
      <c r="K303" s="2076">
        <f t="shared" si="36"/>
        <v>10000000</v>
      </c>
      <c r="L303" s="2106"/>
    </row>
    <row r="304" spans="1:12" ht="30" customHeight="1" x14ac:dyDescent="0.2">
      <c r="A304" s="2105">
        <v>189</v>
      </c>
      <c r="B304" s="2106" t="s">
        <v>50</v>
      </c>
      <c r="C304" s="2086" t="s">
        <v>681</v>
      </c>
      <c r="D304" s="2076">
        <v>15000000</v>
      </c>
      <c r="E304" s="2103">
        <v>0.05</v>
      </c>
      <c r="F304" s="2076">
        <f t="shared" si="26"/>
        <v>750000</v>
      </c>
      <c r="G304" s="2076">
        <v>15000000</v>
      </c>
      <c r="H304" s="2076" t="s">
        <v>4333</v>
      </c>
      <c r="I304" s="21" t="s">
        <v>834</v>
      </c>
      <c r="J304" s="2076">
        <f t="shared" si="35"/>
        <v>15000000</v>
      </c>
      <c r="K304" s="2076"/>
      <c r="L304" s="388" t="s">
        <v>4359</v>
      </c>
    </row>
    <row r="305" spans="1:16" ht="30" customHeight="1" x14ac:dyDescent="0.2">
      <c r="A305" s="4459">
        <v>190</v>
      </c>
      <c r="B305" s="4457" t="s">
        <v>51</v>
      </c>
      <c r="C305" s="2086" t="s">
        <v>1100</v>
      </c>
      <c r="D305" s="2076">
        <v>80000000</v>
      </c>
      <c r="E305" s="2103">
        <v>0.05</v>
      </c>
      <c r="F305" s="2076">
        <f t="shared" si="26"/>
        <v>4000000</v>
      </c>
      <c r="G305" s="4413">
        <v>14000000</v>
      </c>
      <c r="H305" s="4413" t="s">
        <v>4771</v>
      </c>
      <c r="I305" s="4478" t="s">
        <v>2967</v>
      </c>
      <c r="J305" s="4413">
        <f t="shared" si="35"/>
        <v>14000000</v>
      </c>
      <c r="K305" s="4413">
        <f>(F305+F306)-J305</f>
        <v>0</v>
      </c>
      <c r="L305" s="4599"/>
    </row>
    <row r="306" spans="1:16" ht="30" customHeight="1" x14ac:dyDescent="0.2">
      <c r="A306" s="4464"/>
      <c r="B306" s="4488"/>
      <c r="C306" s="2086" t="s">
        <v>1100</v>
      </c>
      <c r="D306" s="2076">
        <v>200000000</v>
      </c>
      <c r="E306" s="2103">
        <v>0.05</v>
      </c>
      <c r="F306" s="2076">
        <f t="shared" si="26"/>
        <v>10000000</v>
      </c>
      <c r="G306" s="4415"/>
      <c r="H306" s="4415"/>
      <c r="I306" s="4479"/>
      <c r="J306" s="4415"/>
      <c r="K306" s="4415"/>
      <c r="L306" s="4607"/>
    </row>
    <row r="307" spans="1:16" ht="30" customHeight="1" x14ac:dyDescent="0.2">
      <c r="A307" s="4460"/>
      <c r="B307" s="4458"/>
      <c r="C307" s="2094" t="s">
        <v>262</v>
      </c>
      <c r="D307" s="2080">
        <v>220000000</v>
      </c>
      <c r="E307" s="2077">
        <v>0.05</v>
      </c>
      <c r="F307" s="2080">
        <f t="shared" si="26"/>
        <v>11000000</v>
      </c>
      <c r="G307" s="2076">
        <v>11000000</v>
      </c>
      <c r="H307" s="2076" t="s">
        <v>4451</v>
      </c>
      <c r="I307" s="21" t="s">
        <v>2967</v>
      </c>
      <c r="J307" s="2080">
        <f>G307</f>
        <v>11000000</v>
      </c>
      <c r="K307" s="2080">
        <f>F307-J307</f>
        <v>0</v>
      </c>
      <c r="L307" s="2099"/>
    </row>
    <row r="308" spans="1:16" ht="30" customHeight="1" x14ac:dyDescent="0.2">
      <c r="A308" s="4459">
        <v>191</v>
      </c>
      <c r="B308" s="4457" t="s">
        <v>52</v>
      </c>
      <c r="C308" s="4537" t="s">
        <v>262</v>
      </c>
      <c r="D308" s="4413">
        <v>700000000</v>
      </c>
      <c r="E308" s="4476">
        <v>7.6999999999999999E-2</v>
      </c>
      <c r="F308" s="4413">
        <v>54000000</v>
      </c>
      <c r="G308" s="2076"/>
      <c r="H308" s="2076"/>
      <c r="I308" s="21" t="s">
        <v>678</v>
      </c>
      <c r="J308" s="4413">
        <f>G308+G309</f>
        <v>0</v>
      </c>
      <c r="K308" s="4413">
        <f>F308-J308</f>
        <v>54000000</v>
      </c>
      <c r="L308" s="2111"/>
    </row>
    <row r="309" spans="1:16" ht="30" customHeight="1" x14ac:dyDescent="0.2">
      <c r="A309" s="4460"/>
      <c r="B309" s="4458"/>
      <c r="C309" s="4538"/>
      <c r="D309" s="4415"/>
      <c r="E309" s="4477"/>
      <c r="F309" s="4415"/>
      <c r="G309" s="2076"/>
      <c r="H309" s="2076"/>
      <c r="I309" s="21" t="s">
        <v>678</v>
      </c>
      <c r="J309" s="4415"/>
      <c r="K309" s="4415"/>
      <c r="L309" s="2113"/>
    </row>
    <row r="310" spans="1:16" ht="30" customHeight="1" x14ac:dyDescent="0.2">
      <c r="A310" s="4533">
        <v>192</v>
      </c>
      <c r="B310" s="4992" t="s">
        <v>53</v>
      </c>
      <c r="C310" s="2621" t="s">
        <v>1287</v>
      </c>
      <c r="D310" s="3130">
        <v>1400000000</v>
      </c>
      <c r="E310" s="436">
        <v>7.0000000000000007E-2</v>
      </c>
      <c r="F310" s="3130">
        <f>D310*E310</f>
        <v>98000000.000000015</v>
      </c>
      <c r="G310" s="3130">
        <v>38000000</v>
      </c>
      <c r="H310" s="4504" t="s">
        <v>3865</v>
      </c>
      <c r="I310" s="4504" t="s">
        <v>861</v>
      </c>
      <c r="J310" s="3139">
        <f>G310</f>
        <v>38000000</v>
      </c>
      <c r="K310" s="3139">
        <f>38000000-G310</f>
        <v>0</v>
      </c>
      <c r="L310" s="3163" t="s">
        <v>1992</v>
      </c>
    </row>
    <row r="311" spans="1:16" ht="30" customHeight="1" x14ac:dyDescent="0.2">
      <c r="A311" s="4708"/>
      <c r="B311" s="4992"/>
      <c r="C311" s="4983" t="s">
        <v>5048</v>
      </c>
      <c r="D311" s="4984"/>
      <c r="E311" s="4984"/>
      <c r="F311" s="4985"/>
      <c r="G311" s="3130">
        <v>62000000</v>
      </c>
      <c r="H311" s="4505"/>
      <c r="I311" s="4505"/>
      <c r="J311" s="4395">
        <f>G311+G312+G313+G314</f>
        <v>171000000</v>
      </c>
      <c r="K311" s="4395">
        <v>0</v>
      </c>
      <c r="L311" s="3162" t="s">
        <v>2287</v>
      </c>
    </row>
    <row r="312" spans="1:16" ht="30" customHeight="1" x14ac:dyDescent="0.2">
      <c r="A312" s="4708"/>
      <c r="B312" s="4992"/>
      <c r="C312" s="4986"/>
      <c r="D312" s="4987"/>
      <c r="E312" s="4987"/>
      <c r="F312" s="4988"/>
      <c r="G312" s="3130">
        <v>71000000</v>
      </c>
      <c r="H312" s="4504" t="s">
        <v>4477</v>
      </c>
      <c r="I312" s="4504" t="s">
        <v>861</v>
      </c>
      <c r="J312" s="4395"/>
      <c r="K312" s="4395"/>
      <c r="L312" s="3162"/>
    </row>
    <row r="313" spans="1:16" ht="30" customHeight="1" x14ac:dyDescent="0.2">
      <c r="A313" s="4708"/>
      <c r="B313" s="4992"/>
      <c r="C313" s="4986"/>
      <c r="D313" s="4987"/>
      <c r="E313" s="4987"/>
      <c r="F313" s="4988"/>
      <c r="G313" s="3130">
        <v>29000000</v>
      </c>
      <c r="H313" s="4505"/>
      <c r="I313" s="4505"/>
      <c r="J313" s="4395"/>
      <c r="K313" s="4395"/>
      <c r="L313" s="3162"/>
    </row>
    <row r="314" spans="1:16" ht="30" customHeight="1" x14ac:dyDescent="0.2">
      <c r="A314" s="4708"/>
      <c r="B314" s="4992"/>
      <c r="C314" s="4989"/>
      <c r="D314" s="4990"/>
      <c r="E314" s="4990"/>
      <c r="F314" s="4991"/>
      <c r="G314" s="3130">
        <v>9000000</v>
      </c>
      <c r="H314" s="3130" t="s">
        <v>3003</v>
      </c>
      <c r="I314" s="3130" t="s">
        <v>4555</v>
      </c>
      <c r="J314" s="4395"/>
      <c r="K314" s="4395"/>
      <c r="L314" s="3162"/>
    </row>
    <row r="315" spans="1:16" ht="30" customHeight="1" x14ac:dyDescent="0.2">
      <c r="A315" s="2105">
        <v>193</v>
      </c>
      <c r="B315" s="2478" t="s">
        <v>54</v>
      </c>
      <c r="C315" s="2086" t="s">
        <v>1306</v>
      </c>
      <c r="D315" s="2076">
        <v>45000000</v>
      </c>
      <c r="E315" s="2479">
        <v>0.04</v>
      </c>
      <c r="F315" s="2076">
        <f t="shared" ref="F315:F405" si="37">D315*E315</f>
        <v>1800000</v>
      </c>
      <c r="G315" s="2076">
        <v>1800000</v>
      </c>
      <c r="H315" s="2076" t="s">
        <v>4621</v>
      </c>
      <c r="I315" s="2064" t="s">
        <v>4138</v>
      </c>
      <c r="J315" s="2076">
        <f t="shared" ref="J315:J329" si="38">G315</f>
        <v>1800000</v>
      </c>
      <c r="K315" s="2076">
        <f t="shared" ref="K315:K328" si="39">F315-J315</f>
        <v>0</v>
      </c>
      <c r="L315" s="2106"/>
    </row>
    <row r="316" spans="1:16" ht="30" customHeight="1" x14ac:dyDescent="0.2">
      <c r="A316" s="2065">
        <v>194</v>
      </c>
      <c r="B316" s="19" t="s">
        <v>55</v>
      </c>
      <c r="C316" s="378"/>
      <c r="D316" s="3050">
        <v>130000000</v>
      </c>
      <c r="E316" s="1028">
        <v>0.05</v>
      </c>
      <c r="F316" s="3050">
        <f t="shared" si="37"/>
        <v>6500000</v>
      </c>
      <c r="G316" s="2064">
        <v>6500000</v>
      </c>
      <c r="H316" s="2064" t="s">
        <v>4621</v>
      </c>
      <c r="I316" s="2110" t="s">
        <v>4621</v>
      </c>
      <c r="J316" s="2064">
        <f t="shared" si="38"/>
        <v>6500000</v>
      </c>
      <c r="K316" s="2090">
        <f t="shared" si="39"/>
        <v>0</v>
      </c>
      <c r="L316" s="2087"/>
    </row>
    <row r="317" spans="1:16" ht="30" customHeight="1" x14ac:dyDescent="0.2">
      <c r="A317" s="2105">
        <v>195</v>
      </c>
      <c r="B317" s="2070" t="s">
        <v>56</v>
      </c>
      <c r="C317" s="2086" t="s">
        <v>990</v>
      </c>
      <c r="D317" s="2076">
        <v>10000000</v>
      </c>
      <c r="E317" s="2079">
        <v>0.05</v>
      </c>
      <c r="F317" s="2076">
        <f t="shared" si="37"/>
        <v>500000</v>
      </c>
      <c r="G317" s="2076">
        <v>500000</v>
      </c>
      <c r="H317" s="2076" t="s">
        <v>4763</v>
      </c>
      <c r="I317" s="21" t="s">
        <v>1121</v>
      </c>
      <c r="J317" s="2076">
        <f t="shared" si="38"/>
        <v>500000</v>
      </c>
      <c r="K317" s="2076">
        <f t="shared" si="39"/>
        <v>0</v>
      </c>
      <c r="L317" s="2106"/>
    </row>
    <row r="318" spans="1:16" ht="30" customHeight="1" x14ac:dyDescent="0.2">
      <c r="A318" s="4459">
        <v>196</v>
      </c>
      <c r="B318" s="4457" t="s">
        <v>57</v>
      </c>
      <c r="C318" s="4537" t="s">
        <v>1107</v>
      </c>
      <c r="D318" s="2076">
        <v>20000000</v>
      </c>
      <c r="E318" s="2103">
        <v>0.04</v>
      </c>
      <c r="F318" s="2076">
        <f t="shared" si="37"/>
        <v>800000</v>
      </c>
      <c r="G318" s="4413">
        <v>2300000</v>
      </c>
      <c r="H318" s="4413" t="s">
        <v>4621</v>
      </c>
      <c r="I318" s="4478" t="s">
        <v>3761</v>
      </c>
      <c r="J318" s="4413">
        <f t="shared" si="38"/>
        <v>2300000</v>
      </c>
      <c r="K318" s="4413">
        <f>(F318+F319)-J318</f>
        <v>0</v>
      </c>
      <c r="L318" s="4827" t="s">
        <v>3763</v>
      </c>
    </row>
    <row r="319" spans="1:16" ht="30" customHeight="1" x14ac:dyDescent="0.2">
      <c r="A319" s="4464"/>
      <c r="B319" s="4488"/>
      <c r="C319" s="4538"/>
      <c r="D319" s="2076">
        <v>30000000</v>
      </c>
      <c r="E319" s="2103">
        <v>0.05</v>
      </c>
      <c r="F319" s="2076">
        <f t="shared" si="37"/>
        <v>1500000</v>
      </c>
      <c r="G319" s="4415"/>
      <c r="H319" s="4415"/>
      <c r="I319" s="4479"/>
      <c r="J319" s="4415"/>
      <c r="K319" s="4415"/>
      <c r="L319" s="4827"/>
    </row>
    <row r="320" spans="1:16" ht="30" customHeight="1" x14ac:dyDescent="0.2">
      <c r="A320" s="2469">
        <v>197</v>
      </c>
      <c r="B320" s="19" t="s">
        <v>4153</v>
      </c>
      <c r="C320" s="2473" t="s">
        <v>1134</v>
      </c>
      <c r="D320" s="2466">
        <v>100000000</v>
      </c>
      <c r="E320" s="2472">
        <v>0.05</v>
      </c>
      <c r="F320" s="2466">
        <f t="shared" ref="F320" si="40">D320*E320</f>
        <v>5000000</v>
      </c>
      <c r="G320" s="2466">
        <v>5000000</v>
      </c>
      <c r="H320" s="2466" t="s">
        <v>4598</v>
      </c>
      <c r="I320" s="2466" t="s">
        <v>4154</v>
      </c>
      <c r="J320" s="2466">
        <f t="shared" si="38"/>
        <v>5000000</v>
      </c>
      <c r="K320" s="2466">
        <f t="shared" si="39"/>
        <v>0</v>
      </c>
      <c r="L320" s="737" t="s">
        <v>4013</v>
      </c>
      <c r="M320" s="366"/>
      <c r="N320" s="366"/>
      <c r="O320" s="366"/>
      <c r="P320" s="366"/>
    </row>
    <row r="321" spans="1:16" ht="30" customHeight="1" x14ac:dyDescent="0.2">
      <c r="A321" s="4459">
        <v>198</v>
      </c>
      <c r="B321" s="4488" t="s">
        <v>59</v>
      </c>
      <c r="C321" s="4537" t="s">
        <v>1134</v>
      </c>
      <c r="D321" s="2076">
        <v>30000000</v>
      </c>
      <c r="E321" s="2467">
        <v>8.5000000000000006E-2</v>
      </c>
      <c r="F321" s="2076">
        <v>2500000</v>
      </c>
      <c r="G321" s="2076">
        <v>2500000</v>
      </c>
      <c r="H321" s="2076" t="s">
        <v>4771</v>
      </c>
      <c r="I321" s="2468" t="s">
        <v>1164</v>
      </c>
      <c r="J321" s="2076">
        <f t="shared" si="38"/>
        <v>2500000</v>
      </c>
      <c r="K321" s="2076">
        <f t="shared" si="39"/>
        <v>0</v>
      </c>
      <c r="L321" s="4492" t="s">
        <v>4609</v>
      </c>
      <c r="M321" s="366"/>
      <c r="N321" s="366"/>
      <c r="O321" s="366"/>
      <c r="P321" s="366"/>
    </row>
    <row r="322" spans="1:16" ht="30" customHeight="1" x14ac:dyDescent="0.2">
      <c r="A322" s="4460"/>
      <c r="B322" s="4458"/>
      <c r="C322" s="4538"/>
      <c r="D322" s="2308">
        <v>100000000</v>
      </c>
      <c r="E322" s="2324">
        <v>7.0000000000000007E-2</v>
      </c>
      <c r="F322" s="2308">
        <f>D322*E322</f>
        <v>7000000.0000000009</v>
      </c>
      <c r="G322" s="2308"/>
      <c r="H322" s="2308"/>
      <c r="I322" s="2302"/>
      <c r="J322" s="2308"/>
      <c r="K322" s="2308"/>
      <c r="L322" s="4493"/>
      <c r="M322" s="366"/>
      <c r="N322" s="366"/>
      <c r="O322" s="366"/>
      <c r="P322" s="366"/>
    </row>
    <row r="323" spans="1:16" ht="30" customHeight="1" x14ac:dyDescent="0.2">
      <c r="A323" s="2105">
        <v>199</v>
      </c>
      <c r="B323" s="2106" t="s">
        <v>60</v>
      </c>
      <c r="C323" s="2086" t="s">
        <v>1100</v>
      </c>
      <c r="D323" s="2076">
        <v>50000000</v>
      </c>
      <c r="E323" s="2103">
        <v>0.05</v>
      </c>
      <c r="F323" s="2076">
        <f t="shared" si="37"/>
        <v>2500000</v>
      </c>
      <c r="G323" s="2076">
        <v>2500000</v>
      </c>
      <c r="H323" s="2076" t="s">
        <v>4777</v>
      </c>
      <c r="I323" s="2064" t="s">
        <v>4778</v>
      </c>
      <c r="J323" s="2076">
        <f t="shared" si="38"/>
        <v>2500000</v>
      </c>
      <c r="K323" s="2076">
        <f t="shared" si="39"/>
        <v>0</v>
      </c>
      <c r="L323" s="2106"/>
      <c r="M323" s="366"/>
      <c r="N323" s="366"/>
      <c r="O323" s="366"/>
      <c r="P323" s="366"/>
    </row>
    <row r="324" spans="1:16" ht="30" customHeight="1" x14ac:dyDescent="0.2">
      <c r="A324" s="2105">
        <v>200</v>
      </c>
      <c r="B324" s="2106" t="s">
        <v>61</v>
      </c>
      <c r="C324" s="2086" t="s">
        <v>1081</v>
      </c>
      <c r="D324" s="2076">
        <v>350000000</v>
      </c>
      <c r="E324" s="2103">
        <v>7.0000000000000007E-2</v>
      </c>
      <c r="F324" s="2076">
        <f t="shared" si="37"/>
        <v>24500000.000000004</v>
      </c>
      <c r="G324" s="2076">
        <v>1900000</v>
      </c>
      <c r="H324" s="2076" t="s">
        <v>4780</v>
      </c>
      <c r="I324" s="21" t="s">
        <v>4786</v>
      </c>
      <c r="J324" s="2076">
        <f>G324</f>
        <v>1900000</v>
      </c>
      <c r="K324" s="2076">
        <f t="shared" si="39"/>
        <v>22600000.000000004</v>
      </c>
      <c r="L324" s="2015" t="s">
        <v>4787</v>
      </c>
      <c r="M324" s="366"/>
      <c r="N324" s="366"/>
      <c r="O324" s="366"/>
      <c r="P324" s="366"/>
    </row>
    <row r="325" spans="1:16" ht="30" customHeight="1" x14ac:dyDescent="0.2">
      <c r="A325" s="2105">
        <v>201</v>
      </c>
      <c r="B325" s="2106" t="s">
        <v>62</v>
      </c>
      <c r="C325" s="2086"/>
      <c r="D325" s="2076">
        <v>60000000</v>
      </c>
      <c r="E325" s="2103">
        <v>7.0000000000000007E-2</v>
      </c>
      <c r="F325" s="2076">
        <v>4500000</v>
      </c>
      <c r="G325" s="2076">
        <v>4500000</v>
      </c>
      <c r="H325" s="2076" t="s">
        <v>4780</v>
      </c>
      <c r="I325" s="2127" t="s">
        <v>3900</v>
      </c>
      <c r="J325" s="2076">
        <f t="shared" si="38"/>
        <v>4500000</v>
      </c>
      <c r="K325" s="2076">
        <f t="shared" si="39"/>
        <v>0</v>
      </c>
      <c r="L325" s="2106"/>
      <c r="M325" s="366"/>
      <c r="N325" s="366"/>
      <c r="O325" s="366"/>
      <c r="P325" s="366"/>
    </row>
    <row r="326" spans="1:16" ht="30" customHeight="1" x14ac:dyDescent="0.2">
      <c r="A326" s="2130">
        <v>202</v>
      </c>
      <c r="B326" s="2106" t="s">
        <v>63</v>
      </c>
      <c r="C326" s="2107" t="s">
        <v>1081</v>
      </c>
      <c r="D326" s="2064">
        <v>100000000</v>
      </c>
      <c r="E326" s="2103">
        <v>4.4999999999999998E-2</v>
      </c>
      <c r="F326" s="2064">
        <f t="shared" si="37"/>
        <v>4500000</v>
      </c>
      <c r="G326" s="2064">
        <v>4500000</v>
      </c>
      <c r="H326" s="2076" t="s">
        <v>4777</v>
      </c>
      <c r="I326" s="21" t="s">
        <v>3889</v>
      </c>
      <c r="J326" s="2076">
        <f t="shared" si="38"/>
        <v>4500000</v>
      </c>
      <c r="K326" s="2076">
        <f t="shared" si="39"/>
        <v>0</v>
      </c>
      <c r="L326" s="2135"/>
      <c r="M326" s="366"/>
      <c r="N326" s="366"/>
      <c r="O326" s="366"/>
      <c r="P326" s="366"/>
    </row>
    <row r="327" spans="1:16" ht="30" customHeight="1" x14ac:dyDescent="0.2">
      <c r="A327" s="2105">
        <v>203</v>
      </c>
      <c r="B327" s="2070" t="s">
        <v>1244</v>
      </c>
      <c r="C327" s="2086" t="s">
        <v>1081</v>
      </c>
      <c r="D327" s="2076">
        <v>60000000</v>
      </c>
      <c r="E327" s="2079">
        <v>0.05</v>
      </c>
      <c r="F327" s="2076">
        <f t="shared" si="37"/>
        <v>3000000</v>
      </c>
      <c r="G327" s="2076">
        <v>3000000</v>
      </c>
      <c r="H327" s="2076" t="s">
        <v>4780</v>
      </c>
      <c r="I327" s="21" t="s">
        <v>1693</v>
      </c>
      <c r="J327" s="2076">
        <f t="shared" si="38"/>
        <v>3000000</v>
      </c>
      <c r="K327" s="2076">
        <f t="shared" si="39"/>
        <v>0</v>
      </c>
      <c r="L327" s="2106"/>
    </row>
    <row r="328" spans="1:16" ht="30" customHeight="1" x14ac:dyDescent="0.2">
      <c r="A328" s="2105">
        <v>205</v>
      </c>
      <c r="B328" s="2106" t="s">
        <v>65</v>
      </c>
      <c r="C328" s="2086" t="s">
        <v>3245</v>
      </c>
      <c r="D328" s="2076">
        <v>15000000</v>
      </c>
      <c r="E328" s="2103">
        <v>0.04</v>
      </c>
      <c r="F328" s="2076">
        <f t="shared" si="37"/>
        <v>600000</v>
      </c>
      <c r="G328" s="2076">
        <v>600000</v>
      </c>
      <c r="H328" s="2076" t="s">
        <v>4621</v>
      </c>
      <c r="I328" s="21" t="s">
        <v>3244</v>
      </c>
      <c r="J328" s="2076">
        <f t="shared" si="38"/>
        <v>600000</v>
      </c>
      <c r="K328" s="2076">
        <f t="shared" si="39"/>
        <v>0</v>
      </c>
      <c r="L328" s="2106"/>
    </row>
    <row r="329" spans="1:16" ht="30" customHeight="1" x14ac:dyDescent="0.2">
      <c r="A329" s="4459">
        <v>207</v>
      </c>
      <c r="B329" s="4615" t="s">
        <v>2676</v>
      </c>
      <c r="C329" s="4620" t="s">
        <v>681</v>
      </c>
      <c r="D329" s="2076">
        <v>45000000</v>
      </c>
      <c r="E329" s="2103">
        <v>0.04</v>
      </c>
      <c r="F329" s="2076">
        <f t="shared" si="37"/>
        <v>1800000</v>
      </c>
      <c r="G329" s="4413">
        <v>3800000</v>
      </c>
      <c r="H329" s="4413" t="s">
        <v>4598</v>
      </c>
      <c r="I329" s="4478" t="s">
        <v>3739</v>
      </c>
      <c r="J329" s="4413">
        <f t="shared" si="38"/>
        <v>3800000</v>
      </c>
      <c r="K329" s="4413">
        <f>(F329+F330)-J329</f>
        <v>0</v>
      </c>
      <c r="L329" s="4492"/>
    </row>
    <row r="330" spans="1:16" ht="30" customHeight="1" x14ac:dyDescent="0.2">
      <c r="A330" s="4464"/>
      <c r="B330" s="4615"/>
      <c r="C330" s="4620"/>
      <c r="D330" s="2076">
        <v>50000000</v>
      </c>
      <c r="E330" s="2103">
        <v>0.04</v>
      </c>
      <c r="F330" s="2076">
        <f t="shared" si="37"/>
        <v>2000000</v>
      </c>
      <c r="G330" s="4415"/>
      <c r="H330" s="4415"/>
      <c r="I330" s="4479"/>
      <c r="J330" s="4415"/>
      <c r="K330" s="4415"/>
      <c r="L330" s="4493"/>
    </row>
    <row r="331" spans="1:16" ht="30" customHeight="1" x14ac:dyDescent="0.2">
      <c r="A331" s="2065">
        <v>208</v>
      </c>
      <c r="B331" s="19" t="s">
        <v>69</v>
      </c>
      <c r="C331" s="378" t="s">
        <v>1100</v>
      </c>
      <c r="D331" s="2064">
        <v>15000000</v>
      </c>
      <c r="E331" s="2103">
        <v>0.04</v>
      </c>
      <c r="F331" s="2064">
        <f t="shared" si="37"/>
        <v>600000</v>
      </c>
      <c r="G331" s="2064">
        <v>600000</v>
      </c>
      <c r="H331" s="2064" t="s">
        <v>4780</v>
      </c>
      <c r="I331" s="2110" t="s">
        <v>1099</v>
      </c>
      <c r="J331" s="2064">
        <f t="shared" ref="J331:J344" si="41">G331</f>
        <v>600000</v>
      </c>
      <c r="K331" s="2064">
        <f t="shared" ref="K331:K347" si="42">F331-J331</f>
        <v>0</v>
      </c>
      <c r="L331" s="2015"/>
    </row>
    <row r="332" spans="1:16" ht="30" customHeight="1" x14ac:dyDescent="0.2">
      <c r="A332" s="4459">
        <v>209</v>
      </c>
      <c r="B332" s="4457" t="s">
        <v>70</v>
      </c>
      <c r="C332" s="4537" t="s">
        <v>3323</v>
      </c>
      <c r="D332" s="2076">
        <v>10000000</v>
      </c>
      <c r="E332" s="2079">
        <v>0.05</v>
      </c>
      <c r="F332" s="2076">
        <f t="shared" si="37"/>
        <v>500000</v>
      </c>
      <c r="G332" s="2076">
        <v>500000</v>
      </c>
      <c r="H332" s="2076" t="s">
        <v>4312</v>
      </c>
      <c r="I332" s="2097" t="s">
        <v>4325</v>
      </c>
      <c r="J332" s="2076">
        <f t="shared" si="41"/>
        <v>500000</v>
      </c>
      <c r="K332" s="2076">
        <f t="shared" si="42"/>
        <v>0</v>
      </c>
      <c r="L332" s="2015" t="s">
        <v>4326</v>
      </c>
    </row>
    <row r="333" spans="1:16" ht="30" customHeight="1" x14ac:dyDescent="0.2">
      <c r="A333" s="4460"/>
      <c r="B333" s="4458"/>
      <c r="C333" s="4538"/>
      <c r="D333" s="4303" t="s">
        <v>4075</v>
      </c>
      <c r="E333" s="4324"/>
      <c r="F333" s="4355"/>
      <c r="G333" s="2184">
        <v>10000000</v>
      </c>
      <c r="H333" s="2184" t="s">
        <v>4387</v>
      </c>
      <c r="I333" s="115" t="s">
        <v>1229</v>
      </c>
      <c r="J333" s="2184">
        <f>G333</f>
        <v>10000000</v>
      </c>
      <c r="K333" s="2184"/>
      <c r="L333" s="2015" t="s">
        <v>2045</v>
      </c>
    </row>
    <row r="334" spans="1:16" ht="30" customHeight="1" x14ac:dyDescent="0.2">
      <c r="A334" s="2105">
        <v>210</v>
      </c>
      <c r="B334" s="2106" t="s">
        <v>72</v>
      </c>
      <c r="C334" s="2086"/>
      <c r="D334" s="2076">
        <v>50000000</v>
      </c>
      <c r="E334" s="2103">
        <v>7.0000000000000007E-2</v>
      </c>
      <c r="F334" s="2076">
        <f t="shared" si="37"/>
        <v>3500000.0000000005</v>
      </c>
      <c r="G334" s="2076">
        <v>3500000</v>
      </c>
      <c r="H334" s="2076" t="s">
        <v>1193</v>
      </c>
      <c r="I334" s="21" t="s">
        <v>3494</v>
      </c>
      <c r="J334" s="2076">
        <f t="shared" si="41"/>
        <v>3500000</v>
      </c>
      <c r="K334" s="2076">
        <f t="shared" si="42"/>
        <v>0</v>
      </c>
      <c r="L334" s="2106"/>
    </row>
    <row r="335" spans="1:16" ht="30" customHeight="1" x14ac:dyDescent="0.2">
      <c r="A335" s="2367"/>
      <c r="B335" s="2375" t="s">
        <v>4441</v>
      </c>
      <c r="C335" s="2373"/>
      <c r="D335" s="2361"/>
      <c r="E335" s="2376"/>
      <c r="F335" s="2361"/>
      <c r="G335" s="2361">
        <v>50000000</v>
      </c>
      <c r="H335" s="2361" t="s">
        <v>4397</v>
      </c>
      <c r="I335" s="56" t="s">
        <v>2776</v>
      </c>
      <c r="J335" s="2361">
        <f t="shared" si="41"/>
        <v>50000000</v>
      </c>
      <c r="K335" s="2361"/>
      <c r="L335" s="2368"/>
    </row>
    <row r="336" spans="1:16" ht="30" customHeight="1" x14ac:dyDescent="0.2">
      <c r="A336" s="2105">
        <v>211</v>
      </c>
      <c r="B336" s="2106" t="s">
        <v>73</v>
      </c>
      <c r="C336" s="2086" t="s">
        <v>1295</v>
      </c>
      <c r="D336" s="2076">
        <v>100000000</v>
      </c>
      <c r="E336" s="2103">
        <v>0.05</v>
      </c>
      <c r="F336" s="2076">
        <f t="shared" si="37"/>
        <v>5000000</v>
      </c>
      <c r="G336" s="2076">
        <v>5000000</v>
      </c>
      <c r="H336" s="2076" t="s">
        <v>4363</v>
      </c>
      <c r="I336" s="21" t="s">
        <v>4002</v>
      </c>
      <c r="J336" s="2076">
        <f t="shared" si="41"/>
        <v>5000000</v>
      </c>
      <c r="K336" s="2076">
        <f t="shared" si="42"/>
        <v>0</v>
      </c>
      <c r="L336" s="2106"/>
    </row>
    <row r="337" spans="1:12" ht="30" customHeight="1" x14ac:dyDescent="0.2">
      <c r="A337" s="4459">
        <v>212</v>
      </c>
      <c r="B337" s="4457" t="s">
        <v>74</v>
      </c>
      <c r="C337" s="4537" t="s">
        <v>889</v>
      </c>
      <c r="D337" s="2076">
        <v>30000000</v>
      </c>
      <c r="E337" s="2103">
        <v>0.05</v>
      </c>
      <c r="F337" s="2076">
        <f t="shared" si="37"/>
        <v>1500000</v>
      </c>
      <c r="G337" s="4413">
        <v>2000000</v>
      </c>
      <c r="H337" s="4413" t="s">
        <v>4312</v>
      </c>
      <c r="I337" s="4478" t="s">
        <v>1275</v>
      </c>
      <c r="J337" s="4413">
        <f t="shared" si="41"/>
        <v>2000000</v>
      </c>
      <c r="K337" s="4413">
        <f>(F337+F338)-J337</f>
        <v>0</v>
      </c>
      <c r="L337" s="2106"/>
    </row>
    <row r="338" spans="1:12" ht="30" customHeight="1" x14ac:dyDescent="0.2">
      <c r="A338" s="4460"/>
      <c r="B338" s="4458"/>
      <c r="C338" s="4538"/>
      <c r="D338" s="2184">
        <v>10000000</v>
      </c>
      <c r="E338" s="2188">
        <v>0.05</v>
      </c>
      <c r="F338" s="2184">
        <f t="shared" si="37"/>
        <v>500000</v>
      </c>
      <c r="G338" s="4415"/>
      <c r="H338" s="4415"/>
      <c r="I338" s="4479"/>
      <c r="J338" s="4415"/>
      <c r="K338" s="4415"/>
      <c r="L338" s="2189"/>
    </row>
    <row r="339" spans="1:12" ht="30" customHeight="1" x14ac:dyDescent="0.2">
      <c r="A339" s="2105">
        <v>213</v>
      </c>
      <c r="B339" s="2106" t="s">
        <v>75</v>
      </c>
      <c r="C339" s="2086" t="s">
        <v>889</v>
      </c>
      <c r="D339" s="2076">
        <v>15000000</v>
      </c>
      <c r="E339" s="2103">
        <v>4.7E-2</v>
      </c>
      <c r="F339" s="2076">
        <v>700000</v>
      </c>
      <c r="G339" s="2076">
        <v>700000</v>
      </c>
      <c r="H339" s="2076" t="s">
        <v>4312</v>
      </c>
      <c r="I339" s="21" t="s">
        <v>3406</v>
      </c>
      <c r="J339" s="2076">
        <f t="shared" si="41"/>
        <v>700000</v>
      </c>
      <c r="K339" s="2076">
        <f t="shared" si="42"/>
        <v>0</v>
      </c>
      <c r="L339" s="2106"/>
    </row>
    <row r="340" spans="1:12" ht="30" customHeight="1" x14ac:dyDescent="0.2">
      <c r="A340" s="2105">
        <v>214</v>
      </c>
      <c r="B340" s="2106" t="s">
        <v>937</v>
      </c>
      <c r="C340" s="2086"/>
      <c r="D340" s="2076">
        <v>200000000</v>
      </c>
      <c r="E340" s="2103">
        <v>5.5E-2</v>
      </c>
      <c r="F340" s="2076">
        <f t="shared" si="37"/>
        <v>11000000</v>
      </c>
      <c r="G340" s="2076">
        <v>11000000</v>
      </c>
      <c r="H340" s="2076" t="s">
        <v>4333</v>
      </c>
      <c r="I340" s="21" t="s">
        <v>3975</v>
      </c>
      <c r="J340" s="2076">
        <f t="shared" si="41"/>
        <v>11000000</v>
      </c>
      <c r="K340" s="2076">
        <f t="shared" si="42"/>
        <v>0</v>
      </c>
      <c r="L340" s="2106"/>
    </row>
    <row r="341" spans="1:12" ht="30" customHeight="1" x14ac:dyDescent="0.2">
      <c r="A341" s="2105">
        <v>216</v>
      </c>
      <c r="B341" s="2375" t="s">
        <v>77</v>
      </c>
      <c r="C341" s="2086" t="s">
        <v>889</v>
      </c>
      <c r="D341" s="2076">
        <v>250000000</v>
      </c>
      <c r="E341" s="2103">
        <v>0.05</v>
      </c>
      <c r="F341" s="2076">
        <f t="shared" si="37"/>
        <v>12500000</v>
      </c>
      <c r="G341" s="2076">
        <v>12500000</v>
      </c>
      <c r="H341" s="2076" t="s">
        <v>4312</v>
      </c>
      <c r="I341" s="18" t="s">
        <v>4335</v>
      </c>
      <c r="J341" s="2076">
        <f t="shared" si="41"/>
        <v>12500000</v>
      </c>
      <c r="K341" s="2076">
        <f t="shared" si="42"/>
        <v>0</v>
      </c>
      <c r="L341" s="2106"/>
    </row>
    <row r="342" spans="1:12" ht="30" customHeight="1" x14ac:dyDescent="0.2">
      <c r="A342" s="2065">
        <v>217</v>
      </c>
      <c r="B342" s="2106" t="s">
        <v>79</v>
      </c>
      <c r="C342" s="2107"/>
      <c r="D342" s="2064">
        <v>160000000</v>
      </c>
      <c r="E342" s="2103">
        <v>0.05</v>
      </c>
      <c r="F342" s="2064">
        <f t="shared" si="37"/>
        <v>8000000</v>
      </c>
      <c r="G342" s="2064"/>
      <c r="H342" s="2064"/>
      <c r="I342" s="2127"/>
      <c r="J342" s="2064">
        <f t="shared" si="41"/>
        <v>0</v>
      </c>
      <c r="K342" s="2064">
        <f t="shared" si="42"/>
        <v>8000000</v>
      </c>
      <c r="L342" s="2073"/>
    </row>
    <row r="343" spans="1:12" ht="30" customHeight="1" x14ac:dyDescent="0.2">
      <c r="A343" s="4459">
        <v>218</v>
      </c>
      <c r="B343" s="4457" t="s">
        <v>80</v>
      </c>
      <c r="C343" s="4537"/>
      <c r="D343" s="4413">
        <v>45000000</v>
      </c>
      <c r="E343" s="4476">
        <v>0.04</v>
      </c>
      <c r="F343" s="4413">
        <f t="shared" si="37"/>
        <v>1800000</v>
      </c>
      <c r="G343" s="2076"/>
      <c r="H343" s="2076"/>
      <c r="I343" s="65" t="s">
        <v>1695</v>
      </c>
      <c r="J343" s="2076">
        <f t="shared" si="41"/>
        <v>0</v>
      </c>
      <c r="K343" s="2076">
        <f t="shared" si="42"/>
        <v>1800000</v>
      </c>
      <c r="L343" s="2106"/>
    </row>
    <row r="344" spans="1:12" ht="30" customHeight="1" x14ac:dyDescent="0.2">
      <c r="A344" s="4460"/>
      <c r="B344" s="4458"/>
      <c r="C344" s="4538"/>
      <c r="D344" s="4415"/>
      <c r="E344" s="4477"/>
      <c r="F344" s="4415"/>
      <c r="G344" s="2076"/>
      <c r="H344" s="2076"/>
      <c r="I344" s="65" t="s">
        <v>3561</v>
      </c>
      <c r="J344" s="2076">
        <f t="shared" si="41"/>
        <v>0</v>
      </c>
      <c r="K344" s="2076"/>
      <c r="L344" s="2015" t="s">
        <v>3562</v>
      </c>
    </row>
    <row r="345" spans="1:12" ht="30" customHeight="1" x14ac:dyDescent="0.2">
      <c r="A345" s="2105">
        <v>219</v>
      </c>
      <c r="B345" s="2106" t="s">
        <v>1791</v>
      </c>
      <c r="C345" s="2086"/>
      <c r="D345" s="2081"/>
      <c r="E345" s="40"/>
      <c r="F345" s="2081">
        <f t="shared" si="37"/>
        <v>0</v>
      </c>
      <c r="G345" s="2076"/>
      <c r="H345" s="2076"/>
      <c r="I345" s="21"/>
      <c r="J345" s="2076"/>
      <c r="K345" s="2081">
        <f t="shared" si="42"/>
        <v>0</v>
      </c>
      <c r="L345" s="2106"/>
    </row>
    <row r="346" spans="1:12" ht="30" customHeight="1" x14ac:dyDescent="0.2">
      <c r="A346" s="2105">
        <v>220</v>
      </c>
      <c r="B346" s="2108" t="s">
        <v>81</v>
      </c>
      <c r="C346" s="2739" t="s">
        <v>889</v>
      </c>
      <c r="D346" s="2075">
        <v>203000000</v>
      </c>
      <c r="E346" s="2077">
        <v>0.05</v>
      </c>
      <c r="F346" s="2075">
        <f t="shared" si="37"/>
        <v>10150000</v>
      </c>
      <c r="G346" s="2076">
        <v>10150000</v>
      </c>
      <c r="H346" s="2076" t="s">
        <v>4363</v>
      </c>
      <c r="I346" s="21" t="s">
        <v>3409</v>
      </c>
      <c r="J346" s="2075">
        <f>G346</f>
        <v>10150000</v>
      </c>
      <c r="K346" s="2075">
        <f t="shared" si="42"/>
        <v>0</v>
      </c>
      <c r="L346" s="2106"/>
    </row>
    <row r="347" spans="1:12" ht="30" customHeight="1" x14ac:dyDescent="0.2">
      <c r="A347" s="2105">
        <v>221</v>
      </c>
      <c r="B347" s="2108" t="s">
        <v>326</v>
      </c>
      <c r="C347" s="2085" t="s">
        <v>1652</v>
      </c>
      <c r="D347" s="2075">
        <v>275000000</v>
      </c>
      <c r="E347" s="2077">
        <v>4.2000000000000003E-2</v>
      </c>
      <c r="F347" s="2075">
        <f>D347*E347</f>
        <v>11550000</v>
      </c>
      <c r="G347" s="2080">
        <v>11550000</v>
      </c>
      <c r="H347" s="2080" t="s">
        <v>4404</v>
      </c>
      <c r="I347" s="384" t="s">
        <v>1654</v>
      </c>
      <c r="J347" s="2075">
        <f>G347</f>
        <v>11550000</v>
      </c>
      <c r="K347" s="2075">
        <f t="shared" si="42"/>
        <v>0</v>
      </c>
      <c r="L347" s="2087"/>
    </row>
    <row r="348" spans="1:12" ht="30" customHeight="1" x14ac:dyDescent="0.2">
      <c r="A348" s="4614">
        <v>222</v>
      </c>
      <c r="B348" s="4457" t="s">
        <v>1818</v>
      </c>
      <c r="C348" s="4537" t="s">
        <v>1287</v>
      </c>
      <c r="D348" s="4413">
        <v>700000000</v>
      </c>
      <c r="E348" s="4476">
        <v>0.06</v>
      </c>
      <c r="F348" s="4413">
        <f>D348*E348</f>
        <v>42000000</v>
      </c>
      <c r="G348" s="4413">
        <v>42000000</v>
      </c>
      <c r="H348" s="4413" t="s">
        <v>2473</v>
      </c>
      <c r="I348" s="4478" t="s">
        <v>3724</v>
      </c>
      <c r="J348" s="4413">
        <f>G348</f>
        <v>42000000</v>
      </c>
      <c r="K348" s="4413">
        <f>F348-J348</f>
        <v>0</v>
      </c>
      <c r="L348" s="2111"/>
    </row>
    <row r="349" spans="1:12" ht="30" customHeight="1" x14ac:dyDescent="0.2">
      <c r="A349" s="4614"/>
      <c r="B349" s="4488"/>
      <c r="C349" s="4540"/>
      <c r="D349" s="4414"/>
      <c r="E349" s="4516"/>
      <c r="F349" s="4414"/>
      <c r="G349" s="4414"/>
      <c r="H349" s="4414"/>
      <c r="I349" s="4520"/>
      <c r="J349" s="4414"/>
      <c r="K349" s="4414"/>
      <c r="L349" s="2113"/>
    </row>
    <row r="350" spans="1:12" ht="30" customHeight="1" x14ac:dyDescent="0.2">
      <c r="A350" s="4614"/>
      <c r="B350" s="4458"/>
      <c r="C350" s="4538"/>
      <c r="D350" s="4415"/>
      <c r="E350" s="4477"/>
      <c r="F350" s="4415"/>
      <c r="G350" s="4415"/>
      <c r="H350" s="4415"/>
      <c r="I350" s="4479"/>
      <c r="J350" s="4415"/>
      <c r="K350" s="4415"/>
      <c r="L350" s="2112"/>
    </row>
    <row r="351" spans="1:12" ht="30" customHeight="1" x14ac:dyDescent="0.2">
      <c r="A351" s="2446">
        <v>223</v>
      </c>
      <c r="B351" s="2445" t="s">
        <v>83</v>
      </c>
      <c r="C351" s="2447" t="s">
        <v>1652</v>
      </c>
      <c r="D351" s="2076">
        <v>100000000</v>
      </c>
      <c r="E351" s="2079">
        <v>0.05</v>
      </c>
      <c r="F351" s="2076">
        <f t="shared" si="37"/>
        <v>5000000</v>
      </c>
      <c r="G351" s="2076">
        <v>5000000</v>
      </c>
      <c r="H351" s="2076" t="s">
        <v>4404</v>
      </c>
      <c r="I351" s="21" t="s">
        <v>3491</v>
      </c>
      <c r="J351" s="2076">
        <f t="shared" ref="J351:J358" si="43">G351</f>
        <v>5000000</v>
      </c>
      <c r="K351" s="2076">
        <f t="shared" ref="K351:K358" si="44">F351-J351</f>
        <v>0</v>
      </c>
      <c r="L351" s="2106"/>
    </row>
    <row r="352" spans="1:12" ht="30" customHeight="1" x14ac:dyDescent="0.2">
      <c r="A352" s="4459">
        <v>224</v>
      </c>
      <c r="B352" s="4457" t="s">
        <v>2623</v>
      </c>
      <c r="C352" s="4537"/>
      <c r="D352" s="4413">
        <v>10000000</v>
      </c>
      <c r="E352" s="4476">
        <v>0.05</v>
      </c>
      <c r="F352" s="4413">
        <f t="shared" si="37"/>
        <v>500000</v>
      </c>
      <c r="G352" s="2076"/>
      <c r="H352" s="2076"/>
      <c r="I352" s="21" t="s">
        <v>3934</v>
      </c>
      <c r="J352" s="2076">
        <f t="shared" si="43"/>
        <v>0</v>
      </c>
      <c r="K352" s="2076">
        <f t="shared" si="44"/>
        <v>500000</v>
      </c>
      <c r="L352" s="2106"/>
    </row>
    <row r="353" spans="1:12" ht="30" customHeight="1" x14ac:dyDescent="0.2">
      <c r="A353" s="4460"/>
      <c r="B353" s="4458"/>
      <c r="C353" s="4538"/>
      <c r="D353" s="4415"/>
      <c r="E353" s="4477"/>
      <c r="F353" s="4415"/>
      <c r="G353" s="2905"/>
      <c r="H353" s="2905"/>
      <c r="I353" s="2930" t="s">
        <v>3934</v>
      </c>
      <c r="J353" s="2905">
        <f t="shared" si="43"/>
        <v>0</v>
      </c>
      <c r="K353" s="2905"/>
      <c r="L353" s="2070"/>
    </row>
    <row r="354" spans="1:12" ht="30" customHeight="1" x14ac:dyDescent="0.2">
      <c r="A354" s="2067">
        <v>226</v>
      </c>
      <c r="B354" s="2109" t="s">
        <v>86</v>
      </c>
      <c r="C354" s="2086" t="s">
        <v>889</v>
      </c>
      <c r="D354" s="2064">
        <v>410000000</v>
      </c>
      <c r="E354" s="2103">
        <v>0.06</v>
      </c>
      <c r="F354" s="2064">
        <f>D354*E354</f>
        <v>24600000</v>
      </c>
      <c r="G354" s="2064">
        <v>24600000</v>
      </c>
      <c r="H354" s="2064" t="s">
        <v>4333</v>
      </c>
      <c r="I354" s="2064" t="s">
        <v>2391</v>
      </c>
      <c r="J354" s="2064">
        <f t="shared" si="43"/>
        <v>24600000</v>
      </c>
      <c r="K354" s="2076">
        <f t="shared" si="44"/>
        <v>0</v>
      </c>
      <c r="L354" s="2074"/>
    </row>
    <row r="355" spans="1:12" ht="30" customHeight="1" x14ac:dyDescent="0.2">
      <c r="A355" s="4459">
        <v>227</v>
      </c>
      <c r="B355" s="4457" t="s">
        <v>87</v>
      </c>
      <c r="C355" s="4537" t="s">
        <v>889</v>
      </c>
      <c r="D355" s="4413">
        <v>20000000</v>
      </c>
      <c r="E355" s="4476">
        <v>0.05</v>
      </c>
      <c r="F355" s="4413">
        <f>D355*E355</f>
        <v>1000000</v>
      </c>
      <c r="G355" s="2076">
        <v>1000000</v>
      </c>
      <c r="H355" s="2076" t="s">
        <v>1193</v>
      </c>
      <c r="I355" s="18" t="s">
        <v>361</v>
      </c>
      <c r="J355" s="2076">
        <f t="shared" si="43"/>
        <v>1000000</v>
      </c>
      <c r="K355" s="2076">
        <f t="shared" si="44"/>
        <v>0</v>
      </c>
      <c r="L355" s="2015" t="s">
        <v>4401</v>
      </c>
    </row>
    <row r="356" spans="1:12" ht="30" customHeight="1" x14ac:dyDescent="0.2">
      <c r="A356" s="4460"/>
      <c r="B356" s="4458"/>
      <c r="C356" s="4538"/>
      <c r="D356" s="4415"/>
      <c r="E356" s="4477"/>
      <c r="F356" s="4415"/>
      <c r="G356" s="2658">
        <v>1000000</v>
      </c>
      <c r="H356" s="2658" t="s">
        <v>4387</v>
      </c>
      <c r="I356" s="18" t="s">
        <v>361</v>
      </c>
      <c r="J356" s="2658">
        <v>1000000</v>
      </c>
      <c r="K356" s="2658">
        <f>F355-J356</f>
        <v>0</v>
      </c>
      <c r="L356" s="2015" t="s">
        <v>4402</v>
      </c>
    </row>
    <row r="357" spans="1:12" ht="30" customHeight="1" x14ac:dyDescent="0.2">
      <c r="A357" s="2105">
        <v>228</v>
      </c>
      <c r="B357" s="2106" t="s">
        <v>88</v>
      </c>
      <c r="C357" s="2086" t="s">
        <v>1176</v>
      </c>
      <c r="D357" s="2076">
        <v>10000000</v>
      </c>
      <c r="E357" s="2103">
        <v>0.04</v>
      </c>
      <c r="F357" s="2076">
        <f t="shared" si="37"/>
        <v>400000</v>
      </c>
      <c r="G357" s="2076">
        <v>400000</v>
      </c>
      <c r="H357" s="2076" t="s">
        <v>4451</v>
      </c>
      <c r="I357" s="26" t="s">
        <v>417</v>
      </c>
      <c r="J357" s="2076">
        <f t="shared" si="43"/>
        <v>400000</v>
      </c>
      <c r="K357" s="2076">
        <f t="shared" si="44"/>
        <v>0</v>
      </c>
      <c r="L357" s="2106"/>
    </row>
    <row r="358" spans="1:12" ht="30" customHeight="1" x14ac:dyDescent="0.2">
      <c r="A358" s="2065">
        <v>229</v>
      </c>
      <c r="B358" s="2068" t="s">
        <v>89</v>
      </c>
      <c r="C358" s="2086" t="s">
        <v>889</v>
      </c>
      <c r="D358" s="2076">
        <v>52000000</v>
      </c>
      <c r="E358" s="2103">
        <v>0.05</v>
      </c>
      <c r="F358" s="2076">
        <f t="shared" si="37"/>
        <v>2600000</v>
      </c>
      <c r="G358" s="2076">
        <v>2600000</v>
      </c>
      <c r="H358" s="2076" t="s">
        <v>4333</v>
      </c>
      <c r="I358" s="21" t="s">
        <v>3970</v>
      </c>
      <c r="J358" s="2076">
        <f t="shared" si="43"/>
        <v>2600000</v>
      </c>
      <c r="K358" s="2076">
        <f t="shared" si="44"/>
        <v>0</v>
      </c>
      <c r="L358" s="2106"/>
    </row>
    <row r="359" spans="1:12" ht="30" customHeight="1" x14ac:dyDescent="0.2">
      <c r="A359" s="4459"/>
      <c r="B359" s="4457" t="s">
        <v>90</v>
      </c>
      <c r="C359" s="4537" t="s">
        <v>1718</v>
      </c>
      <c r="D359" s="2064">
        <v>20000000</v>
      </c>
      <c r="E359" s="2103">
        <v>0.05</v>
      </c>
      <c r="F359" s="2064">
        <f t="shared" si="37"/>
        <v>1000000</v>
      </c>
      <c r="G359" s="4413">
        <v>1750000</v>
      </c>
      <c r="H359" s="4413" t="s">
        <v>4404</v>
      </c>
      <c r="I359" s="4413" t="s">
        <v>4410</v>
      </c>
      <c r="J359" s="4413">
        <f>G359</f>
        <v>1750000</v>
      </c>
      <c r="K359" s="4413">
        <f>(F359+F360+F361+F362)-J359</f>
        <v>0</v>
      </c>
      <c r="L359" s="1662"/>
    </row>
    <row r="360" spans="1:12" ht="30" customHeight="1" x14ac:dyDescent="0.2">
      <c r="A360" s="4464"/>
      <c r="B360" s="4488"/>
      <c r="C360" s="4540"/>
      <c r="D360" s="2064">
        <v>5000000</v>
      </c>
      <c r="E360" s="2103">
        <v>0.05</v>
      </c>
      <c r="F360" s="2064">
        <f t="shared" si="37"/>
        <v>250000</v>
      </c>
      <c r="G360" s="4414"/>
      <c r="H360" s="4414"/>
      <c r="I360" s="4414"/>
      <c r="J360" s="4414"/>
      <c r="K360" s="4414"/>
      <c r="L360" s="1337"/>
    </row>
    <row r="361" spans="1:12" ht="30" customHeight="1" x14ac:dyDescent="0.2">
      <c r="A361" s="4464"/>
      <c r="B361" s="4488"/>
      <c r="C361" s="4540"/>
      <c r="D361" s="2076">
        <v>5000000</v>
      </c>
      <c r="E361" s="2103">
        <v>0.05</v>
      </c>
      <c r="F361" s="2064">
        <f t="shared" si="37"/>
        <v>250000</v>
      </c>
      <c r="G361" s="4414"/>
      <c r="H361" s="4414"/>
      <c r="I361" s="4414"/>
      <c r="J361" s="4414"/>
      <c r="K361" s="4414"/>
      <c r="L361" s="1337" t="s">
        <v>4411</v>
      </c>
    </row>
    <row r="362" spans="1:12" ht="30" customHeight="1" x14ac:dyDescent="0.2">
      <c r="A362" s="4460"/>
      <c r="B362" s="4458"/>
      <c r="C362" s="4538"/>
      <c r="D362" s="2076">
        <v>5000000</v>
      </c>
      <c r="E362" s="2103">
        <v>0.05</v>
      </c>
      <c r="F362" s="2064">
        <f t="shared" si="37"/>
        <v>250000</v>
      </c>
      <c r="G362" s="4415"/>
      <c r="H362" s="4415"/>
      <c r="I362" s="4415"/>
      <c r="J362" s="4415"/>
      <c r="K362" s="4415"/>
      <c r="L362" s="1337"/>
    </row>
    <row r="363" spans="1:12" ht="30" customHeight="1" x14ac:dyDescent="0.2">
      <c r="A363" s="2144">
        <v>231</v>
      </c>
      <c r="B363" s="2108" t="s">
        <v>91</v>
      </c>
      <c r="C363" s="2163" t="s">
        <v>1080</v>
      </c>
      <c r="D363" s="896">
        <v>20000000</v>
      </c>
      <c r="E363" s="2149">
        <v>0.05</v>
      </c>
      <c r="F363" s="2147">
        <f t="shared" ref="F363" si="45">D363*E363</f>
        <v>1000000</v>
      </c>
      <c r="G363" s="2076">
        <v>1000000</v>
      </c>
      <c r="H363" s="2076" t="s">
        <v>4404</v>
      </c>
      <c r="I363" s="2142" t="s">
        <v>1747</v>
      </c>
      <c r="J363" s="2076">
        <f>G363</f>
        <v>1000000</v>
      </c>
      <c r="K363" s="2076">
        <f>F363-G363</f>
        <v>0</v>
      </c>
      <c r="L363" s="2015"/>
    </row>
    <row r="364" spans="1:12" ht="30" customHeight="1" x14ac:dyDescent="0.2">
      <c r="A364" s="2105">
        <v>232</v>
      </c>
      <c r="B364" s="2106" t="s">
        <v>1602</v>
      </c>
      <c r="C364" s="2086" t="s">
        <v>1172</v>
      </c>
      <c r="D364" s="2076">
        <v>55000000</v>
      </c>
      <c r="E364" s="2103">
        <v>0.04</v>
      </c>
      <c r="F364" s="2076">
        <f t="shared" si="37"/>
        <v>2200000</v>
      </c>
      <c r="G364" s="2076">
        <v>2200000</v>
      </c>
      <c r="H364" s="2076" t="s">
        <v>4363</v>
      </c>
      <c r="I364" s="21" t="s">
        <v>4364</v>
      </c>
      <c r="J364" s="2076">
        <f t="shared" ref="J364:J376" si="46">G364</f>
        <v>2200000</v>
      </c>
      <c r="K364" s="2076">
        <f t="shared" ref="K364:K375" si="47">F364-J364</f>
        <v>0</v>
      </c>
      <c r="L364" s="2106"/>
    </row>
    <row r="365" spans="1:12" ht="30" customHeight="1" x14ac:dyDescent="0.2">
      <c r="A365" s="2105">
        <v>233</v>
      </c>
      <c r="B365" s="2106" t="s">
        <v>275</v>
      </c>
      <c r="C365" s="2086" t="s">
        <v>372</v>
      </c>
      <c r="D365" s="2076">
        <v>50000000</v>
      </c>
      <c r="E365" s="2103">
        <v>0.05</v>
      </c>
      <c r="F365" s="2076">
        <f t="shared" si="37"/>
        <v>2500000</v>
      </c>
      <c r="G365" s="4725" t="s">
        <v>5099</v>
      </c>
      <c r="H365" s="4726"/>
      <c r="I365" s="4726"/>
      <c r="J365" s="4727"/>
      <c r="K365" s="2076">
        <f t="shared" si="47"/>
        <v>2500000</v>
      </c>
      <c r="L365" s="2015"/>
    </row>
    <row r="366" spans="1:12" ht="30" customHeight="1" x14ac:dyDescent="0.2">
      <c r="A366" s="2105">
        <v>234</v>
      </c>
      <c r="B366" s="2108" t="s">
        <v>93</v>
      </c>
      <c r="C366" s="2107" t="s">
        <v>1293</v>
      </c>
      <c r="D366" s="2064">
        <v>400000000</v>
      </c>
      <c r="E366" s="2103">
        <f>F366/D366</f>
        <v>5.2499999999999998E-2</v>
      </c>
      <c r="F366" s="2064">
        <v>21000000</v>
      </c>
      <c r="G366" s="2064">
        <v>21000000</v>
      </c>
      <c r="H366" s="2064" t="s">
        <v>4387</v>
      </c>
      <c r="I366" s="2110" t="s">
        <v>506</v>
      </c>
      <c r="J366" s="2064">
        <f t="shared" si="46"/>
        <v>21000000</v>
      </c>
      <c r="K366" s="2076">
        <f t="shared" si="47"/>
        <v>0</v>
      </c>
      <c r="L366" s="2111"/>
    </row>
    <row r="367" spans="1:12" ht="30" customHeight="1" x14ac:dyDescent="0.2">
      <c r="A367" s="4459">
        <v>235</v>
      </c>
      <c r="B367" s="4457" t="s">
        <v>94</v>
      </c>
      <c r="C367" s="4620" t="s">
        <v>1172</v>
      </c>
      <c r="D367" s="4413">
        <v>60000000</v>
      </c>
      <c r="E367" s="4476">
        <v>0.05</v>
      </c>
      <c r="F367" s="4413">
        <f t="shared" si="37"/>
        <v>3000000</v>
      </c>
      <c r="G367" s="4322">
        <v>3000000</v>
      </c>
      <c r="H367" s="4322" t="s">
        <v>1193</v>
      </c>
      <c r="I367" s="4828" t="s">
        <v>4386</v>
      </c>
      <c r="J367" s="4413">
        <f t="shared" si="46"/>
        <v>3000000</v>
      </c>
      <c r="K367" s="4413">
        <f t="shared" si="47"/>
        <v>0</v>
      </c>
      <c r="L367" s="638" t="s">
        <v>3572</v>
      </c>
    </row>
    <row r="368" spans="1:12" ht="30" customHeight="1" x14ac:dyDescent="0.2">
      <c r="A368" s="4464"/>
      <c r="B368" s="4458"/>
      <c r="C368" s="4620"/>
      <c r="D368" s="4415"/>
      <c r="E368" s="4477"/>
      <c r="F368" s="4415"/>
      <c r="G368" s="4322"/>
      <c r="H368" s="4322"/>
      <c r="I368" s="4829"/>
      <c r="J368" s="4415"/>
      <c r="K368" s="4415"/>
      <c r="L368" s="2112" t="s">
        <v>3383</v>
      </c>
    </row>
    <row r="369" spans="1:14" ht="30" customHeight="1" x14ac:dyDescent="0.2">
      <c r="A369" s="2105">
        <v>236</v>
      </c>
      <c r="B369" s="2106" t="s">
        <v>95</v>
      </c>
      <c r="C369" s="2086"/>
      <c r="D369" s="2076">
        <v>20000000</v>
      </c>
      <c r="E369" s="2103">
        <v>0.05</v>
      </c>
      <c r="F369" s="2076">
        <f>D369*E369</f>
        <v>1000000</v>
      </c>
      <c r="G369" s="2076">
        <v>1000000</v>
      </c>
      <c r="H369" s="2076" t="s">
        <v>4451</v>
      </c>
      <c r="I369" s="2095" t="s">
        <v>334</v>
      </c>
      <c r="J369" s="2076">
        <f t="shared" si="46"/>
        <v>1000000</v>
      </c>
      <c r="K369" s="2076">
        <f t="shared" si="47"/>
        <v>0</v>
      </c>
      <c r="L369" s="2015" t="s">
        <v>2685</v>
      </c>
    </row>
    <row r="370" spans="1:14" ht="30" customHeight="1" x14ac:dyDescent="0.2">
      <c r="A370" s="4459"/>
      <c r="B370" s="2070" t="s">
        <v>96</v>
      </c>
      <c r="C370" s="4537" t="s">
        <v>1718</v>
      </c>
      <c r="D370" s="2151">
        <v>55000000</v>
      </c>
      <c r="E370" s="2103">
        <v>0.05</v>
      </c>
      <c r="F370" s="2076">
        <f>D370*E370</f>
        <v>2750000</v>
      </c>
      <c r="G370" s="4413">
        <v>5250000</v>
      </c>
      <c r="H370" s="4413" t="s">
        <v>4404</v>
      </c>
      <c r="I370" s="4413" t="s">
        <v>4417</v>
      </c>
      <c r="J370" s="4413">
        <f>G370</f>
        <v>5250000</v>
      </c>
      <c r="K370" s="4413">
        <f>(F370+F371)-J370</f>
        <v>0</v>
      </c>
      <c r="L370" s="2074" t="s">
        <v>3882</v>
      </c>
    </row>
    <row r="371" spans="1:14" ht="30" customHeight="1" x14ac:dyDescent="0.2">
      <c r="A371" s="4460"/>
      <c r="B371" s="2070" t="s">
        <v>2011</v>
      </c>
      <c r="C371" s="4538"/>
      <c r="D371" s="2151">
        <v>50000000</v>
      </c>
      <c r="E371" s="2103">
        <v>0.05</v>
      </c>
      <c r="F371" s="2076">
        <f>D371*E371</f>
        <v>2500000</v>
      </c>
      <c r="G371" s="4415"/>
      <c r="H371" s="4415"/>
      <c r="I371" s="4415"/>
      <c r="J371" s="4415"/>
      <c r="K371" s="4415"/>
      <c r="L371" s="2074" t="s">
        <v>3882</v>
      </c>
    </row>
    <row r="372" spans="1:14" ht="30" customHeight="1" x14ac:dyDescent="0.2">
      <c r="A372" s="2067"/>
      <c r="B372" s="2070" t="s">
        <v>4009</v>
      </c>
      <c r="C372" s="2086" t="s">
        <v>262</v>
      </c>
      <c r="D372" s="2151">
        <v>10000000</v>
      </c>
      <c r="E372" s="2103">
        <v>0.05</v>
      </c>
      <c r="F372" s="2076">
        <f>D372*E372</f>
        <v>500000</v>
      </c>
      <c r="G372" s="2976">
        <v>500000</v>
      </c>
      <c r="H372" s="2976" t="s">
        <v>4451</v>
      </c>
      <c r="I372" s="2976"/>
      <c r="J372" s="2976">
        <f>G372</f>
        <v>500000</v>
      </c>
      <c r="K372" s="2076">
        <f>F372-J372</f>
        <v>0</v>
      </c>
      <c r="L372" s="2074" t="s">
        <v>4281</v>
      </c>
    </row>
    <row r="373" spans="1:14" ht="30" customHeight="1" x14ac:dyDescent="0.2">
      <c r="A373" s="2105">
        <v>238</v>
      </c>
      <c r="B373" s="2106" t="s">
        <v>97</v>
      </c>
      <c r="C373" s="2086" t="s">
        <v>1176</v>
      </c>
      <c r="D373" s="2076">
        <v>100000000</v>
      </c>
      <c r="E373" s="2103">
        <v>0.05</v>
      </c>
      <c r="F373" s="2076">
        <f t="shared" si="37"/>
        <v>5000000</v>
      </c>
      <c r="G373" s="2076">
        <v>5000000</v>
      </c>
      <c r="H373" s="2076" t="s">
        <v>4404</v>
      </c>
      <c r="I373" s="18" t="s">
        <v>3492</v>
      </c>
      <c r="J373" s="2076">
        <f t="shared" si="46"/>
        <v>5000000</v>
      </c>
      <c r="K373" s="2076">
        <f t="shared" si="47"/>
        <v>0</v>
      </c>
      <c r="L373" s="2106"/>
    </row>
    <row r="374" spans="1:14" ht="30" customHeight="1" x14ac:dyDescent="0.2">
      <c r="A374" s="2105">
        <v>239</v>
      </c>
      <c r="B374" s="2106" t="s">
        <v>98</v>
      </c>
      <c r="C374" s="2086" t="s">
        <v>372</v>
      </c>
      <c r="D374" s="2076">
        <v>50000000</v>
      </c>
      <c r="E374" s="2103">
        <v>0.05</v>
      </c>
      <c r="F374" s="2076">
        <f t="shared" si="37"/>
        <v>2500000</v>
      </c>
      <c r="G374" s="2076">
        <v>2500000</v>
      </c>
      <c r="H374" s="2076" t="s">
        <v>4477</v>
      </c>
      <c r="I374" s="21" t="s">
        <v>2986</v>
      </c>
      <c r="J374" s="2076">
        <f t="shared" si="46"/>
        <v>2500000</v>
      </c>
      <c r="K374" s="2076">
        <f t="shared" si="47"/>
        <v>0</v>
      </c>
      <c r="L374" s="2412" t="s">
        <v>4505</v>
      </c>
    </row>
    <row r="375" spans="1:14" ht="30" customHeight="1" x14ac:dyDescent="0.2">
      <c r="A375" s="2065">
        <v>240</v>
      </c>
      <c r="B375" s="2108" t="s">
        <v>2274</v>
      </c>
      <c r="C375" s="345" t="s">
        <v>990</v>
      </c>
      <c r="D375" s="2075">
        <v>100000000</v>
      </c>
      <c r="E375" s="2077">
        <v>0.04</v>
      </c>
      <c r="F375" s="2075">
        <f t="shared" si="37"/>
        <v>4000000</v>
      </c>
      <c r="G375" s="2076"/>
      <c r="H375" s="2076"/>
      <c r="I375" s="21" t="s">
        <v>3776</v>
      </c>
      <c r="J375" s="2076">
        <f t="shared" si="46"/>
        <v>0</v>
      </c>
      <c r="K375" s="2076">
        <f t="shared" si="47"/>
        <v>4000000</v>
      </c>
      <c r="L375" s="2135"/>
    </row>
    <row r="376" spans="1:14" ht="30" customHeight="1" x14ac:dyDescent="0.2">
      <c r="A376" s="4459">
        <v>241</v>
      </c>
      <c r="B376" s="4457" t="s">
        <v>559</v>
      </c>
      <c r="C376" s="4537" t="s">
        <v>1796</v>
      </c>
      <c r="D376" s="2064">
        <v>20000000</v>
      </c>
      <c r="E376" s="2103">
        <v>7.0000000000000007E-2</v>
      </c>
      <c r="F376" s="2064">
        <f>D376*E376</f>
        <v>1400000.0000000002</v>
      </c>
      <c r="G376" s="4413">
        <v>2300000</v>
      </c>
      <c r="H376" s="4413" t="s">
        <v>4312</v>
      </c>
      <c r="I376" s="4553" t="s">
        <v>557</v>
      </c>
      <c r="J376" s="4413">
        <f t="shared" si="46"/>
        <v>2300000</v>
      </c>
      <c r="K376" s="4413">
        <f>(F376+F377)-J376</f>
        <v>0</v>
      </c>
      <c r="L376" s="4839" t="s">
        <v>3953</v>
      </c>
    </row>
    <row r="377" spans="1:14" ht="30" customHeight="1" x14ac:dyDescent="0.2">
      <c r="A377" s="4464"/>
      <c r="B377" s="4488"/>
      <c r="C377" s="4540"/>
      <c r="D377" s="2064">
        <v>10000000</v>
      </c>
      <c r="E377" s="2103">
        <v>0.09</v>
      </c>
      <c r="F377" s="2064">
        <f>D377*E377</f>
        <v>900000</v>
      </c>
      <c r="G377" s="4415"/>
      <c r="H377" s="4415"/>
      <c r="I377" s="4554"/>
      <c r="J377" s="4415"/>
      <c r="K377" s="4415"/>
      <c r="L377" s="4572"/>
    </row>
    <row r="378" spans="1:14" ht="30" customHeight="1" x14ac:dyDescent="0.2">
      <c r="A378" s="4464"/>
      <c r="B378" s="4488"/>
      <c r="C378" s="4540"/>
      <c r="D378" s="2774">
        <v>20000000</v>
      </c>
      <c r="E378" s="2780">
        <v>7.0000000000000007E-2</v>
      </c>
      <c r="F378" s="2774">
        <f>D378*E378</f>
        <v>1400000.0000000002</v>
      </c>
      <c r="G378" s="4413">
        <v>2300000</v>
      </c>
      <c r="H378" s="4413" t="s">
        <v>4780</v>
      </c>
      <c r="I378" s="4553" t="s">
        <v>557</v>
      </c>
      <c r="J378" s="4413">
        <f>G378</f>
        <v>2300000</v>
      </c>
      <c r="K378" s="4413">
        <f>(F378+F379)-J378</f>
        <v>0</v>
      </c>
      <c r="L378" s="4571" t="s">
        <v>4439</v>
      </c>
    </row>
    <row r="379" spans="1:14" ht="30" customHeight="1" x14ac:dyDescent="0.2">
      <c r="A379" s="4460"/>
      <c r="B379" s="4458"/>
      <c r="C379" s="4538"/>
      <c r="D379" s="2774">
        <v>10000000</v>
      </c>
      <c r="E379" s="2780">
        <v>0.09</v>
      </c>
      <c r="F379" s="2774">
        <f>D379*E379</f>
        <v>900000</v>
      </c>
      <c r="G379" s="4415"/>
      <c r="H379" s="4415"/>
      <c r="I379" s="4554"/>
      <c r="J379" s="4415"/>
      <c r="K379" s="4415"/>
      <c r="L379" s="4572"/>
    </row>
    <row r="380" spans="1:14" ht="30" customHeight="1" x14ac:dyDescent="0.2">
      <c r="A380" s="2105">
        <v>242</v>
      </c>
      <c r="B380" s="2106" t="s">
        <v>100</v>
      </c>
      <c r="C380" s="2086" t="s">
        <v>1652</v>
      </c>
      <c r="D380" s="2076">
        <v>140000000</v>
      </c>
      <c r="E380" s="2079">
        <v>4.4999999999999998E-2</v>
      </c>
      <c r="F380" s="2076">
        <f t="shared" si="37"/>
        <v>6300000</v>
      </c>
      <c r="G380" s="2076">
        <v>6300000</v>
      </c>
      <c r="H380" s="2076" t="s">
        <v>1193</v>
      </c>
      <c r="I380" s="21" t="s">
        <v>3493</v>
      </c>
      <c r="J380" s="2076">
        <f>G380</f>
        <v>6300000</v>
      </c>
      <c r="K380" s="2076">
        <f t="shared" ref="K380:K393" si="48">F380-J380</f>
        <v>0</v>
      </c>
      <c r="L380" s="2135"/>
    </row>
    <row r="381" spans="1:14" ht="30" customHeight="1" x14ac:dyDescent="0.2">
      <c r="A381" s="2105">
        <v>243</v>
      </c>
      <c r="B381" s="19" t="s">
        <v>507</v>
      </c>
      <c r="C381" s="2107" t="s">
        <v>262</v>
      </c>
      <c r="D381" s="2064">
        <v>20000000</v>
      </c>
      <c r="E381" s="2103">
        <v>0.04</v>
      </c>
      <c r="F381" s="2064">
        <f>D381*E381</f>
        <v>800000</v>
      </c>
      <c r="G381" s="2064">
        <v>800000</v>
      </c>
      <c r="H381" s="2064" t="s">
        <v>4451</v>
      </c>
      <c r="I381" s="2064" t="s">
        <v>3564</v>
      </c>
      <c r="J381" s="2064">
        <f>G381</f>
        <v>800000</v>
      </c>
      <c r="K381" s="2064">
        <f t="shared" si="48"/>
        <v>0</v>
      </c>
      <c r="L381" s="2135"/>
      <c r="M381" s="248"/>
      <c r="N381" s="248"/>
    </row>
    <row r="382" spans="1:14" ht="30" customHeight="1" x14ac:dyDescent="0.2">
      <c r="A382" s="2105">
        <v>244</v>
      </c>
      <c r="B382" s="2070" t="s">
        <v>101</v>
      </c>
      <c r="C382" s="2086" t="s">
        <v>372</v>
      </c>
      <c r="D382" s="2076">
        <v>50000000</v>
      </c>
      <c r="E382" s="2103">
        <v>0.05</v>
      </c>
      <c r="F382" s="2076">
        <f t="shared" si="37"/>
        <v>2500000</v>
      </c>
      <c r="G382" s="2076">
        <v>2500000</v>
      </c>
      <c r="H382" s="2076" t="s">
        <v>4404</v>
      </c>
      <c r="I382" s="21" t="s">
        <v>3530</v>
      </c>
      <c r="J382" s="2076">
        <f>G382</f>
        <v>2500000</v>
      </c>
      <c r="K382" s="2076">
        <f t="shared" si="48"/>
        <v>0</v>
      </c>
      <c r="L382" s="2106"/>
    </row>
    <row r="383" spans="1:14" ht="30" customHeight="1" x14ac:dyDescent="0.2">
      <c r="A383" s="2105">
        <v>245</v>
      </c>
      <c r="B383" s="2106" t="s">
        <v>4060</v>
      </c>
      <c r="C383" s="2086" t="s">
        <v>262</v>
      </c>
      <c r="D383" s="2076">
        <v>70000000</v>
      </c>
      <c r="E383" s="2103">
        <v>0.05</v>
      </c>
      <c r="F383" s="2076">
        <f t="shared" si="37"/>
        <v>3500000</v>
      </c>
      <c r="G383" s="2076">
        <v>5000000</v>
      </c>
      <c r="H383" s="2076" t="s">
        <v>4451</v>
      </c>
      <c r="I383" s="2098" t="s">
        <v>4066</v>
      </c>
      <c r="J383" s="2076">
        <f>G383</f>
        <v>5000000</v>
      </c>
      <c r="K383" s="2076">
        <f t="shared" si="48"/>
        <v>-1500000</v>
      </c>
      <c r="L383" s="2129" t="s">
        <v>4452</v>
      </c>
    </row>
    <row r="384" spans="1:14" ht="30" customHeight="1" x14ac:dyDescent="0.2">
      <c r="A384" s="2105">
        <v>246</v>
      </c>
      <c r="B384" s="2106" t="s">
        <v>103</v>
      </c>
      <c r="C384" s="2086" t="s">
        <v>262</v>
      </c>
      <c r="D384" s="2076">
        <v>85000000</v>
      </c>
      <c r="E384" s="2103">
        <v>5.0999999999999997E-2</v>
      </c>
      <c r="F384" s="2076">
        <v>4300000</v>
      </c>
      <c r="G384" s="2076">
        <v>4300000</v>
      </c>
      <c r="H384" s="2076" t="s">
        <v>4451</v>
      </c>
      <c r="I384" s="27" t="s">
        <v>2864</v>
      </c>
      <c r="J384" s="2076">
        <f t="shared" ref="J384:J395" si="49">G384</f>
        <v>4300000</v>
      </c>
      <c r="K384" s="2076">
        <f t="shared" si="48"/>
        <v>0</v>
      </c>
      <c r="L384" s="2106"/>
    </row>
    <row r="385" spans="1:15" ht="30" customHeight="1" x14ac:dyDescent="0.2">
      <c r="A385" s="2105">
        <v>247</v>
      </c>
      <c r="B385" s="2106" t="s">
        <v>104</v>
      </c>
      <c r="C385" s="2086" t="s">
        <v>262</v>
      </c>
      <c r="D385" s="2076">
        <v>220000000</v>
      </c>
      <c r="E385" s="2103">
        <v>7.0000000000000007E-2</v>
      </c>
      <c r="F385" s="2076">
        <f t="shared" si="37"/>
        <v>15400000.000000002</v>
      </c>
      <c r="G385" s="2076">
        <v>15400000</v>
      </c>
      <c r="H385" s="2076" t="s">
        <v>4451</v>
      </c>
      <c r="I385" s="21" t="s">
        <v>4092</v>
      </c>
      <c r="J385" s="2076">
        <f t="shared" si="49"/>
        <v>15400000</v>
      </c>
      <c r="K385" s="2076">
        <f t="shared" si="48"/>
        <v>0</v>
      </c>
      <c r="L385" s="2135" t="s">
        <v>340</v>
      </c>
      <c r="M385" s="859"/>
      <c r="N385" s="860"/>
    </row>
    <row r="386" spans="1:15" ht="30" customHeight="1" x14ac:dyDescent="0.2">
      <c r="A386" s="4459">
        <v>250</v>
      </c>
      <c r="B386" s="4457" t="s">
        <v>107</v>
      </c>
      <c r="C386" s="4537"/>
      <c r="D386" s="2076">
        <v>200000000</v>
      </c>
      <c r="E386" s="2103">
        <v>0.04</v>
      </c>
      <c r="F386" s="2076">
        <f t="shared" si="37"/>
        <v>8000000</v>
      </c>
      <c r="G386" s="4413">
        <v>20500000</v>
      </c>
      <c r="H386" s="4413" t="s">
        <v>4428</v>
      </c>
      <c r="I386" s="4621" t="s">
        <v>1220</v>
      </c>
      <c r="J386" s="4413">
        <f t="shared" si="49"/>
        <v>20500000</v>
      </c>
      <c r="K386" s="4413">
        <f>(F386+F387)-J386</f>
        <v>0</v>
      </c>
      <c r="L386" s="2106"/>
    </row>
    <row r="387" spans="1:15" ht="30" customHeight="1" x14ac:dyDescent="0.2">
      <c r="A387" s="4460"/>
      <c r="B387" s="4458"/>
      <c r="C387" s="4538"/>
      <c r="D387" s="2076">
        <v>250000000</v>
      </c>
      <c r="E387" s="2103">
        <v>0.05</v>
      </c>
      <c r="F387" s="2076">
        <f t="shared" si="37"/>
        <v>12500000</v>
      </c>
      <c r="G387" s="4415"/>
      <c r="H387" s="4415"/>
      <c r="I387" s="4622"/>
      <c r="J387" s="4415"/>
      <c r="K387" s="4415"/>
      <c r="L387" s="2170"/>
    </row>
    <row r="388" spans="1:15" ht="30" customHeight="1" x14ac:dyDescent="0.2">
      <c r="A388" s="4459">
        <v>251</v>
      </c>
      <c r="B388" s="4457" t="s">
        <v>1830</v>
      </c>
      <c r="C388" s="4537" t="s">
        <v>371</v>
      </c>
      <c r="D388" s="2597">
        <v>90000000</v>
      </c>
      <c r="E388" s="2608">
        <v>0.06</v>
      </c>
      <c r="F388" s="2597">
        <f t="shared" si="37"/>
        <v>5400000</v>
      </c>
      <c r="G388" s="2597">
        <v>5400000</v>
      </c>
      <c r="H388" s="4322" t="s">
        <v>4464</v>
      </c>
      <c r="I388" s="4642" t="s">
        <v>4465</v>
      </c>
      <c r="J388" s="2597">
        <f t="shared" si="49"/>
        <v>5400000</v>
      </c>
      <c r="K388" s="2597">
        <f t="shared" si="48"/>
        <v>0</v>
      </c>
      <c r="L388" s="2612"/>
    </row>
    <row r="389" spans="1:15" ht="30" customHeight="1" x14ac:dyDescent="0.2">
      <c r="A389" s="4464"/>
      <c r="B389" s="4488"/>
      <c r="C389" s="4540"/>
      <c r="D389" s="2597">
        <v>100000000</v>
      </c>
      <c r="E389" s="2608">
        <v>7.0000000000000007E-2</v>
      </c>
      <c r="F389" s="2597">
        <f t="shared" si="37"/>
        <v>7000000.0000000009</v>
      </c>
      <c r="G389" s="2597">
        <v>7000000</v>
      </c>
      <c r="H389" s="4322"/>
      <c r="I389" s="4642"/>
      <c r="J389" s="2597">
        <f t="shared" si="49"/>
        <v>7000000</v>
      </c>
      <c r="K389" s="2597">
        <f t="shared" si="48"/>
        <v>0</v>
      </c>
      <c r="L389" s="2604"/>
    </row>
    <row r="390" spans="1:15" ht="30" customHeight="1" x14ac:dyDescent="0.2">
      <c r="A390" s="4460"/>
      <c r="B390" s="4458"/>
      <c r="C390" s="4538"/>
      <c r="D390" s="2599">
        <v>40000000</v>
      </c>
      <c r="E390" s="2600">
        <v>7.0000000000000007E-2</v>
      </c>
      <c r="F390" s="2599">
        <f t="shared" si="37"/>
        <v>2800000.0000000005</v>
      </c>
      <c r="G390" s="4469" t="s">
        <v>4647</v>
      </c>
      <c r="H390" s="4470"/>
      <c r="I390" s="4470"/>
      <c r="J390" s="4471"/>
      <c r="K390" s="2599"/>
      <c r="L390" s="2604"/>
    </row>
    <row r="391" spans="1:15" ht="30" customHeight="1" x14ac:dyDescent="0.2">
      <c r="A391" s="2543"/>
      <c r="B391" s="2540" t="s">
        <v>4607</v>
      </c>
      <c r="C391" s="345"/>
      <c r="D391" s="2530">
        <v>150000000</v>
      </c>
      <c r="E391" s="2534"/>
      <c r="F391" s="2533"/>
      <c r="G391" s="2523"/>
      <c r="H391" s="2525"/>
      <c r="I391" s="543"/>
      <c r="J391" s="2535"/>
      <c r="K391" s="2533"/>
      <c r="L391" s="2538" t="s">
        <v>4608</v>
      </c>
    </row>
    <row r="392" spans="1:15" ht="30" customHeight="1" x14ac:dyDescent="0.2">
      <c r="A392" s="2543"/>
      <c r="B392" s="2540" t="s">
        <v>4611</v>
      </c>
      <c r="C392" s="345"/>
      <c r="D392" s="2530"/>
      <c r="E392" s="2534"/>
      <c r="F392" s="2533"/>
      <c r="G392" s="2523"/>
      <c r="H392" s="2525"/>
      <c r="I392" s="543"/>
      <c r="J392" s="2535"/>
      <c r="K392" s="2533"/>
      <c r="L392" s="2538"/>
    </row>
    <row r="393" spans="1:15" ht="30" customHeight="1" x14ac:dyDescent="0.2">
      <c r="A393" s="4459">
        <v>252</v>
      </c>
      <c r="B393" s="4457" t="s">
        <v>109</v>
      </c>
      <c r="C393" s="4537" t="s">
        <v>262</v>
      </c>
      <c r="D393" s="2076">
        <v>270000000</v>
      </c>
      <c r="E393" s="2079">
        <v>0.05</v>
      </c>
      <c r="F393" s="2076">
        <f>D393*E393</f>
        <v>13500000</v>
      </c>
      <c r="G393" s="4725" t="s">
        <v>4286</v>
      </c>
      <c r="H393" s="4726"/>
      <c r="I393" s="4726"/>
      <c r="J393" s="4727"/>
      <c r="K393" s="2076">
        <f t="shared" si="48"/>
        <v>13500000</v>
      </c>
      <c r="L393" s="2068"/>
    </row>
    <row r="394" spans="1:15" ht="30" customHeight="1" x14ac:dyDescent="0.2">
      <c r="A394" s="4460"/>
      <c r="B394" s="4458"/>
      <c r="C394" s="4538"/>
      <c r="D394" s="2339">
        <v>70000000</v>
      </c>
      <c r="E394" s="2336">
        <v>0.05</v>
      </c>
      <c r="F394" s="2339">
        <f>D394*E394</f>
        <v>3500000</v>
      </c>
      <c r="G394" s="4469" t="s">
        <v>4427</v>
      </c>
      <c r="H394" s="4470"/>
      <c r="I394" s="4470"/>
      <c r="J394" s="4471"/>
      <c r="K394" s="2338"/>
      <c r="L394" s="2349" t="s">
        <v>4426</v>
      </c>
    </row>
    <row r="395" spans="1:15" ht="30" customHeight="1" x14ac:dyDescent="0.2">
      <c r="A395" s="4459">
        <v>253</v>
      </c>
      <c r="B395" s="4457" t="s">
        <v>110</v>
      </c>
      <c r="C395" s="4537" t="s">
        <v>262</v>
      </c>
      <c r="D395" s="2076">
        <v>20000000</v>
      </c>
      <c r="E395" s="2103">
        <v>0.05</v>
      </c>
      <c r="F395" s="2076">
        <f t="shared" si="37"/>
        <v>1000000</v>
      </c>
      <c r="G395" s="4413">
        <v>2000000</v>
      </c>
      <c r="H395" s="4413" t="s">
        <v>4451</v>
      </c>
      <c r="I395" s="4558" t="s">
        <v>3538</v>
      </c>
      <c r="J395" s="4413">
        <f t="shared" si="49"/>
        <v>2000000</v>
      </c>
      <c r="K395" s="4413">
        <f>(F395+F396)-J395</f>
        <v>0</v>
      </c>
      <c r="L395" s="2136" t="s">
        <v>1855</v>
      </c>
      <c r="M395" s="1176"/>
      <c r="N395" s="1176"/>
      <c r="O395" s="1176"/>
    </row>
    <row r="396" spans="1:15" ht="30" customHeight="1" x14ac:dyDescent="0.2">
      <c r="A396" s="4460"/>
      <c r="B396" s="4458"/>
      <c r="C396" s="4538"/>
      <c r="D396" s="2076">
        <v>20000000</v>
      </c>
      <c r="E396" s="2103">
        <v>0.05</v>
      </c>
      <c r="F396" s="2076">
        <f t="shared" si="37"/>
        <v>1000000</v>
      </c>
      <c r="G396" s="4415"/>
      <c r="H396" s="4415"/>
      <c r="I396" s="4560"/>
      <c r="J396" s="4415"/>
      <c r="K396" s="4415"/>
      <c r="L396" s="2136" t="s">
        <v>1869</v>
      </c>
      <c r="M396" s="248"/>
      <c r="N396" s="248"/>
      <c r="O396" s="248"/>
    </row>
    <row r="397" spans="1:15" ht="30" customHeight="1" x14ac:dyDescent="0.2">
      <c r="A397" s="4459">
        <v>254</v>
      </c>
      <c r="B397" s="4599" t="s">
        <v>1893</v>
      </c>
      <c r="C397" s="4537" t="s">
        <v>371</v>
      </c>
      <c r="D397" s="2076">
        <v>175000000</v>
      </c>
      <c r="E397" s="2103">
        <v>0.05</v>
      </c>
      <c r="F397" s="2076">
        <f t="shared" si="37"/>
        <v>8750000</v>
      </c>
      <c r="G397" s="2064">
        <v>8750000</v>
      </c>
      <c r="H397" s="2064" t="s">
        <v>4451</v>
      </c>
      <c r="I397" s="2064" t="s">
        <v>2946</v>
      </c>
      <c r="J397" s="2076">
        <f>G397</f>
        <v>8750000</v>
      </c>
      <c r="K397" s="2076">
        <f>F397-J397</f>
        <v>0</v>
      </c>
      <c r="L397" s="2136" t="s">
        <v>3953</v>
      </c>
      <c r="M397" s="1663"/>
      <c r="N397" s="1663"/>
      <c r="O397" s="1663"/>
    </row>
    <row r="398" spans="1:15" ht="30" customHeight="1" x14ac:dyDescent="0.2">
      <c r="A398" s="4464"/>
      <c r="B398" s="4600"/>
      <c r="C398" s="4540"/>
      <c r="D398" s="2796">
        <v>90000000</v>
      </c>
      <c r="E398" s="2805">
        <v>0.06</v>
      </c>
      <c r="F398" s="2796">
        <f t="shared" si="37"/>
        <v>5400000</v>
      </c>
      <c r="G398" s="4386" t="s">
        <v>4799</v>
      </c>
      <c r="H398" s="4654"/>
      <c r="I398" s="4654"/>
      <c r="J398" s="4655"/>
      <c r="K398" s="2796"/>
      <c r="L398" s="2810"/>
      <c r="M398" s="248"/>
      <c r="N398" s="248"/>
      <c r="O398" s="248"/>
    </row>
    <row r="399" spans="1:15" ht="30" customHeight="1" x14ac:dyDescent="0.2">
      <c r="A399" s="4460"/>
      <c r="B399" s="4607"/>
      <c r="C399" s="4538"/>
      <c r="D399" s="3047">
        <v>265000000</v>
      </c>
      <c r="E399" s="3053"/>
      <c r="F399" s="3047"/>
      <c r="G399" s="2798"/>
      <c r="H399" s="2800"/>
      <c r="I399" s="2793"/>
      <c r="J399" s="2799"/>
      <c r="K399" s="2796"/>
      <c r="L399" s="2810"/>
      <c r="M399" s="248"/>
      <c r="N399" s="248"/>
      <c r="O399" s="248"/>
    </row>
    <row r="400" spans="1:15" ht="30" customHeight="1" x14ac:dyDescent="0.2">
      <c r="A400" s="3">
        <v>255</v>
      </c>
      <c r="B400" s="3055" t="s">
        <v>112</v>
      </c>
      <c r="C400" s="3054" t="s">
        <v>262</v>
      </c>
      <c r="D400" s="2076">
        <v>40000000</v>
      </c>
      <c r="E400" s="2103">
        <v>0.05</v>
      </c>
      <c r="F400" s="2076">
        <f t="shared" si="37"/>
        <v>2000000</v>
      </c>
      <c r="G400" s="2076">
        <v>2000000</v>
      </c>
      <c r="H400" s="2076" t="s">
        <v>4451</v>
      </c>
      <c r="I400" s="18" t="s">
        <v>3539</v>
      </c>
      <c r="J400" s="2076">
        <f>G400</f>
        <v>2000000</v>
      </c>
      <c r="K400" s="2076">
        <f>F400-J400</f>
        <v>0</v>
      </c>
      <c r="L400" s="2106"/>
    </row>
    <row r="401" spans="1:12" ht="30" customHeight="1" x14ac:dyDescent="0.2">
      <c r="A401" s="2105">
        <v>256</v>
      </c>
      <c r="B401" s="2106" t="s">
        <v>113</v>
      </c>
      <c r="C401" s="2086" t="s">
        <v>371</v>
      </c>
      <c r="D401" s="2076">
        <v>100000000</v>
      </c>
      <c r="E401" s="2103">
        <v>0.05</v>
      </c>
      <c r="F401" s="2076">
        <f t="shared" si="37"/>
        <v>5000000</v>
      </c>
      <c r="G401" s="2076">
        <v>5000000</v>
      </c>
      <c r="H401" s="2076" t="s">
        <v>4451</v>
      </c>
      <c r="I401" s="18" t="s">
        <v>4455</v>
      </c>
      <c r="J401" s="2076">
        <f>G401</f>
        <v>5000000</v>
      </c>
      <c r="K401" s="2076">
        <f>F401-J401</f>
        <v>0</v>
      </c>
      <c r="L401" s="2106"/>
    </row>
    <row r="402" spans="1:12" ht="30" customHeight="1" x14ac:dyDescent="0.2">
      <c r="A402" s="2105">
        <v>257</v>
      </c>
      <c r="B402" s="2106" t="s">
        <v>114</v>
      </c>
      <c r="C402" s="2086" t="s">
        <v>1292</v>
      </c>
      <c r="D402" s="2076">
        <v>30000000</v>
      </c>
      <c r="E402" s="2103">
        <v>0.05</v>
      </c>
      <c r="F402" s="2076">
        <f t="shared" si="37"/>
        <v>1500000</v>
      </c>
      <c r="G402" s="2076">
        <v>1500000</v>
      </c>
      <c r="H402" s="2076" t="s">
        <v>4464</v>
      </c>
      <c r="I402" s="21" t="s">
        <v>482</v>
      </c>
      <c r="J402" s="2076">
        <f>G402</f>
        <v>1500000</v>
      </c>
      <c r="K402" s="2076">
        <f>F402-J402</f>
        <v>0</v>
      </c>
      <c r="L402" s="2106"/>
    </row>
    <row r="403" spans="1:12" ht="30" customHeight="1" x14ac:dyDescent="0.2">
      <c r="A403" s="2105">
        <v>258</v>
      </c>
      <c r="B403" s="2106" t="s">
        <v>849</v>
      </c>
      <c r="C403" s="2086" t="s">
        <v>262</v>
      </c>
      <c r="D403" s="2076">
        <v>12000000</v>
      </c>
      <c r="E403" s="2103">
        <v>0.05</v>
      </c>
      <c r="F403" s="2076">
        <f t="shared" si="37"/>
        <v>600000</v>
      </c>
      <c r="G403" s="4413">
        <v>1600000</v>
      </c>
      <c r="H403" s="4413" t="s">
        <v>2473</v>
      </c>
      <c r="I403" s="4553" t="s">
        <v>475</v>
      </c>
      <c r="J403" s="4413">
        <f>G403</f>
        <v>1600000</v>
      </c>
      <c r="K403" s="4413">
        <f>(F403+F404)-J403</f>
        <v>0</v>
      </c>
      <c r="L403" s="4599"/>
    </row>
    <row r="404" spans="1:12" ht="30" customHeight="1" x14ac:dyDescent="0.2">
      <c r="A404" s="2105">
        <v>259</v>
      </c>
      <c r="B404" s="2106" t="s">
        <v>156</v>
      </c>
      <c r="C404" s="2086" t="s">
        <v>262</v>
      </c>
      <c r="D404" s="2076">
        <v>20000000</v>
      </c>
      <c r="E404" s="2103">
        <v>0.05</v>
      </c>
      <c r="F404" s="2076">
        <f>D404*E404</f>
        <v>1000000</v>
      </c>
      <c r="G404" s="4415"/>
      <c r="H404" s="4415"/>
      <c r="I404" s="4554"/>
      <c r="J404" s="4415"/>
      <c r="K404" s="4415"/>
      <c r="L404" s="4607"/>
    </row>
    <row r="405" spans="1:12" ht="30" customHeight="1" x14ac:dyDescent="0.2">
      <c r="A405" s="4459">
        <v>261</v>
      </c>
      <c r="B405" s="4457" t="s">
        <v>117</v>
      </c>
      <c r="C405" s="2086" t="s">
        <v>1300</v>
      </c>
      <c r="D405" s="2076">
        <v>10500000</v>
      </c>
      <c r="E405" s="2103">
        <v>0.05</v>
      </c>
      <c r="F405" s="2076">
        <f t="shared" si="37"/>
        <v>525000</v>
      </c>
      <c r="G405" s="4322">
        <v>1872500</v>
      </c>
      <c r="H405" s="4413" t="s">
        <v>4312</v>
      </c>
      <c r="I405" s="4553" t="s">
        <v>3671</v>
      </c>
      <c r="J405" s="4413">
        <f t="shared" ref="J405:J410" si="50">G405</f>
        <v>1872500</v>
      </c>
      <c r="K405" s="4413">
        <v>0</v>
      </c>
      <c r="L405" s="4680" t="s">
        <v>4321</v>
      </c>
    </row>
    <row r="406" spans="1:12" ht="30" customHeight="1" x14ac:dyDescent="0.2">
      <c r="A406" s="4464"/>
      <c r="B406" s="4488"/>
      <c r="C406" s="4537" t="s">
        <v>3323</v>
      </c>
      <c r="D406" s="2076">
        <v>10000000</v>
      </c>
      <c r="E406" s="2103">
        <v>7.0000000000000007E-2</v>
      </c>
      <c r="F406" s="2076">
        <f>D406*E406</f>
        <v>700000.00000000012</v>
      </c>
      <c r="G406" s="4322"/>
      <c r="H406" s="4414"/>
      <c r="I406" s="4950"/>
      <c r="J406" s="4414"/>
      <c r="K406" s="4414"/>
      <c r="L406" s="4974"/>
    </row>
    <row r="407" spans="1:12" ht="30" customHeight="1" x14ac:dyDescent="0.2">
      <c r="A407" s="4464"/>
      <c r="B407" s="4488"/>
      <c r="C407" s="4540"/>
      <c r="D407" s="2076">
        <v>5000000</v>
      </c>
      <c r="E407" s="2103">
        <v>7.0000000000000007E-2</v>
      </c>
      <c r="F407" s="2076">
        <f>D407*E407</f>
        <v>350000.00000000006</v>
      </c>
      <c r="G407" s="4322"/>
      <c r="H407" s="4415"/>
      <c r="I407" s="4554"/>
      <c r="J407" s="4415"/>
      <c r="K407" s="4415"/>
      <c r="L407" s="4681"/>
    </row>
    <row r="408" spans="1:12" ht="30" customHeight="1" x14ac:dyDescent="0.2">
      <c r="A408" s="2632"/>
      <c r="B408" s="2633"/>
      <c r="C408" s="4538"/>
      <c r="D408" s="2651">
        <v>25500000</v>
      </c>
      <c r="E408" s="897"/>
      <c r="F408" s="2651">
        <f>SUM(F405:F407)</f>
        <v>1575000</v>
      </c>
      <c r="G408" s="2634"/>
      <c r="H408" s="2627"/>
      <c r="I408" s="2638"/>
      <c r="J408" s="2627"/>
      <c r="K408" s="2627"/>
      <c r="L408" s="2640"/>
    </row>
    <row r="409" spans="1:12" ht="30" customHeight="1" x14ac:dyDescent="0.2">
      <c r="A409" s="2105">
        <v>263</v>
      </c>
      <c r="B409" s="19" t="s">
        <v>572</v>
      </c>
      <c r="C409" s="2107"/>
      <c r="D409" s="2064">
        <v>105000000</v>
      </c>
      <c r="E409" s="2103">
        <v>5.8000000000000003E-2</v>
      </c>
      <c r="F409" s="2064">
        <v>6000000</v>
      </c>
      <c r="G409" s="2064">
        <v>6000000</v>
      </c>
      <c r="H409" s="2064" t="s">
        <v>3865</v>
      </c>
      <c r="I409" s="2064" t="s">
        <v>451</v>
      </c>
      <c r="J409" s="2064">
        <f t="shared" si="50"/>
        <v>6000000</v>
      </c>
      <c r="K409" s="2064">
        <f>F409-J409</f>
        <v>0</v>
      </c>
      <c r="L409" s="2115" t="s">
        <v>3478</v>
      </c>
    </row>
    <row r="410" spans="1:12" ht="30" customHeight="1" x14ac:dyDescent="0.2">
      <c r="A410" s="2067">
        <v>264</v>
      </c>
      <c r="B410" s="2070" t="s">
        <v>119</v>
      </c>
      <c r="C410" s="2086" t="s">
        <v>262</v>
      </c>
      <c r="D410" s="2076">
        <v>50000000</v>
      </c>
      <c r="E410" s="2079">
        <f>F410/D410</f>
        <v>0.06</v>
      </c>
      <c r="F410" s="2076">
        <v>3000000</v>
      </c>
      <c r="G410" s="2076">
        <v>3000000</v>
      </c>
      <c r="H410" s="2381" t="s">
        <v>4451</v>
      </c>
      <c r="I410" s="24" t="s">
        <v>3563</v>
      </c>
      <c r="J410" s="2076">
        <f t="shared" si="50"/>
        <v>3000000</v>
      </c>
      <c r="K410" s="2076">
        <f>F410-J410</f>
        <v>0</v>
      </c>
      <c r="L410" s="2136" t="s">
        <v>3860</v>
      </c>
    </row>
    <row r="411" spans="1:12" ht="30" customHeight="1" x14ac:dyDescent="0.2">
      <c r="A411" s="4459">
        <v>265</v>
      </c>
      <c r="B411" s="4615" t="s">
        <v>121</v>
      </c>
      <c r="C411" s="4620" t="s">
        <v>262</v>
      </c>
      <c r="D411" s="4413">
        <v>1000000000</v>
      </c>
      <c r="E411" s="4476">
        <v>7.0000000000000007E-2</v>
      </c>
      <c r="F411" s="4413">
        <f>D411*E411</f>
        <v>70000000</v>
      </c>
      <c r="G411" s="4303" t="s">
        <v>4422</v>
      </c>
      <c r="H411" s="4324"/>
      <c r="I411" s="4355"/>
      <c r="J411" s="4322">
        <f>42000000+G412</f>
        <v>42000000</v>
      </c>
      <c r="K411" s="4413">
        <f>F411-J411</f>
        <v>28000000</v>
      </c>
      <c r="L411" s="2115" t="s">
        <v>3283</v>
      </c>
    </row>
    <row r="412" spans="1:12" ht="30" customHeight="1" x14ac:dyDescent="0.2">
      <c r="A412" s="4464"/>
      <c r="B412" s="4615"/>
      <c r="C412" s="4620"/>
      <c r="D412" s="4415"/>
      <c r="E412" s="4477"/>
      <c r="F412" s="4415"/>
      <c r="G412" s="2339"/>
      <c r="H412" s="2339"/>
      <c r="I412" s="2339" t="s">
        <v>3290</v>
      </c>
      <c r="J412" s="4322"/>
      <c r="K412" s="4415"/>
      <c r="L412" s="1541"/>
    </row>
    <row r="413" spans="1:12" ht="30" customHeight="1" x14ac:dyDescent="0.2">
      <c r="A413" s="2105">
        <v>266</v>
      </c>
      <c r="B413" s="2070" t="s">
        <v>1918</v>
      </c>
      <c r="C413" s="2086"/>
      <c r="D413" s="2076">
        <v>80000000</v>
      </c>
      <c r="E413" s="2079">
        <v>4.4999999999999998E-2</v>
      </c>
      <c r="F413" s="2076">
        <f t="shared" ref="F413:F492" si="51">D413*E413</f>
        <v>3600000</v>
      </c>
      <c r="G413" s="2076">
        <v>3600000</v>
      </c>
      <c r="H413" s="2076" t="s">
        <v>4451</v>
      </c>
      <c r="I413" s="18" t="s">
        <v>4067</v>
      </c>
      <c r="J413" s="2076">
        <f>G413</f>
        <v>3600000</v>
      </c>
      <c r="K413" s="2076">
        <f>F413-J413</f>
        <v>0</v>
      </c>
      <c r="L413" s="2106"/>
    </row>
    <row r="414" spans="1:12" ht="30" customHeight="1" x14ac:dyDescent="0.2">
      <c r="A414" s="4459">
        <v>267</v>
      </c>
      <c r="B414" s="4457" t="s">
        <v>497</v>
      </c>
      <c r="C414" s="4537" t="s">
        <v>371</v>
      </c>
      <c r="D414" s="4413">
        <v>300000000</v>
      </c>
      <c r="E414" s="4476">
        <v>0.04</v>
      </c>
      <c r="F414" s="4413">
        <f>D414*E414</f>
        <v>12000000</v>
      </c>
      <c r="G414" s="4413">
        <v>12000000</v>
      </c>
      <c r="H414" s="4413" t="s">
        <v>4451</v>
      </c>
      <c r="I414" s="4413" t="s">
        <v>3579</v>
      </c>
      <c r="J414" s="4413">
        <f>G414</f>
        <v>12000000</v>
      </c>
      <c r="K414" s="4413">
        <f>F414-J414</f>
        <v>0</v>
      </c>
      <c r="L414" s="2115" t="s">
        <v>2891</v>
      </c>
    </row>
    <row r="415" spans="1:12" ht="30" customHeight="1" x14ac:dyDescent="0.2">
      <c r="A415" s="4460"/>
      <c r="B415" s="4458"/>
      <c r="C415" s="4538"/>
      <c r="D415" s="4415"/>
      <c r="E415" s="4477"/>
      <c r="F415" s="4415"/>
      <c r="G415" s="4415"/>
      <c r="H415" s="4415"/>
      <c r="I415" s="4415"/>
      <c r="J415" s="4415"/>
      <c r="K415" s="4415"/>
      <c r="L415" s="2115" t="s">
        <v>3380</v>
      </c>
    </row>
    <row r="416" spans="1:12" ht="30" customHeight="1" x14ac:dyDescent="0.2">
      <c r="A416" s="2105">
        <v>268</v>
      </c>
      <c r="B416" s="2106" t="s">
        <v>391</v>
      </c>
      <c r="C416" s="2086" t="s">
        <v>392</v>
      </c>
      <c r="D416" s="2076">
        <v>130000000</v>
      </c>
      <c r="E416" s="2103">
        <v>4.4999999999999998E-2</v>
      </c>
      <c r="F416" s="2076">
        <f t="shared" si="51"/>
        <v>5850000</v>
      </c>
      <c r="G416" s="2076">
        <v>5850000</v>
      </c>
      <c r="H416" s="2076" t="s">
        <v>1193</v>
      </c>
      <c r="I416" s="18" t="s">
        <v>3518</v>
      </c>
      <c r="J416" s="2076">
        <f>G416</f>
        <v>5850000</v>
      </c>
      <c r="K416" s="2076">
        <f>F416-J416</f>
        <v>0</v>
      </c>
      <c r="L416" s="2106"/>
    </row>
    <row r="417" spans="1:15" ht="30" customHeight="1" x14ac:dyDescent="0.2">
      <c r="A417" s="4459">
        <v>269</v>
      </c>
      <c r="B417" s="4457" t="s">
        <v>123</v>
      </c>
      <c r="C417" s="4537" t="s">
        <v>262</v>
      </c>
      <c r="D417" s="2076">
        <v>300000000</v>
      </c>
      <c r="E417" s="2103">
        <v>0.05</v>
      </c>
      <c r="F417" s="2076">
        <f t="shared" si="51"/>
        <v>15000000</v>
      </c>
      <c r="G417" s="4725" t="s">
        <v>4286</v>
      </c>
      <c r="H417" s="4726"/>
      <c r="I417" s="4726"/>
      <c r="J417" s="4727"/>
      <c r="K417" s="2076">
        <f>F417-J417</f>
        <v>15000000</v>
      </c>
      <c r="L417" s="2106"/>
    </row>
    <row r="418" spans="1:15" ht="30" customHeight="1" x14ac:dyDescent="0.2">
      <c r="A418" s="4464"/>
      <c r="B418" s="4488"/>
      <c r="C418" s="4540"/>
      <c r="D418" s="2172">
        <v>5000000</v>
      </c>
      <c r="E418" s="2175"/>
      <c r="F418" s="2172"/>
      <c r="G418" s="4301"/>
      <c r="H418" s="4328"/>
      <c r="I418" s="4328"/>
      <c r="J418" s="4345"/>
      <c r="K418" s="2172"/>
      <c r="L418" s="2176"/>
    </row>
    <row r="419" spans="1:15" ht="30" customHeight="1" x14ac:dyDescent="0.2">
      <c r="A419" s="4464"/>
      <c r="B419" s="4488"/>
      <c r="C419" s="4540"/>
      <c r="D419" s="2172">
        <v>180000000</v>
      </c>
      <c r="E419" s="2175"/>
      <c r="F419" s="2172"/>
      <c r="G419" s="21"/>
      <c r="H419" s="543"/>
      <c r="I419" s="543"/>
      <c r="J419" s="2196"/>
      <c r="K419" s="2172"/>
      <c r="L419" s="2176"/>
    </row>
    <row r="420" spans="1:15" ht="30" customHeight="1" x14ac:dyDescent="0.2">
      <c r="A420" s="4460"/>
      <c r="B420" s="4458"/>
      <c r="C420" s="4538"/>
      <c r="D420" s="2172">
        <v>500000000</v>
      </c>
      <c r="E420" s="2175">
        <v>0.06</v>
      </c>
      <c r="F420" s="2172">
        <f>D420*E420</f>
        <v>30000000</v>
      </c>
      <c r="G420" s="4725" t="s">
        <v>4285</v>
      </c>
      <c r="H420" s="4726"/>
      <c r="I420" s="4726"/>
      <c r="J420" s="4727"/>
      <c r="K420" s="2172"/>
      <c r="L420" s="2176"/>
    </row>
    <row r="421" spans="1:15" ht="28.5" customHeight="1" x14ac:dyDescent="0.2">
      <c r="A421" s="2105">
        <v>270</v>
      </c>
      <c r="B421" s="2106" t="s">
        <v>124</v>
      </c>
      <c r="C421" s="2086"/>
      <c r="D421" s="2076">
        <v>20000000</v>
      </c>
      <c r="E421" s="2103">
        <v>5.5E-2</v>
      </c>
      <c r="F421" s="2076">
        <f t="shared" si="51"/>
        <v>1100000</v>
      </c>
      <c r="G421" s="2076">
        <v>1200000</v>
      </c>
      <c r="H421" s="2076" t="s">
        <v>4451</v>
      </c>
      <c r="I421" s="21" t="s">
        <v>492</v>
      </c>
      <c r="J421" s="2076">
        <f>G421</f>
        <v>1200000</v>
      </c>
      <c r="K421" s="2076">
        <f>F421-J421</f>
        <v>-100000</v>
      </c>
      <c r="L421" s="2135" t="s">
        <v>4083</v>
      </c>
    </row>
    <row r="422" spans="1:15" ht="30" customHeight="1" x14ac:dyDescent="0.2">
      <c r="A422" s="4459">
        <v>271</v>
      </c>
      <c r="B422" s="4457" t="s">
        <v>125</v>
      </c>
      <c r="C422" s="2107" t="s">
        <v>359</v>
      </c>
      <c r="D422" s="2064">
        <v>40000000</v>
      </c>
      <c r="E422" s="2103">
        <v>5.5E-2</v>
      </c>
      <c r="F422" s="2064">
        <f t="shared" si="51"/>
        <v>2200000</v>
      </c>
      <c r="G422" s="2064">
        <v>2200000</v>
      </c>
      <c r="H422" s="2064" t="s">
        <v>4451</v>
      </c>
      <c r="I422" s="18" t="s">
        <v>4461</v>
      </c>
      <c r="J422" s="2064">
        <f>G422</f>
        <v>2200000</v>
      </c>
      <c r="K422" s="2064">
        <f>F422-J422</f>
        <v>0</v>
      </c>
      <c r="L422" s="2106"/>
    </row>
    <row r="423" spans="1:15" ht="30" customHeight="1" x14ac:dyDescent="0.2">
      <c r="A423" s="4464"/>
      <c r="B423" s="4488"/>
      <c r="C423" s="4537" t="s">
        <v>1796</v>
      </c>
      <c r="D423" s="2076">
        <v>10000000</v>
      </c>
      <c r="E423" s="2079">
        <v>0.05</v>
      </c>
      <c r="F423" s="2076">
        <f t="shared" si="51"/>
        <v>500000</v>
      </c>
      <c r="G423" s="4413">
        <v>1000000</v>
      </c>
      <c r="H423" s="4413" t="s">
        <v>4780</v>
      </c>
      <c r="I423" s="4413" t="s">
        <v>4461</v>
      </c>
      <c r="J423" s="4413">
        <f>G423</f>
        <v>1000000</v>
      </c>
      <c r="K423" s="4413">
        <f>(F423+F424)-J423</f>
        <v>0</v>
      </c>
      <c r="L423" s="4838" t="s">
        <v>4635</v>
      </c>
      <c r="M423" s="2060"/>
      <c r="N423" s="2060"/>
      <c r="O423" s="2060"/>
    </row>
    <row r="424" spans="1:15" ht="30" customHeight="1" x14ac:dyDescent="0.2">
      <c r="A424" s="4460"/>
      <c r="B424" s="4458"/>
      <c r="C424" s="4538"/>
      <c r="D424" s="2076">
        <v>10000000</v>
      </c>
      <c r="E424" s="2079">
        <v>0.05</v>
      </c>
      <c r="F424" s="2076">
        <f t="shared" si="51"/>
        <v>500000</v>
      </c>
      <c r="G424" s="4415"/>
      <c r="H424" s="4415"/>
      <c r="I424" s="4415"/>
      <c r="J424" s="4415"/>
      <c r="K424" s="4415"/>
      <c r="L424" s="4838"/>
      <c r="M424" s="248"/>
      <c r="N424" s="248"/>
      <c r="O424" s="248"/>
    </row>
    <row r="425" spans="1:15" ht="30" customHeight="1" x14ac:dyDescent="0.2">
      <c r="A425" s="4459"/>
      <c r="B425" s="4615" t="s">
        <v>2524</v>
      </c>
      <c r="C425" s="4537" t="s">
        <v>1287</v>
      </c>
      <c r="D425" s="2138">
        <v>495000000</v>
      </c>
      <c r="E425" s="2132">
        <v>5.5E-2</v>
      </c>
      <c r="F425" s="2138">
        <f>D425*E425</f>
        <v>27225000</v>
      </c>
      <c r="G425" s="4864"/>
      <c r="H425" s="4864"/>
      <c r="I425" s="4864"/>
      <c r="J425" s="4864"/>
      <c r="K425" s="4413">
        <f>F429-J429</f>
        <v>-15000</v>
      </c>
      <c r="L425" s="4643"/>
    </row>
    <row r="426" spans="1:15" ht="30" customHeight="1" x14ac:dyDescent="0.2">
      <c r="A426" s="4464"/>
      <c r="B426" s="4615"/>
      <c r="C426" s="4540"/>
      <c r="D426" s="2138">
        <v>65000000</v>
      </c>
      <c r="E426" s="2132">
        <v>0.06</v>
      </c>
      <c r="F426" s="2138">
        <f>D426*E426</f>
        <v>3900000</v>
      </c>
      <c r="G426" s="4864"/>
      <c r="H426" s="4864"/>
      <c r="I426" s="4864"/>
      <c r="J426" s="4864"/>
      <c r="K426" s="4414"/>
      <c r="L426" s="4647"/>
    </row>
    <row r="427" spans="1:15" ht="30" customHeight="1" x14ac:dyDescent="0.2">
      <c r="A427" s="4464"/>
      <c r="B427" s="4615"/>
      <c r="C427" s="4540"/>
      <c r="D427" s="2138">
        <v>246000000</v>
      </c>
      <c r="E427" s="2132">
        <v>0.06</v>
      </c>
      <c r="F427" s="2138">
        <f>D427*E427</f>
        <v>14760000</v>
      </c>
      <c r="G427" s="4864"/>
      <c r="H427" s="4864"/>
      <c r="I427" s="4864"/>
      <c r="J427" s="4864"/>
      <c r="K427" s="4414"/>
      <c r="L427" s="4647"/>
    </row>
    <row r="428" spans="1:15" ht="30" customHeight="1" x14ac:dyDescent="0.2">
      <c r="A428" s="4464"/>
      <c r="B428" s="4615"/>
      <c r="C428" s="4540"/>
      <c r="D428" s="4822" t="s">
        <v>1787</v>
      </c>
      <c r="E428" s="4823"/>
      <c r="F428" s="2138">
        <v>1300000</v>
      </c>
      <c r="G428" s="4864"/>
      <c r="H428" s="4864"/>
      <c r="I428" s="4864"/>
      <c r="J428" s="4864"/>
      <c r="K428" s="4414"/>
      <c r="L428" s="4647"/>
    </row>
    <row r="429" spans="1:15" ht="30" customHeight="1" x14ac:dyDescent="0.2">
      <c r="A429" s="4464"/>
      <c r="B429" s="4615"/>
      <c r="C429" s="4540"/>
      <c r="D429" s="4832">
        <f>D425+D426+D427</f>
        <v>806000000</v>
      </c>
      <c r="E429" s="4834"/>
      <c r="F429" s="4504">
        <f>F425+F426+F427+F428</f>
        <v>47185000</v>
      </c>
      <c r="G429" s="4553">
        <v>47200000</v>
      </c>
      <c r="H429" s="4553" t="s">
        <v>4477</v>
      </c>
      <c r="I429" s="4553" t="s">
        <v>815</v>
      </c>
      <c r="J429" s="4553">
        <f>G429+G430</f>
        <v>47200000</v>
      </c>
      <c r="K429" s="4414"/>
      <c r="L429" s="4647"/>
    </row>
    <row r="430" spans="1:15" ht="30" customHeight="1" x14ac:dyDescent="0.2">
      <c r="A430" s="4464"/>
      <c r="B430" s="4615"/>
      <c r="C430" s="4540"/>
      <c r="D430" s="4835"/>
      <c r="E430" s="4837"/>
      <c r="F430" s="4505"/>
      <c r="G430" s="4554"/>
      <c r="H430" s="4554"/>
      <c r="I430" s="4554"/>
      <c r="J430" s="4554"/>
      <c r="K430" s="4415"/>
      <c r="L430" s="4644"/>
    </row>
    <row r="431" spans="1:15" ht="30" customHeight="1" x14ac:dyDescent="0.2">
      <c r="A431" s="2105">
        <v>273</v>
      </c>
      <c r="B431" s="2106" t="s">
        <v>127</v>
      </c>
      <c r="C431" s="2107" t="s">
        <v>1291</v>
      </c>
      <c r="D431" s="2076">
        <v>20000000</v>
      </c>
      <c r="E431" s="2103">
        <v>0.05</v>
      </c>
      <c r="F431" s="2076">
        <f t="shared" si="51"/>
        <v>1000000</v>
      </c>
      <c r="G431" s="2076">
        <v>1000000</v>
      </c>
      <c r="H431" s="2076" t="s">
        <v>4477</v>
      </c>
      <c r="I431" s="21" t="s">
        <v>3663</v>
      </c>
      <c r="J431" s="2076">
        <f>G431</f>
        <v>1000000</v>
      </c>
      <c r="K431" s="2076">
        <f>F431-J431</f>
        <v>0</v>
      </c>
      <c r="L431" s="2106"/>
    </row>
    <row r="432" spans="1:15" ht="30" customHeight="1" x14ac:dyDescent="0.2">
      <c r="A432" s="4459">
        <v>274</v>
      </c>
      <c r="B432" s="2108" t="s">
        <v>128</v>
      </c>
      <c r="C432" s="345"/>
      <c r="D432" s="2076">
        <v>50000000</v>
      </c>
      <c r="E432" s="2103">
        <v>0.05</v>
      </c>
      <c r="F432" s="2076">
        <f>D432*E432</f>
        <v>2500000</v>
      </c>
      <c r="G432" s="4725" t="s">
        <v>5041</v>
      </c>
      <c r="H432" s="4726"/>
      <c r="I432" s="4726"/>
      <c r="J432" s="4727"/>
      <c r="K432" s="2076">
        <f>F432-J432</f>
        <v>2500000</v>
      </c>
      <c r="L432" s="162"/>
    </row>
    <row r="433" spans="1:12" ht="30" customHeight="1" x14ac:dyDescent="0.2">
      <c r="A433" s="4460"/>
      <c r="B433" s="2109"/>
      <c r="C433" s="711"/>
      <c r="D433" s="2076">
        <v>50000000</v>
      </c>
      <c r="E433" s="2103">
        <v>0.05</v>
      </c>
      <c r="F433" s="2076">
        <f>D433*E433</f>
        <v>2500000</v>
      </c>
      <c r="G433" s="233"/>
      <c r="H433" s="233"/>
      <c r="I433" s="233"/>
      <c r="J433" s="233"/>
      <c r="K433" s="2076"/>
      <c r="L433" s="2135" t="s">
        <v>3385</v>
      </c>
    </row>
    <row r="434" spans="1:12" ht="30" customHeight="1" x14ac:dyDescent="0.2">
      <c r="A434" s="2105">
        <v>275</v>
      </c>
      <c r="B434" s="2106" t="s">
        <v>129</v>
      </c>
      <c r="C434" s="2086" t="s">
        <v>1291</v>
      </c>
      <c r="D434" s="2076">
        <v>130000000</v>
      </c>
      <c r="E434" s="2103">
        <v>0.05</v>
      </c>
      <c r="F434" s="2076">
        <f t="shared" si="51"/>
        <v>6500000</v>
      </c>
      <c r="G434" s="2076">
        <v>6500000</v>
      </c>
      <c r="H434" s="2076" t="s">
        <v>4477</v>
      </c>
      <c r="I434" s="21" t="s">
        <v>2184</v>
      </c>
      <c r="J434" s="2076">
        <f>G434</f>
        <v>6500000</v>
      </c>
      <c r="K434" s="2076">
        <f>F434-J434</f>
        <v>0</v>
      </c>
      <c r="L434" s="2106"/>
    </row>
    <row r="435" spans="1:12" ht="30" customHeight="1" x14ac:dyDescent="0.2">
      <c r="A435" s="4459">
        <v>276</v>
      </c>
      <c r="B435" s="4457" t="s">
        <v>130</v>
      </c>
      <c r="C435" s="4537"/>
      <c r="D435" s="4413">
        <v>95000000</v>
      </c>
      <c r="E435" s="4476">
        <v>5.2999999999999999E-2</v>
      </c>
      <c r="F435" s="4413">
        <v>5000000</v>
      </c>
      <c r="G435" s="2076">
        <v>5000000</v>
      </c>
      <c r="H435" s="2076" t="s">
        <v>4477</v>
      </c>
      <c r="I435" s="21" t="s">
        <v>3503</v>
      </c>
      <c r="J435" s="2411">
        <f>G435</f>
        <v>5000000</v>
      </c>
      <c r="K435" s="2411">
        <f>F435-J435</f>
        <v>0</v>
      </c>
      <c r="L435" s="764"/>
    </row>
    <row r="436" spans="1:12" ht="30" customHeight="1" x14ac:dyDescent="0.2">
      <c r="A436" s="4460"/>
      <c r="B436" s="4458"/>
      <c r="C436" s="4538"/>
      <c r="D436" s="4415"/>
      <c r="E436" s="4477"/>
      <c r="F436" s="4415"/>
      <c r="G436" s="4301" t="s">
        <v>4506</v>
      </c>
      <c r="H436" s="4328"/>
      <c r="I436" s="4345"/>
      <c r="J436" s="2411"/>
      <c r="K436" s="2411"/>
      <c r="L436" s="764" t="s">
        <v>1326</v>
      </c>
    </row>
    <row r="437" spans="1:12" ht="30" customHeight="1" x14ac:dyDescent="0.2">
      <c r="A437" s="2144">
        <v>277</v>
      </c>
      <c r="B437" s="2145" t="s">
        <v>131</v>
      </c>
      <c r="C437" s="2159" t="s">
        <v>2849</v>
      </c>
      <c r="D437" s="2150">
        <v>200000000</v>
      </c>
      <c r="E437" s="2148">
        <v>0.05</v>
      </c>
      <c r="F437" s="2150">
        <f t="shared" si="51"/>
        <v>10000000</v>
      </c>
      <c r="G437" s="2150">
        <v>10000000</v>
      </c>
      <c r="H437" s="2150" t="s">
        <v>3865</v>
      </c>
      <c r="I437" s="384" t="s">
        <v>4472</v>
      </c>
      <c r="J437" s="2150">
        <f>G437</f>
        <v>10000000</v>
      </c>
      <c r="K437" s="2150">
        <f>F437-J437</f>
        <v>0</v>
      </c>
      <c r="L437" s="2145"/>
    </row>
    <row r="438" spans="1:12" s="1540" customFormat="1" ht="30" customHeight="1" x14ac:dyDescent="0.2">
      <c r="A438" s="2144">
        <v>278</v>
      </c>
      <c r="B438" s="19" t="s">
        <v>620</v>
      </c>
      <c r="C438" s="2435" t="s">
        <v>3007</v>
      </c>
      <c r="D438" s="2143">
        <v>30000000</v>
      </c>
      <c r="E438" s="2161">
        <v>4.4999999999999998E-2</v>
      </c>
      <c r="F438" s="2143">
        <f t="shared" si="51"/>
        <v>1350000</v>
      </c>
      <c r="G438" s="2143">
        <v>1350000</v>
      </c>
      <c r="H438" s="2143" t="s">
        <v>3003</v>
      </c>
      <c r="I438" s="2165" t="s">
        <v>2066</v>
      </c>
      <c r="J438" s="2476">
        <f>G438</f>
        <v>1350000</v>
      </c>
      <c r="K438" s="2476">
        <f>F438-J438</f>
        <v>0</v>
      </c>
      <c r="L438" s="2166"/>
    </row>
    <row r="439" spans="1:12" ht="30" customHeight="1" x14ac:dyDescent="0.2">
      <c r="A439" s="2105">
        <v>279</v>
      </c>
      <c r="B439" s="2106" t="s">
        <v>132</v>
      </c>
      <c r="C439" s="2086" t="s">
        <v>402</v>
      </c>
      <c r="D439" s="2076">
        <v>11000000</v>
      </c>
      <c r="E439" s="2103">
        <v>4.4999999999999998E-2</v>
      </c>
      <c r="F439" s="2076">
        <v>500000</v>
      </c>
      <c r="G439" s="2076">
        <v>500000</v>
      </c>
      <c r="H439" s="2076" t="s">
        <v>1193</v>
      </c>
      <c r="I439" s="21" t="s">
        <v>3670</v>
      </c>
      <c r="J439" s="2076">
        <f t="shared" ref="J439:J446" si="52">G439</f>
        <v>500000</v>
      </c>
      <c r="K439" s="2076">
        <f t="shared" ref="K439:K446" si="53">F439-J439</f>
        <v>0</v>
      </c>
      <c r="L439" s="2106"/>
    </row>
    <row r="440" spans="1:12" ht="30" customHeight="1" x14ac:dyDescent="0.2">
      <c r="A440" s="2105">
        <v>280</v>
      </c>
      <c r="B440" s="1951" t="s">
        <v>458</v>
      </c>
      <c r="C440" s="378"/>
      <c r="D440" s="2064">
        <v>20000000</v>
      </c>
      <c r="E440" s="2103">
        <v>0.05</v>
      </c>
      <c r="F440" s="2064">
        <f t="shared" si="51"/>
        <v>1000000</v>
      </c>
      <c r="G440" s="2064">
        <v>1000000</v>
      </c>
      <c r="H440" s="2064" t="s">
        <v>4598</v>
      </c>
      <c r="I440" s="2064" t="s">
        <v>3756</v>
      </c>
      <c r="J440" s="2064">
        <f t="shared" si="52"/>
        <v>1000000</v>
      </c>
      <c r="K440" s="2064">
        <f t="shared" si="53"/>
        <v>0</v>
      </c>
      <c r="L440" s="1025" t="s">
        <v>3097</v>
      </c>
    </row>
    <row r="441" spans="1:12" ht="30" customHeight="1" x14ac:dyDescent="0.2">
      <c r="A441" s="2067">
        <v>281</v>
      </c>
      <c r="B441" s="2108" t="s">
        <v>133</v>
      </c>
      <c r="C441" s="2086" t="s">
        <v>1290</v>
      </c>
      <c r="D441" s="2076">
        <v>40000000</v>
      </c>
      <c r="E441" s="2079">
        <v>0.05</v>
      </c>
      <c r="F441" s="2076">
        <f t="shared" si="51"/>
        <v>2000000</v>
      </c>
      <c r="G441" s="2076">
        <v>2000000</v>
      </c>
      <c r="H441" s="2076" t="s">
        <v>3865</v>
      </c>
      <c r="I441" s="2076" t="s">
        <v>3679</v>
      </c>
      <c r="J441" s="2076">
        <f t="shared" si="52"/>
        <v>2000000</v>
      </c>
      <c r="K441" s="2076">
        <f t="shared" si="53"/>
        <v>0</v>
      </c>
      <c r="L441" s="2106"/>
    </row>
    <row r="442" spans="1:12" ht="30" customHeight="1" x14ac:dyDescent="0.2">
      <c r="A442" s="2105">
        <v>282</v>
      </c>
      <c r="B442" s="2106" t="s">
        <v>1024</v>
      </c>
      <c r="C442" s="2086" t="s">
        <v>371</v>
      </c>
      <c r="D442" s="2076">
        <v>20000000</v>
      </c>
      <c r="E442" s="2103">
        <v>0.04</v>
      </c>
      <c r="F442" s="2076">
        <f t="shared" si="51"/>
        <v>800000</v>
      </c>
      <c r="G442" s="2076">
        <v>800000</v>
      </c>
      <c r="H442" s="2076" t="s">
        <v>4451</v>
      </c>
      <c r="I442" s="2116" t="s">
        <v>2453</v>
      </c>
      <c r="J442" s="2076">
        <f t="shared" si="52"/>
        <v>800000</v>
      </c>
      <c r="K442" s="2076">
        <f t="shared" si="53"/>
        <v>0</v>
      </c>
      <c r="L442" s="2106"/>
    </row>
    <row r="443" spans="1:12" ht="30" customHeight="1" x14ac:dyDescent="0.2">
      <c r="A443" s="4614"/>
      <c r="B443" s="4626" t="s">
        <v>134</v>
      </c>
      <c r="C443" s="4537" t="s">
        <v>1294</v>
      </c>
      <c r="D443" s="2076">
        <v>50111000</v>
      </c>
      <c r="E443" s="2079">
        <v>0.05</v>
      </c>
      <c r="F443" s="2076">
        <f>D443*E443</f>
        <v>2505550</v>
      </c>
      <c r="G443" s="2064">
        <v>2505500</v>
      </c>
      <c r="H443" s="2064" t="s">
        <v>2473</v>
      </c>
      <c r="I443" s="2064" t="s">
        <v>630</v>
      </c>
      <c r="J443" s="2075">
        <f t="shared" si="52"/>
        <v>2505500</v>
      </c>
      <c r="K443" s="2075">
        <f t="shared" si="53"/>
        <v>50</v>
      </c>
      <c r="L443" s="764"/>
    </row>
    <row r="444" spans="1:12" ht="30" customHeight="1" x14ac:dyDescent="0.2">
      <c r="A444" s="4614"/>
      <c r="B444" s="4627"/>
      <c r="C444" s="4540"/>
      <c r="D444" s="2414">
        <v>3230000</v>
      </c>
      <c r="E444" s="2415">
        <v>0.05</v>
      </c>
      <c r="F444" s="2414">
        <f>D444*E444</f>
        <v>161500</v>
      </c>
      <c r="G444" s="2411"/>
      <c r="H444" s="2411"/>
      <c r="I444" s="2411"/>
      <c r="J444" s="2413"/>
      <c r="K444" s="2413"/>
      <c r="L444" s="764" t="s">
        <v>4499</v>
      </c>
    </row>
    <row r="445" spans="1:12" ht="30" customHeight="1" x14ac:dyDescent="0.2">
      <c r="A445" s="4614"/>
      <c r="B445" s="4628"/>
      <c r="C445" s="4538"/>
      <c r="D445" s="896">
        <f>D443+D444</f>
        <v>53341000</v>
      </c>
      <c r="E445" s="2439">
        <v>0.05</v>
      </c>
      <c r="F445" s="896">
        <f>D445*E445</f>
        <v>2667050</v>
      </c>
      <c r="G445" s="2411"/>
      <c r="H445" s="2411"/>
      <c r="I445" s="2411"/>
      <c r="J445" s="2413"/>
      <c r="K445" s="2413"/>
      <c r="L445" s="764"/>
    </row>
    <row r="446" spans="1:12" ht="30" customHeight="1" x14ac:dyDescent="0.2">
      <c r="A446" s="2066"/>
      <c r="B446" s="2162" t="s">
        <v>4248</v>
      </c>
      <c r="C446" s="2085"/>
      <c r="D446" s="2076">
        <v>67000000</v>
      </c>
      <c r="E446" s="2079">
        <v>0.05</v>
      </c>
      <c r="F446" s="2076">
        <f>D446*E446</f>
        <v>3350000</v>
      </c>
      <c r="G446" s="2143">
        <v>2232000</v>
      </c>
      <c r="H446" s="2143" t="s">
        <v>4333</v>
      </c>
      <c r="I446" s="2143" t="s">
        <v>4356</v>
      </c>
      <c r="J446" s="2143">
        <f t="shared" si="52"/>
        <v>2232000</v>
      </c>
      <c r="K446" s="2075">
        <f t="shared" si="53"/>
        <v>1118000</v>
      </c>
      <c r="L446" s="764" t="s">
        <v>4249</v>
      </c>
    </row>
    <row r="447" spans="1:12" ht="30" customHeight="1" x14ac:dyDescent="0.2">
      <c r="A447" s="4459"/>
      <c r="B447" s="4457" t="s">
        <v>1158</v>
      </c>
      <c r="C447" s="4537"/>
      <c r="D447" s="2126">
        <v>100000000</v>
      </c>
      <c r="E447" s="1931">
        <v>4.4999999999999998E-2</v>
      </c>
      <c r="F447" s="1543">
        <f t="shared" si="51"/>
        <v>4500000</v>
      </c>
      <c r="G447" s="4793" t="s">
        <v>3778</v>
      </c>
      <c r="H447" s="4794"/>
      <c r="I447" s="4794"/>
      <c r="J447" s="4795"/>
      <c r="K447" s="4413"/>
      <c r="L447" s="764"/>
    </row>
    <row r="448" spans="1:12" ht="30" customHeight="1" x14ac:dyDescent="0.2">
      <c r="A448" s="4464"/>
      <c r="B448" s="4488"/>
      <c r="C448" s="4540"/>
      <c r="D448" s="2126">
        <v>60000000</v>
      </c>
      <c r="E448" s="1931">
        <v>0.05</v>
      </c>
      <c r="F448" s="1543">
        <f t="shared" si="51"/>
        <v>3000000</v>
      </c>
      <c r="G448" s="4796"/>
      <c r="H448" s="4797"/>
      <c r="I448" s="4797"/>
      <c r="J448" s="4798"/>
      <c r="K448" s="4414"/>
      <c r="L448" s="1337"/>
    </row>
    <row r="449" spans="1:12" ht="30" customHeight="1" x14ac:dyDescent="0.2">
      <c r="A449" s="4464"/>
      <c r="B449" s="4488"/>
      <c r="C449" s="4540"/>
      <c r="D449" s="2126">
        <v>30000000</v>
      </c>
      <c r="E449" s="1931">
        <v>0.05</v>
      </c>
      <c r="F449" s="1543">
        <f t="shared" si="51"/>
        <v>1500000</v>
      </c>
      <c r="G449" s="4796"/>
      <c r="H449" s="4797"/>
      <c r="I449" s="4797"/>
      <c r="J449" s="4798"/>
      <c r="K449" s="4414"/>
      <c r="L449" s="1337" t="s">
        <v>4681</v>
      </c>
    </row>
    <row r="450" spans="1:12" ht="30" customHeight="1" x14ac:dyDescent="0.2">
      <c r="A450" s="4464"/>
      <c r="B450" s="4488"/>
      <c r="C450" s="4540"/>
      <c r="D450" s="2126">
        <v>40000000</v>
      </c>
      <c r="E450" s="1931">
        <v>0.05</v>
      </c>
      <c r="F450" s="1543">
        <f t="shared" si="51"/>
        <v>2000000</v>
      </c>
      <c r="G450" s="4799"/>
      <c r="H450" s="4800"/>
      <c r="I450" s="4800"/>
      <c r="J450" s="4801"/>
      <c r="K450" s="4415"/>
      <c r="L450" s="1337" t="s">
        <v>4681</v>
      </c>
    </row>
    <row r="451" spans="1:12" ht="30" customHeight="1" x14ac:dyDescent="0.2">
      <c r="A451" s="4460"/>
      <c r="B451" s="4458"/>
      <c r="C451" s="4538"/>
      <c r="D451" s="2126"/>
      <c r="E451" s="1931"/>
      <c r="F451" s="1543">
        <f>SUM(F447:F450)</f>
        <v>11000000</v>
      </c>
      <c r="G451" s="2076">
        <v>11000000</v>
      </c>
      <c r="H451" s="2064" t="s">
        <v>4464</v>
      </c>
      <c r="I451" s="2064" t="s">
        <v>2219</v>
      </c>
      <c r="J451" s="2064">
        <f>G451</f>
        <v>11000000</v>
      </c>
      <c r="K451" s="2076">
        <f>F451-J451</f>
        <v>0</v>
      </c>
      <c r="L451" s="523"/>
    </row>
    <row r="452" spans="1:12" ht="30" customHeight="1" x14ac:dyDescent="0.2">
      <c r="A452" s="4459">
        <v>285</v>
      </c>
      <c r="B452" s="4962" t="s">
        <v>135</v>
      </c>
      <c r="C452" s="4964" t="s">
        <v>2278</v>
      </c>
      <c r="D452" s="2579">
        <v>100000000</v>
      </c>
      <c r="E452" s="2551">
        <v>7.0000000000000007E-2</v>
      </c>
      <c r="F452" s="2579">
        <f t="shared" si="51"/>
        <v>7000000.0000000009</v>
      </c>
      <c r="G452" s="2579">
        <v>7000000</v>
      </c>
      <c r="H452" s="2579" t="s">
        <v>4477</v>
      </c>
      <c r="I452" s="287" t="s">
        <v>3023</v>
      </c>
      <c r="J452" s="2579">
        <f>G452</f>
        <v>7000000</v>
      </c>
      <c r="K452" s="2579">
        <f>F452-J452</f>
        <v>0</v>
      </c>
      <c r="L452" s="4652" t="s">
        <v>1326</v>
      </c>
    </row>
    <row r="453" spans="1:12" ht="30" customHeight="1" x14ac:dyDescent="0.2">
      <c r="A453" s="4460"/>
      <c r="B453" s="4963"/>
      <c r="C453" s="4965"/>
      <c r="D453" s="4978" t="s">
        <v>1983</v>
      </c>
      <c r="E453" s="4979"/>
      <c r="F453" s="4980"/>
      <c r="G453" s="2579">
        <v>100000000</v>
      </c>
      <c r="H453" s="2579" t="s">
        <v>4621</v>
      </c>
      <c r="I453" s="287" t="s">
        <v>4633</v>
      </c>
      <c r="J453" s="2579">
        <f>G453</f>
        <v>100000000</v>
      </c>
      <c r="K453" s="2579"/>
      <c r="L453" s="4685"/>
    </row>
    <row r="454" spans="1:12" ht="30" customHeight="1" x14ac:dyDescent="0.2">
      <c r="A454" s="2065">
        <v>286</v>
      </c>
      <c r="B454" s="2108" t="s">
        <v>1622</v>
      </c>
      <c r="C454" s="2107"/>
      <c r="D454" s="2064">
        <v>35000000</v>
      </c>
      <c r="E454" s="1028">
        <v>0.05</v>
      </c>
      <c r="F454" s="2064">
        <v>1700000</v>
      </c>
      <c r="G454" s="2064">
        <v>1700000</v>
      </c>
      <c r="H454" s="2064" t="s">
        <v>1193</v>
      </c>
      <c r="I454" s="18" t="s">
        <v>307</v>
      </c>
      <c r="J454" s="2064">
        <f>G454</f>
        <v>1700000</v>
      </c>
      <c r="K454" s="2064">
        <f>F454-J454</f>
        <v>0</v>
      </c>
      <c r="L454" s="2093"/>
    </row>
    <row r="455" spans="1:12" ht="30" customHeight="1" x14ac:dyDescent="0.2">
      <c r="A455" s="4459">
        <v>287</v>
      </c>
      <c r="B455" s="4457" t="s">
        <v>137</v>
      </c>
      <c r="C455" s="4537"/>
      <c r="D455" s="2076">
        <v>15000000</v>
      </c>
      <c r="E455" s="2079">
        <v>0.05</v>
      </c>
      <c r="F455" s="2076">
        <f t="shared" si="51"/>
        <v>750000</v>
      </c>
      <c r="G455" s="4413">
        <v>3000000</v>
      </c>
      <c r="H455" s="4413" t="s">
        <v>2473</v>
      </c>
      <c r="I455" s="4478" t="s">
        <v>4517</v>
      </c>
      <c r="J455" s="4413">
        <f>G455+G456</f>
        <v>3000000</v>
      </c>
      <c r="K455" s="4413">
        <f>(F455+F456)-J455</f>
        <v>0</v>
      </c>
      <c r="L455" s="4472"/>
    </row>
    <row r="456" spans="1:12" ht="30" customHeight="1" x14ac:dyDescent="0.2">
      <c r="A456" s="4460"/>
      <c r="B456" s="4458"/>
      <c r="C456" s="4538"/>
      <c r="D456" s="2076">
        <v>45000000</v>
      </c>
      <c r="E456" s="2079">
        <v>0.05</v>
      </c>
      <c r="F456" s="2076">
        <f t="shared" si="51"/>
        <v>2250000</v>
      </c>
      <c r="G456" s="4415"/>
      <c r="H456" s="4415"/>
      <c r="I456" s="4479"/>
      <c r="J456" s="4415"/>
      <c r="K456" s="4415"/>
      <c r="L456" s="4473"/>
    </row>
    <row r="457" spans="1:12" ht="30" customHeight="1" x14ac:dyDescent="0.2">
      <c r="A457" s="2105">
        <v>288</v>
      </c>
      <c r="B457" s="2106" t="s">
        <v>138</v>
      </c>
      <c r="C457" s="2086" t="s">
        <v>1289</v>
      </c>
      <c r="D457" s="2076">
        <v>50000000</v>
      </c>
      <c r="E457" s="2103">
        <v>4.4999999999999998E-2</v>
      </c>
      <c r="F457" s="2076">
        <f t="shared" si="51"/>
        <v>2250000</v>
      </c>
      <c r="G457" s="2076">
        <v>2250000</v>
      </c>
      <c r="H457" s="2076" t="s">
        <v>1017</v>
      </c>
      <c r="I457" s="21" t="s">
        <v>673</v>
      </c>
      <c r="J457" s="2076">
        <f t="shared" ref="J457:J462" si="54">G457</f>
        <v>2250000</v>
      </c>
      <c r="K457" s="2076">
        <f t="shared" ref="K457:K462" si="55">F457-J457</f>
        <v>0</v>
      </c>
      <c r="L457" s="2106"/>
    </row>
    <row r="458" spans="1:12" ht="30" customHeight="1" x14ac:dyDescent="0.2">
      <c r="A458" s="2105">
        <v>289</v>
      </c>
      <c r="B458" s="2106" t="s">
        <v>637</v>
      </c>
      <c r="C458" s="2086" t="s">
        <v>1299</v>
      </c>
      <c r="D458" s="2076">
        <v>25000000</v>
      </c>
      <c r="E458" s="2103">
        <v>5.3999999999999999E-2</v>
      </c>
      <c r="F458" s="2076">
        <f t="shared" si="51"/>
        <v>1350000</v>
      </c>
      <c r="G458" s="2076">
        <v>1350000</v>
      </c>
      <c r="H458" s="2076" t="s">
        <v>3003</v>
      </c>
      <c r="I458" s="18" t="s">
        <v>4556</v>
      </c>
      <c r="J458" s="2076">
        <f t="shared" si="54"/>
        <v>1350000</v>
      </c>
      <c r="K458" s="2076">
        <f t="shared" si="55"/>
        <v>0</v>
      </c>
      <c r="L458" s="2106"/>
    </row>
    <row r="459" spans="1:12" ht="30" customHeight="1" x14ac:dyDescent="0.2">
      <c r="A459" s="2065">
        <v>290</v>
      </c>
      <c r="B459" s="2108" t="s">
        <v>3848</v>
      </c>
      <c r="C459" s="2086" t="s">
        <v>1288</v>
      </c>
      <c r="D459" s="2076">
        <v>1150000000</v>
      </c>
      <c r="E459" s="2103">
        <v>7.0000000000000007E-2</v>
      </c>
      <c r="F459" s="2076">
        <f>D459*E459</f>
        <v>80500000.000000015</v>
      </c>
      <c r="G459" s="2064">
        <v>80500000</v>
      </c>
      <c r="H459" s="2064" t="s">
        <v>1017</v>
      </c>
      <c r="I459" s="2064" t="s">
        <v>2076</v>
      </c>
      <c r="J459" s="2064">
        <f>G459</f>
        <v>80500000</v>
      </c>
      <c r="K459" s="2076">
        <f t="shared" si="55"/>
        <v>0</v>
      </c>
      <c r="L459" s="2111" t="s">
        <v>3859</v>
      </c>
    </row>
    <row r="460" spans="1:12" ht="30" customHeight="1" x14ac:dyDescent="0.2">
      <c r="A460" s="2105">
        <v>292</v>
      </c>
      <c r="B460" s="2106" t="s">
        <v>140</v>
      </c>
      <c r="C460" s="2107" t="s">
        <v>1299</v>
      </c>
      <c r="D460" s="2076">
        <v>100000000</v>
      </c>
      <c r="E460" s="2103">
        <v>0.05</v>
      </c>
      <c r="F460" s="2076">
        <f t="shared" si="51"/>
        <v>5000000</v>
      </c>
      <c r="G460" s="2076">
        <v>5000000</v>
      </c>
      <c r="H460" s="2076" t="s">
        <v>3003</v>
      </c>
      <c r="I460" s="65" t="s">
        <v>4554</v>
      </c>
      <c r="J460" s="2076">
        <f t="shared" si="54"/>
        <v>5000000</v>
      </c>
      <c r="K460" s="2076">
        <f t="shared" si="55"/>
        <v>0</v>
      </c>
      <c r="L460" s="2106"/>
    </row>
    <row r="461" spans="1:12" ht="30" customHeight="1" x14ac:dyDescent="0.2">
      <c r="A461" s="2105">
        <v>293</v>
      </c>
      <c r="B461" s="2106" t="s">
        <v>141</v>
      </c>
      <c r="C461" s="2086" t="s">
        <v>1299</v>
      </c>
      <c r="D461" s="2076">
        <v>75000000</v>
      </c>
      <c r="E461" s="2103">
        <v>0.04</v>
      </c>
      <c r="F461" s="2076">
        <f>D461*E461</f>
        <v>3000000</v>
      </c>
      <c r="G461" s="2076">
        <v>3000000</v>
      </c>
      <c r="H461" s="2076" t="s">
        <v>3003</v>
      </c>
      <c r="I461" s="18" t="s">
        <v>2540</v>
      </c>
      <c r="J461" s="2076">
        <f t="shared" si="54"/>
        <v>3000000</v>
      </c>
      <c r="K461" s="2076">
        <f t="shared" si="55"/>
        <v>0</v>
      </c>
      <c r="L461" s="2106"/>
    </row>
    <row r="462" spans="1:12" ht="30" customHeight="1" x14ac:dyDescent="0.2">
      <c r="A462" s="2496">
        <v>295</v>
      </c>
      <c r="B462" s="2108" t="s">
        <v>142</v>
      </c>
      <c r="C462" s="2486" t="s">
        <v>1299</v>
      </c>
      <c r="D462" s="2076">
        <v>100000000</v>
      </c>
      <c r="E462" s="2103">
        <v>0.05</v>
      </c>
      <c r="F462" s="2076">
        <f t="shared" si="51"/>
        <v>5000000</v>
      </c>
      <c r="G462" s="2476">
        <v>5000000</v>
      </c>
      <c r="H462" s="2476" t="s">
        <v>3003</v>
      </c>
      <c r="I462" s="2476" t="s">
        <v>4086</v>
      </c>
      <c r="J462" s="2476">
        <f t="shared" si="54"/>
        <v>5000000</v>
      </c>
      <c r="K462" s="2476">
        <f t="shared" si="55"/>
        <v>0</v>
      </c>
      <c r="L462" s="764"/>
    </row>
    <row r="463" spans="1:12" ht="30" customHeight="1" x14ac:dyDescent="0.2">
      <c r="A463" s="4459"/>
      <c r="B463" s="4457" t="s">
        <v>4558</v>
      </c>
      <c r="C463" s="4537"/>
      <c r="D463" s="2076">
        <v>10000000</v>
      </c>
      <c r="E463" s="2103">
        <v>0.05</v>
      </c>
      <c r="F463" s="2076">
        <f>D463*E463</f>
        <v>500000</v>
      </c>
      <c r="G463" s="4413">
        <v>1100000</v>
      </c>
      <c r="H463" s="4413" t="s">
        <v>3003</v>
      </c>
      <c r="I463" s="4413" t="s">
        <v>4560</v>
      </c>
      <c r="J463" s="4413">
        <f>G463</f>
        <v>1100000</v>
      </c>
      <c r="K463" s="4413">
        <f>(F463+F464)-J463</f>
        <v>0</v>
      </c>
      <c r="L463" s="4603" t="s">
        <v>4559</v>
      </c>
    </row>
    <row r="464" spans="1:12" ht="30" customHeight="1" x14ac:dyDescent="0.2">
      <c r="A464" s="4464"/>
      <c r="B464" s="4488"/>
      <c r="C464" s="4540"/>
      <c r="D464" s="2484">
        <v>10000000</v>
      </c>
      <c r="E464" s="2479">
        <v>0.06</v>
      </c>
      <c r="F464" s="2485">
        <f>D464*E464</f>
        <v>600000</v>
      </c>
      <c r="G464" s="4415"/>
      <c r="H464" s="4415"/>
      <c r="I464" s="4415"/>
      <c r="J464" s="4415"/>
      <c r="K464" s="4415"/>
      <c r="L464" s="4604"/>
    </row>
    <row r="465" spans="1:12" ht="30" customHeight="1" x14ac:dyDescent="0.2">
      <c r="A465" s="4460"/>
      <c r="B465" s="4458"/>
      <c r="C465" s="4538"/>
      <c r="D465" s="2767">
        <v>10000000</v>
      </c>
      <c r="E465" s="2765"/>
      <c r="F465" s="2768"/>
      <c r="G465" s="2764"/>
      <c r="H465" s="2764"/>
      <c r="I465" s="2767"/>
      <c r="J465" s="2764"/>
      <c r="K465" s="2764"/>
      <c r="L465" s="2770" t="s">
        <v>4762</v>
      </c>
    </row>
    <row r="466" spans="1:12" ht="30" customHeight="1" x14ac:dyDescent="0.2">
      <c r="A466" s="2105">
        <v>296</v>
      </c>
      <c r="B466" s="2106" t="s">
        <v>143</v>
      </c>
      <c r="C466" s="2086" t="s">
        <v>1306</v>
      </c>
      <c r="D466" s="2076">
        <v>35000000</v>
      </c>
      <c r="E466" s="2103">
        <v>0.04</v>
      </c>
      <c r="F466" s="2076">
        <f t="shared" si="51"/>
        <v>1400000</v>
      </c>
      <c r="G466" s="2076">
        <v>1400000</v>
      </c>
      <c r="H466" s="2076" t="s">
        <v>4598</v>
      </c>
      <c r="I466" s="21" t="s">
        <v>1109</v>
      </c>
      <c r="J466" s="2076">
        <f>G466</f>
        <v>1400000</v>
      </c>
      <c r="K466" s="2076">
        <f>F466-J466</f>
        <v>0</v>
      </c>
      <c r="L466" s="2106"/>
    </row>
    <row r="467" spans="1:12" ht="30" customHeight="1" x14ac:dyDescent="0.2">
      <c r="A467" s="2105">
        <v>298</v>
      </c>
      <c r="B467" s="2106" t="s">
        <v>145</v>
      </c>
      <c r="C467" s="2086" t="s">
        <v>1134</v>
      </c>
      <c r="D467" s="2076">
        <v>38000000</v>
      </c>
      <c r="E467" s="2103">
        <v>5.1999999999999998E-2</v>
      </c>
      <c r="F467" s="2076">
        <v>2000000</v>
      </c>
      <c r="G467" s="2076">
        <v>2000000</v>
      </c>
      <c r="H467" s="2076" t="s">
        <v>4598</v>
      </c>
      <c r="I467" s="21" t="s">
        <v>4152</v>
      </c>
      <c r="J467" s="2076">
        <f>G467</f>
        <v>2000000</v>
      </c>
      <c r="K467" s="2076">
        <f>F467-J467</f>
        <v>0</v>
      </c>
      <c r="L467" s="2106"/>
    </row>
    <row r="468" spans="1:12" ht="30" customHeight="1" x14ac:dyDescent="0.2">
      <c r="A468" s="2105">
        <v>300</v>
      </c>
      <c r="B468" s="2108" t="s">
        <v>147</v>
      </c>
      <c r="C468" s="2107" t="s">
        <v>890</v>
      </c>
      <c r="D468" s="2064">
        <v>178000000</v>
      </c>
      <c r="E468" s="2103">
        <v>5.8999999999999997E-2</v>
      </c>
      <c r="F468" s="2064">
        <v>10500000</v>
      </c>
      <c r="G468" s="2076">
        <v>10500000</v>
      </c>
      <c r="H468" s="2076" t="s">
        <v>4621</v>
      </c>
      <c r="I468" s="21" t="s">
        <v>3469</v>
      </c>
      <c r="J468" s="2076">
        <f>G468</f>
        <v>10500000</v>
      </c>
      <c r="K468" s="2064">
        <f>F468-J468</f>
        <v>0</v>
      </c>
      <c r="L468" s="2106"/>
    </row>
    <row r="469" spans="1:12" ht="30" customHeight="1" x14ac:dyDescent="0.2">
      <c r="A469" s="2105">
        <v>301</v>
      </c>
      <c r="B469" s="2106" t="s">
        <v>2347</v>
      </c>
      <c r="C469" s="2086"/>
      <c r="D469" s="2076">
        <v>10000000</v>
      </c>
      <c r="E469" s="2079">
        <v>0.04</v>
      </c>
      <c r="F469" s="2076">
        <f>D469*E469</f>
        <v>400000</v>
      </c>
      <c r="G469" s="2076">
        <v>400000</v>
      </c>
      <c r="H469" s="2076" t="s">
        <v>4621</v>
      </c>
      <c r="I469" s="2096" t="s">
        <v>723</v>
      </c>
      <c r="J469" s="2076">
        <f>G469</f>
        <v>400000</v>
      </c>
      <c r="K469" s="2076">
        <f>F469-J469</f>
        <v>0</v>
      </c>
      <c r="L469" s="2135"/>
    </row>
    <row r="470" spans="1:12" ht="30" customHeight="1" x14ac:dyDescent="0.2">
      <c r="A470" s="4459">
        <v>302</v>
      </c>
      <c r="B470" s="4457" t="s">
        <v>149</v>
      </c>
      <c r="C470" s="4537" t="s">
        <v>1296</v>
      </c>
      <c r="D470" s="2076">
        <v>60000000</v>
      </c>
      <c r="E470" s="2103">
        <v>4.4999999999999998E-2</v>
      </c>
      <c r="F470" s="2076">
        <f t="shared" si="51"/>
        <v>2700000</v>
      </c>
      <c r="G470" s="4725" t="s">
        <v>4286</v>
      </c>
      <c r="H470" s="4726"/>
      <c r="I470" s="4726"/>
      <c r="J470" s="4727"/>
      <c r="K470" s="2076">
        <f>F470-J470</f>
        <v>2700000</v>
      </c>
      <c r="L470" s="2669" t="s">
        <v>4693</v>
      </c>
    </row>
    <row r="471" spans="1:12" ht="30" customHeight="1" x14ac:dyDescent="0.2">
      <c r="A471" s="4460"/>
      <c r="B471" s="4458"/>
      <c r="C471" s="4538"/>
      <c r="D471" s="896">
        <v>100000000</v>
      </c>
      <c r="E471" s="897">
        <v>0.05</v>
      </c>
      <c r="F471" s="896">
        <f>D471*E471</f>
        <v>5000000</v>
      </c>
      <c r="G471" s="4469" t="s">
        <v>4596</v>
      </c>
      <c r="H471" s="4470"/>
      <c r="I471" s="4470"/>
      <c r="J471" s="4471"/>
      <c r="K471" s="2498"/>
      <c r="L471" s="2513" t="s">
        <v>4595</v>
      </c>
    </row>
    <row r="472" spans="1:12" ht="30" customHeight="1" x14ac:dyDescent="0.2">
      <c r="A472" s="4467"/>
      <c r="B472" s="4457" t="s">
        <v>150</v>
      </c>
      <c r="C472" s="4537" t="s">
        <v>1796</v>
      </c>
      <c r="D472" s="2703">
        <v>1916000000</v>
      </c>
      <c r="E472" s="2715"/>
      <c r="F472" s="2703"/>
      <c r="G472" s="4469" t="s">
        <v>4711</v>
      </c>
      <c r="H472" s="4470"/>
      <c r="I472" s="4470"/>
      <c r="J472" s="4471"/>
      <c r="K472" s="2703"/>
      <c r="L472" s="2720"/>
    </row>
    <row r="473" spans="1:12" ht="30" customHeight="1" x14ac:dyDescent="0.2">
      <c r="A473" s="4889"/>
      <c r="B473" s="4488"/>
      <c r="C473" s="4540"/>
      <c r="D473" s="2703">
        <f>D472-228000000</f>
        <v>1688000000</v>
      </c>
      <c r="E473" s="2715"/>
      <c r="F473" s="2703"/>
      <c r="G473" s="4469" t="s">
        <v>4714</v>
      </c>
      <c r="H473" s="4470"/>
      <c r="I473" s="4470"/>
      <c r="J473" s="4471"/>
      <c r="K473" s="2703"/>
      <c r="L473" s="2720"/>
    </row>
    <row r="474" spans="1:12" ht="30" customHeight="1" x14ac:dyDescent="0.2">
      <c r="A474" s="4889"/>
      <c r="B474" s="4488"/>
      <c r="C474" s="4540"/>
      <c r="D474" s="2703">
        <f>D473+300000000</f>
        <v>1988000000</v>
      </c>
      <c r="E474" s="2715"/>
      <c r="F474" s="2703"/>
      <c r="G474" s="4469" t="s">
        <v>4706</v>
      </c>
      <c r="H474" s="4470"/>
      <c r="I474" s="4470"/>
      <c r="J474" s="4471"/>
      <c r="K474" s="2703"/>
      <c r="L474" s="2720"/>
    </row>
    <row r="475" spans="1:12" ht="30" customHeight="1" x14ac:dyDescent="0.2">
      <c r="A475" s="4889"/>
      <c r="B475" s="4488"/>
      <c r="C475" s="4540"/>
      <c r="D475" s="2703">
        <f>D474+27000000</f>
        <v>2015000000</v>
      </c>
      <c r="E475" s="2715"/>
      <c r="F475" s="2703"/>
      <c r="G475" s="4469" t="s">
        <v>4707</v>
      </c>
      <c r="H475" s="4470"/>
      <c r="I475" s="4470"/>
      <c r="J475" s="4471"/>
      <c r="K475" s="2703"/>
      <c r="L475" s="2720"/>
    </row>
    <row r="476" spans="1:12" ht="30" customHeight="1" x14ac:dyDescent="0.2">
      <c r="A476" s="4889"/>
      <c r="B476" s="4488"/>
      <c r="C476" s="4540"/>
      <c r="D476" s="2703">
        <f>D475+385000000</f>
        <v>2400000000</v>
      </c>
      <c r="E476" s="2715"/>
      <c r="F476" s="2703"/>
      <c r="G476" s="4469" t="s">
        <v>4708</v>
      </c>
      <c r="H476" s="4470"/>
      <c r="I476" s="4470"/>
      <c r="J476" s="4471"/>
      <c r="K476" s="2703"/>
      <c r="L476" s="2720"/>
    </row>
    <row r="477" spans="1:12" ht="30" customHeight="1" x14ac:dyDescent="0.2">
      <c r="A477" s="4889"/>
      <c r="B477" s="4488"/>
      <c r="C477" s="4540"/>
      <c r="D477" s="2703">
        <f>D476+115000000</f>
        <v>2515000000</v>
      </c>
      <c r="E477" s="2715"/>
      <c r="F477" s="2703"/>
      <c r="G477" s="4469" t="s">
        <v>4709</v>
      </c>
      <c r="H477" s="4470"/>
      <c r="I477" s="4470"/>
      <c r="J477" s="4471"/>
      <c r="K477" s="2703"/>
      <c r="L477" s="2720"/>
    </row>
    <row r="478" spans="1:12" ht="30" customHeight="1" x14ac:dyDescent="0.2">
      <c r="A478" s="4889"/>
      <c r="B478" s="4488"/>
      <c r="C478" s="4540"/>
      <c r="D478" s="4413">
        <f>D477+47000000</f>
        <v>2562000000</v>
      </c>
      <c r="E478" s="4476">
        <f>F478/D478</f>
        <v>7.8556596409055421E-2</v>
      </c>
      <c r="F478" s="4413">
        <v>201262000</v>
      </c>
      <c r="G478" s="4469" t="s">
        <v>4710</v>
      </c>
      <c r="H478" s="4470"/>
      <c r="I478" s="4470"/>
      <c r="J478" s="4471"/>
      <c r="K478" s="2703"/>
      <c r="L478" s="2720"/>
    </row>
    <row r="479" spans="1:12" ht="30" customHeight="1" x14ac:dyDescent="0.2">
      <c r="A479" s="4889"/>
      <c r="B479" s="4488"/>
      <c r="C479" s="4540"/>
      <c r="D479" s="4414"/>
      <c r="E479" s="4516"/>
      <c r="F479" s="4414"/>
      <c r="G479" s="517">
        <v>1262000</v>
      </c>
      <c r="H479" s="517" t="s">
        <v>2125</v>
      </c>
      <c r="I479" s="517" t="s">
        <v>4593</v>
      </c>
      <c r="J479" s="4413">
        <f>G479+G480+G481</f>
        <v>1262000</v>
      </c>
      <c r="K479" s="4413">
        <f>F478-J479</f>
        <v>200000000</v>
      </c>
      <c r="L479" s="2720"/>
    </row>
    <row r="480" spans="1:12" ht="30" customHeight="1" x14ac:dyDescent="0.2">
      <c r="A480" s="4889"/>
      <c r="B480" s="4488"/>
      <c r="C480" s="4540"/>
      <c r="D480" s="4414"/>
      <c r="E480" s="4516"/>
      <c r="F480" s="4414"/>
      <c r="G480" s="2722"/>
      <c r="H480" s="2722"/>
      <c r="I480" s="2722"/>
      <c r="J480" s="4414"/>
      <c r="K480" s="4414"/>
      <c r="L480" s="2720"/>
    </row>
    <row r="481" spans="1:12" ht="30" customHeight="1" x14ac:dyDescent="0.2">
      <c r="A481" s="4889"/>
      <c r="B481" s="4488"/>
      <c r="C481" s="4540"/>
      <c r="D481" s="4415"/>
      <c r="E481" s="4477"/>
      <c r="F481" s="4415"/>
      <c r="G481" s="2722"/>
      <c r="H481" s="2722"/>
      <c r="I481" s="2722"/>
      <c r="J481" s="4415"/>
      <c r="K481" s="4415"/>
      <c r="L481" s="2720"/>
    </row>
    <row r="482" spans="1:12" ht="30" customHeight="1" x14ac:dyDescent="0.2">
      <c r="A482" s="4889"/>
      <c r="B482" s="4488"/>
      <c r="C482" s="4540"/>
      <c r="D482" s="4861">
        <f>D478-340000000</f>
        <v>2222000000</v>
      </c>
      <c r="E482" s="4802">
        <f>F482/D482</f>
        <v>8.1903690369036899E-2</v>
      </c>
      <c r="F482" s="4861">
        <v>181990000</v>
      </c>
      <c r="G482" s="4804" t="s">
        <v>4713</v>
      </c>
      <c r="H482" s="4805"/>
      <c r="I482" s="4805"/>
      <c r="J482" s="4806"/>
      <c r="K482" s="2703"/>
      <c r="L482" s="2720"/>
    </row>
    <row r="483" spans="1:12" ht="30" customHeight="1" x14ac:dyDescent="0.2">
      <c r="A483" s="4889"/>
      <c r="B483" s="4488"/>
      <c r="C483" s="4540"/>
      <c r="D483" s="4862"/>
      <c r="E483" s="5016"/>
      <c r="F483" s="4862"/>
      <c r="G483" s="4804" t="s">
        <v>4712</v>
      </c>
      <c r="H483" s="4805"/>
      <c r="I483" s="4805"/>
      <c r="J483" s="4806"/>
      <c r="K483" s="2703"/>
      <c r="L483" s="2720"/>
    </row>
    <row r="484" spans="1:12" ht="30" customHeight="1" x14ac:dyDescent="0.2">
      <c r="A484" s="4468"/>
      <c r="B484" s="4458"/>
      <c r="C484" s="4538"/>
      <c r="D484" s="4863"/>
      <c r="E484" s="4803"/>
      <c r="F484" s="4863"/>
      <c r="G484" s="1857"/>
      <c r="H484" s="1857"/>
      <c r="I484" s="1857"/>
      <c r="J484" s="1857"/>
      <c r="K484" s="2703"/>
      <c r="L484" s="2720"/>
    </row>
    <row r="485" spans="1:12" ht="30" customHeight="1" x14ac:dyDescent="0.2">
      <c r="A485" s="4459">
        <v>305</v>
      </c>
      <c r="B485" s="4457" t="s">
        <v>152</v>
      </c>
      <c r="C485" s="4537"/>
      <c r="D485" s="4413">
        <v>750000000</v>
      </c>
      <c r="E485" s="4476">
        <v>6.5000000000000002E-2</v>
      </c>
      <c r="F485" s="4413">
        <v>48000000</v>
      </c>
      <c r="G485" s="2707">
        <v>38000000</v>
      </c>
      <c r="H485" s="2707" t="s">
        <v>4815</v>
      </c>
      <c r="I485" s="21" t="s">
        <v>2394</v>
      </c>
      <c r="J485" s="4413">
        <f>G485+G486</f>
        <v>38000000</v>
      </c>
      <c r="K485" s="4413">
        <f>38000000-J485</f>
        <v>0</v>
      </c>
      <c r="L485" s="345"/>
    </row>
    <row r="486" spans="1:12" ht="30" customHeight="1" x14ac:dyDescent="0.2">
      <c r="A486" s="4464"/>
      <c r="B486" s="4488"/>
      <c r="C486" s="4540"/>
      <c r="D486" s="4414"/>
      <c r="E486" s="4516"/>
      <c r="F486" s="4414"/>
      <c r="G486" s="2707"/>
      <c r="H486" s="2707"/>
      <c r="I486" s="21" t="s">
        <v>2394</v>
      </c>
      <c r="J486" s="4414"/>
      <c r="K486" s="4414"/>
      <c r="L486" s="345" t="s">
        <v>3350</v>
      </c>
    </row>
    <row r="487" spans="1:12" ht="30" customHeight="1" x14ac:dyDescent="0.2">
      <c r="A487" s="4464"/>
      <c r="B487" s="4488"/>
      <c r="C487" s="4540"/>
      <c r="D487" s="4414"/>
      <c r="E487" s="4516"/>
      <c r="F487" s="4414"/>
      <c r="G487" s="2707"/>
      <c r="H487" s="2707"/>
      <c r="I487" s="21" t="s">
        <v>2394</v>
      </c>
      <c r="J487" s="4414"/>
      <c r="K487" s="4414"/>
      <c r="L487" s="345"/>
    </row>
    <row r="488" spans="1:12" ht="30" customHeight="1" x14ac:dyDescent="0.2">
      <c r="A488" s="4460"/>
      <c r="B488" s="4458"/>
      <c r="C488" s="4538"/>
      <c r="D488" s="4415"/>
      <c r="E488" s="4477"/>
      <c r="F488" s="4415"/>
      <c r="G488" s="2707"/>
      <c r="H488" s="2707"/>
      <c r="I488" s="21" t="s">
        <v>2394</v>
      </c>
      <c r="J488" s="4415"/>
      <c r="K488" s="4415"/>
      <c r="L488" s="345"/>
    </row>
    <row r="489" spans="1:12" ht="30" customHeight="1" x14ac:dyDescent="0.2">
      <c r="A489" s="4459">
        <v>307</v>
      </c>
      <c r="B489" s="4457" t="s">
        <v>154</v>
      </c>
      <c r="C489" s="4537" t="s">
        <v>1306</v>
      </c>
      <c r="D489" s="2707">
        <v>240000000</v>
      </c>
      <c r="E489" s="2715">
        <v>0.05</v>
      </c>
      <c r="F489" s="2707">
        <f t="shared" si="51"/>
        <v>12000000</v>
      </c>
      <c r="G489" s="2707">
        <v>12000000</v>
      </c>
      <c r="H489" s="2707" t="s">
        <v>4598</v>
      </c>
      <c r="I489" s="21" t="s">
        <v>2409</v>
      </c>
      <c r="J489" s="2707">
        <f>G489</f>
        <v>12000000</v>
      </c>
      <c r="K489" s="2707">
        <f>F489-J489</f>
        <v>0</v>
      </c>
      <c r="L489" s="2717"/>
    </row>
    <row r="490" spans="1:12" ht="30" customHeight="1" x14ac:dyDescent="0.2">
      <c r="A490" s="4464"/>
      <c r="B490" s="4488"/>
      <c r="C490" s="4540"/>
      <c r="D490" s="4303" t="s">
        <v>3892</v>
      </c>
      <c r="E490" s="4324"/>
      <c r="F490" s="4355"/>
      <c r="G490" s="2914">
        <v>20000000</v>
      </c>
      <c r="H490" s="2914" t="s">
        <v>4815</v>
      </c>
      <c r="I490" s="2922" t="s">
        <v>2655</v>
      </c>
      <c r="J490" s="2914">
        <f>G490</f>
        <v>20000000</v>
      </c>
      <c r="K490" s="2914"/>
      <c r="L490" s="2907"/>
    </row>
    <row r="491" spans="1:12" ht="30" customHeight="1" x14ac:dyDescent="0.2">
      <c r="A491" s="4460"/>
      <c r="B491" s="4458"/>
      <c r="C491" s="4538"/>
      <c r="D491" s="2927">
        <v>220000000</v>
      </c>
      <c r="E491" s="897">
        <v>0.05</v>
      </c>
      <c r="F491" s="2927">
        <f>D491*E491</f>
        <v>11000000</v>
      </c>
      <c r="G491" s="2911"/>
      <c r="H491" s="2911"/>
      <c r="I491" s="2929"/>
      <c r="J491" s="2911"/>
      <c r="K491" s="2911"/>
      <c r="L491" s="2907"/>
    </row>
    <row r="492" spans="1:12" ht="30" customHeight="1" x14ac:dyDescent="0.2">
      <c r="A492" s="2704">
        <v>308</v>
      </c>
      <c r="B492" s="2719" t="s">
        <v>155</v>
      </c>
      <c r="C492" s="2718" t="s">
        <v>1294</v>
      </c>
      <c r="D492" s="2703">
        <v>300000000</v>
      </c>
      <c r="E492" s="2715">
        <v>0.05</v>
      </c>
      <c r="F492" s="2703">
        <f t="shared" si="51"/>
        <v>15000000</v>
      </c>
      <c r="G492" s="4413">
        <v>24000000</v>
      </c>
      <c r="H492" s="4413" t="s">
        <v>1017</v>
      </c>
      <c r="I492" s="4553" t="s">
        <v>1873</v>
      </c>
      <c r="J492" s="4413">
        <f>G492</f>
        <v>24000000</v>
      </c>
      <c r="K492" s="4413">
        <f>(F492+F493)-J492</f>
        <v>0</v>
      </c>
      <c r="L492" s="4643"/>
    </row>
    <row r="493" spans="1:12" ht="30" customHeight="1" x14ac:dyDescent="0.2">
      <c r="A493" s="2716">
        <v>309</v>
      </c>
      <c r="B493" s="2719" t="s">
        <v>1874</v>
      </c>
      <c r="C493" s="2718" t="s">
        <v>372</v>
      </c>
      <c r="D493" s="2707">
        <v>180000000</v>
      </c>
      <c r="E493" s="2709">
        <v>0.05</v>
      </c>
      <c r="F493" s="2707">
        <f>D493*E493</f>
        <v>9000000</v>
      </c>
      <c r="G493" s="4415"/>
      <c r="H493" s="4415"/>
      <c r="I493" s="4554"/>
      <c r="J493" s="4415"/>
      <c r="K493" s="4415"/>
      <c r="L493" s="4644"/>
    </row>
    <row r="494" spans="1:12" ht="30" customHeight="1" x14ac:dyDescent="0.2">
      <c r="A494" s="2704">
        <v>310</v>
      </c>
      <c r="B494" s="2717" t="s">
        <v>157</v>
      </c>
      <c r="C494" s="2714" t="s">
        <v>392</v>
      </c>
      <c r="D494" s="2707">
        <v>100000000</v>
      </c>
      <c r="E494" s="2709">
        <v>0.05</v>
      </c>
      <c r="F494" s="2707">
        <f t="shared" ref="F494:F512" si="56">D494*E494</f>
        <v>5000000</v>
      </c>
      <c r="G494" s="2707"/>
      <c r="H494" s="2707"/>
      <c r="I494" s="21" t="s">
        <v>3519</v>
      </c>
      <c r="J494" s="2707">
        <f>G494</f>
        <v>0</v>
      </c>
      <c r="K494" s="2707">
        <f t="shared" ref="K494:K501" si="57">F494-J494</f>
        <v>5000000</v>
      </c>
      <c r="L494" s="2760" t="s">
        <v>4756</v>
      </c>
    </row>
    <row r="495" spans="1:12" ht="30" customHeight="1" x14ac:dyDescent="0.2">
      <c r="A495" s="4459">
        <v>311</v>
      </c>
      <c r="B495" s="4457" t="s">
        <v>158</v>
      </c>
      <c r="C495" s="4537" t="s">
        <v>889</v>
      </c>
      <c r="D495" s="2076">
        <v>85000000</v>
      </c>
      <c r="E495" s="2103">
        <v>0.05</v>
      </c>
      <c r="F495" s="2076">
        <f t="shared" si="56"/>
        <v>4250000</v>
      </c>
      <c r="G495" s="4413">
        <v>6250000</v>
      </c>
      <c r="H495" s="4413" t="s">
        <v>4363</v>
      </c>
      <c r="I495" s="4568" t="s">
        <v>3971</v>
      </c>
      <c r="J495" s="4413">
        <f>G495</f>
        <v>6250000</v>
      </c>
      <c r="K495" s="4413">
        <f t="shared" si="57"/>
        <v>-2000000</v>
      </c>
      <c r="L495" s="2135" t="s">
        <v>3452</v>
      </c>
    </row>
    <row r="496" spans="1:12" ht="30" customHeight="1" x14ac:dyDescent="0.2">
      <c r="A496" s="4460"/>
      <c r="B496" s="4458"/>
      <c r="C496" s="4538"/>
      <c r="D496" s="2076">
        <v>100000000</v>
      </c>
      <c r="E496" s="2103">
        <v>0.05</v>
      </c>
      <c r="F496" s="2076">
        <f t="shared" si="56"/>
        <v>5000000</v>
      </c>
      <c r="G496" s="4415"/>
      <c r="H496" s="4415"/>
      <c r="I496" s="4569"/>
      <c r="J496" s="4415"/>
      <c r="K496" s="4415"/>
      <c r="L496" s="2135" t="s">
        <v>4755</v>
      </c>
    </row>
    <row r="497" spans="1:12" ht="30" customHeight="1" x14ac:dyDescent="0.2">
      <c r="A497" s="2065">
        <v>312</v>
      </c>
      <c r="B497" s="2106" t="s">
        <v>159</v>
      </c>
      <c r="C497" s="2086"/>
      <c r="D497" s="2081"/>
      <c r="E497" s="40"/>
      <c r="F497" s="2081">
        <f t="shared" si="56"/>
        <v>0</v>
      </c>
      <c r="G497" s="2076"/>
      <c r="H497" s="2076"/>
      <c r="I497" s="21"/>
      <c r="J497" s="2076">
        <f>G497</f>
        <v>0</v>
      </c>
      <c r="K497" s="2081">
        <f t="shared" si="57"/>
        <v>0</v>
      </c>
      <c r="L497" s="2106"/>
    </row>
    <row r="498" spans="1:12" ht="30" customHeight="1" x14ac:dyDescent="0.2">
      <c r="A498" s="2140">
        <v>313</v>
      </c>
      <c r="B498" s="2106" t="s">
        <v>161</v>
      </c>
      <c r="C498" s="2107" t="s">
        <v>1652</v>
      </c>
      <c r="D498" s="2064">
        <v>152000000</v>
      </c>
      <c r="E498" s="2103">
        <v>0.05</v>
      </c>
      <c r="F498" s="2064">
        <f>D498*E498</f>
        <v>7600000</v>
      </c>
      <c r="G498" s="2064">
        <v>7600000</v>
      </c>
      <c r="H498" s="2064" t="s">
        <v>1193</v>
      </c>
      <c r="I498" s="2110" t="s">
        <v>3468</v>
      </c>
      <c r="J498" s="2064">
        <f>G498</f>
        <v>7600000</v>
      </c>
      <c r="K498" s="2064">
        <f t="shared" si="57"/>
        <v>0</v>
      </c>
      <c r="L498" s="2123"/>
    </row>
    <row r="499" spans="1:12" ht="30" customHeight="1" x14ac:dyDescent="0.2">
      <c r="A499" s="2065">
        <v>315</v>
      </c>
      <c r="B499" s="19" t="s">
        <v>163</v>
      </c>
      <c r="C499" s="2107" t="s">
        <v>1176</v>
      </c>
      <c r="D499" s="2064">
        <v>400000000</v>
      </c>
      <c r="E499" s="2103">
        <v>6.3E-2</v>
      </c>
      <c r="F499" s="2064">
        <v>25000000</v>
      </c>
      <c r="G499" s="2064">
        <v>25000000</v>
      </c>
      <c r="H499" s="2064" t="s">
        <v>4404</v>
      </c>
      <c r="I499" s="2110" t="s">
        <v>1806</v>
      </c>
      <c r="J499" s="2064">
        <f t="shared" ref="J499:J511" si="58">G499</f>
        <v>25000000</v>
      </c>
      <c r="K499" s="2064">
        <f t="shared" si="57"/>
        <v>0</v>
      </c>
      <c r="L499" s="2087"/>
    </row>
    <row r="500" spans="1:12" ht="30" customHeight="1" x14ac:dyDescent="0.2">
      <c r="A500" s="2105">
        <v>316</v>
      </c>
      <c r="B500" s="2070" t="s">
        <v>164</v>
      </c>
      <c r="C500" s="2086"/>
      <c r="D500" s="2076">
        <v>35000000</v>
      </c>
      <c r="E500" s="2079">
        <v>0.04</v>
      </c>
      <c r="F500" s="2076">
        <f>D500*E500</f>
        <v>1400000</v>
      </c>
      <c r="G500" s="2076">
        <v>1400000</v>
      </c>
      <c r="H500" s="2076" t="s">
        <v>4477</v>
      </c>
      <c r="I500" s="2095" t="s">
        <v>288</v>
      </c>
      <c r="J500" s="2076">
        <f t="shared" si="58"/>
        <v>1400000</v>
      </c>
      <c r="K500" s="2076">
        <f t="shared" si="57"/>
        <v>0</v>
      </c>
      <c r="L500" s="2106"/>
    </row>
    <row r="501" spans="1:12" ht="30" customHeight="1" x14ac:dyDescent="0.2">
      <c r="A501" s="4614">
        <v>317</v>
      </c>
      <c r="B501" s="4457" t="s">
        <v>4531</v>
      </c>
      <c r="C501" s="2086" t="s">
        <v>359</v>
      </c>
      <c r="D501" s="2076">
        <v>100000000</v>
      </c>
      <c r="E501" s="2103">
        <v>0.05</v>
      </c>
      <c r="F501" s="2076">
        <f>D501*E501</f>
        <v>5000000</v>
      </c>
      <c r="G501" s="2076">
        <v>5000000</v>
      </c>
      <c r="H501" s="2076" t="s">
        <v>4451</v>
      </c>
      <c r="I501" s="21" t="s">
        <v>2996</v>
      </c>
      <c r="J501" s="2076">
        <f t="shared" si="58"/>
        <v>5000000</v>
      </c>
      <c r="K501" s="2076">
        <f t="shared" si="57"/>
        <v>0</v>
      </c>
      <c r="L501" s="2135" t="s">
        <v>2708</v>
      </c>
    </row>
    <row r="502" spans="1:12" ht="30" customHeight="1" x14ac:dyDescent="0.2">
      <c r="A502" s="4614"/>
      <c r="B502" s="4458"/>
      <c r="C502" s="2447" t="s">
        <v>3007</v>
      </c>
      <c r="D502" s="2444">
        <v>100000000</v>
      </c>
      <c r="E502" s="2448">
        <v>0.05</v>
      </c>
      <c r="F502" s="2444">
        <f>D502*E502</f>
        <v>5000000</v>
      </c>
      <c r="G502" s="4469" t="s">
        <v>4995</v>
      </c>
      <c r="H502" s="4470"/>
      <c r="I502" s="4470"/>
      <c r="J502" s="4471"/>
      <c r="K502" s="2444"/>
      <c r="L502" s="2449"/>
    </row>
    <row r="503" spans="1:12" ht="30" customHeight="1" x14ac:dyDescent="0.2">
      <c r="A503" s="4459"/>
      <c r="B503" s="4457" t="s">
        <v>165</v>
      </c>
      <c r="C503" s="2086" t="s">
        <v>1287</v>
      </c>
      <c r="D503" s="2076">
        <v>210000000</v>
      </c>
      <c r="E503" s="2103">
        <v>0.05</v>
      </c>
      <c r="F503" s="2076">
        <f>D503*E503</f>
        <v>10500000</v>
      </c>
      <c r="G503" s="4725" t="s">
        <v>4532</v>
      </c>
      <c r="H503" s="4726"/>
      <c r="I503" s="4726"/>
      <c r="J503" s="4727"/>
      <c r="K503" s="2064">
        <v>0</v>
      </c>
      <c r="L503" s="2135" t="s">
        <v>2709</v>
      </c>
    </row>
    <row r="504" spans="1:12" ht="30" customHeight="1" x14ac:dyDescent="0.2">
      <c r="A504" s="4460"/>
      <c r="B504" s="4458"/>
      <c r="C504" s="2537"/>
      <c r="D504" s="2530">
        <v>200000000</v>
      </c>
      <c r="E504" s="2541">
        <v>0.06</v>
      </c>
      <c r="F504" s="2530">
        <f>D504*E504</f>
        <v>12000000</v>
      </c>
      <c r="G504" s="4725" t="s">
        <v>3217</v>
      </c>
      <c r="H504" s="4726"/>
      <c r="I504" s="4726"/>
      <c r="J504" s="4727"/>
      <c r="K504" s="2530"/>
      <c r="L504" s="2545"/>
    </row>
    <row r="505" spans="1:12" ht="30" customHeight="1" x14ac:dyDescent="0.2">
      <c r="A505" s="2105">
        <v>318</v>
      </c>
      <c r="B505" s="2106" t="s">
        <v>167</v>
      </c>
      <c r="C505" s="2086"/>
      <c r="D505" s="2076">
        <v>80000000</v>
      </c>
      <c r="E505" s="2103">
        <v>0.05</v>
      </c>
      <c r="F505" s="2076">
        <f t="shared" si="56"/>
        <v>4000000</v>
      </c>
      <c r="G505" s="2076">
        <v>4000000</v>
      </c>
      <c r="H505" s="2076" t="s">
        <v>4451</v>
      </c>
      <c r="I505" s="18" t="s">
        <v>4454</v>
      </c>
      <c r="J505" s="2076">
        <f t="shared" si="58"/>
        <v>4000000</v>
      </c>
      <c r="K505" s="2076">
        <f>F505-J505</f>
        <v>0</v>
      </c>
      <c r="L505" s="2106"/>
    </row>
    <row r="506" spans="1:12" ht="30" customHeight="1" x14ac:dyDescent="0.2">
      <c r="A506" s="2105">
        <v>319</v>
      </c>
      <c r="B506" s="2553" t="s">
        <v>168</v>
      </c>
      <c r="C506" s="2554" t="s">
        <v>1287</v>
      </c>
      <c r="D506" s="285">
        <v>200000000</v>
      </c>
      <c r="E506" s="2551">
        <v>5.5E-2</v>
      </c>
      <c r="F506" s="285">
        <f t="shared" si="56"/>
        <v>11000000</v>
      </c>
      <c r="G506" s="285"/>
      <c r="H506" s="285"/>
      <c r="I506" s="287" t="s">
        <v>3723</v>
      </c>
      <c r="J506" s="285">
        <f t="shared" si="58"/>
        <v>0</v>
      </c>
      <c r="K506" s="285">
        <f>F506-J506</f>
        <v>11000000</v>
      </c>
      <c r="L506" s="2135"/>
    </row>
    <row r="507" spans="1:12" ht="30" customHeight="1" x14ac:dyDescent="0.2">
      <c r="A507" s="4459">
        <v>320</v>
      </c>
      <c r="B507" s="4457" t="s">
        <v>169</v>
      </c>
      <c r="C507" s="4537" t="s">
        <v>1300</v>
      </c>
      <c r="D507" s="2076">
        <v>135000000</v>
      </c>
      <c r="E507" s="2103">
        <v>0.06</v>
      </c>
      <c r="F507" s="2076">
        <v>8000000</v>
      </c>
      <c r="G507" s="4413">
        <v>9750000</v>
      </c>
      <c r="H507" s="4413" t="s">
        <v>3865</v>
      </c>
      <c r="I507" s="4478" t="s">
        <v>2078</v>
      </c>
      <c r="J507" s="4413">
        <f t="shared" si="58"/>
        <v>9750000</v>
      </c>
      <c r="K507" s="4413">
        <f>(F507+F508)-J507</f>
        <v>0</v>
      </c>
      <c r="L507" s="2135"/>
    </row>
    <row r="508" spans="1:12" ht="30" customHeight="1" x14ac:dyDescent="0.2">
      <c r="A508" s="4460"/>
      <c r="B508" s="4458"/>
      <c r="C508" s="4538"/>
      <c r="D508" s="2076">
        <v>35000000</v>
      </c>
      <c r="E508" s="2103">
        <v>0.05</v>
      </c>
      <c r="F508" s="2076">
        <f>D508*E508</f>
        <v>1750000</v>
      </c>
      <c r="G508" s="4415"/>
      <c r="H508" s="4415"/>
      <c r="I508" s="4479"/>
      <c r="J508" s="4415"/>
      <c r="K508" s="4415"/>
      <c r="L508" s="2518" t="s">
        <v>3458</v>
      </c>
    </row>
    <row r="509" spans="1:12" ht="30" customHeight="1" x14ac:dyDescent="0.2">
      <c r="A509" s="4459">
        <v>321</v>
      </c>
      <c r="B509" s="4457" t="s">
        <v>171</v>
      </c>
      <c r="C509" s="4537" t="s">
        <v>3007</v>
      </c>
      <c r="D509" s="4413">
        <v>5000000</v>
      </c>
      <c r="E509" s="4476">
        <v>0.04</v>
      </c>
      <c r="F509" s="4413">
        <f t="shared" si="56"/>
        <v>200000</v>
      </c>
      <c r="G509" s="2076">
        <v>200000</v>
      </c>
      <c r="H509" s="2076" t="s">
        <v>1193</v>
      </c>
      <c r="I509" s="21" t="s">
        <v>2330</v>
      </c>
      <c r="J509" s="2076">
        <f t="shared" si="58"/>
        <v>200000</v>
      </c>
      <c r="K509" s="2076">
        <f>F509-J509</f>
        <v>0</v>
      </c>
      <c r="L509" s="2518" t="s">
        <v>3953</v>
      </c>
    </row>
    <row r="510" spans="1:12" ht="30" customHeight="1" x14ac:dyDescent="0.2">
      <c r="A510" s="4460"/>
      <c r="B510" s="4458"/>
      <c r="C510" s="4538"/>
      <c r="D510" s="4415"/>
      <c r="E510" s="4477"/>
      <c r="F510" s="4415"/>
      <c r="G510" s="2498">
        <v>200000</v>
      </c>
      <c r="H510" s="2498" t="s">
        <v>4598</v>
      </c>
      <c r="I510" s="21" t="s">
        <v>2330</v>
      </c>
      <c r="J510" s="2498">
        <f>G510</f>
        <v>200000</v>
      </c>
      <c r="K510" s="2498">
        <f>F509-J510</f>
        <v>0</v>
      </c>
      <c r="L510" s="2518" t="s">
        <v>4439</v>
      </c>
    </row>
    <row r="511" spans="1:12" ht="30" customHeight="1" x14ac:dyDescent="0.2">
      <c r="A511" s="2303">
        <v>322</v>
      </c>
      <c r="B511" s="19" t="s">
        <v>1378</v>
      </c>
      <c r="C511" s="2326" t="s">
        <v>1081</v>
      </c>
      <c r="D511" s="2302">
        <v>10000000</v>
      </c>
      <c r="E511" s="2324">
        <v>0.05</v>
      </c>
      <c r="F511" s="2302">
        <f t="shared" si="56"/>
        <v>500000</v>
      </c>
      <c r="G511" s="2302">
        <v>500000</v>
      </c>
      <c r="H511" s="2302" t="s">
        <v>1193</v>
      </c>
      <c r="I511" s="2327" t="s">
        <v>1376</v>
      </c>
      <c r="J511" s="2302">
        <f t="shared" si="58"/>
        <v>500000</v>
      </c>
      <c r="K511" s="2302">
        <f>F511-J511</f>
        <v>0</v>
      </c>
      <c r="L511" s="2518"/>
    </row>
    <row r="512" spans="1:12" ht="30" customHeight="1" x14ac:dyDescent="0.2">
      <c r="A512" s="2105">
        <v>323</v>
      </c>
      <c r="B512" s="2305" t="s">
        <v>172</v>
      </c>
      <c r="C512" s="2086"/>
      <c r="D512" s="2076">
        <v>60000000</v>
      </c>
      <c r="E512" s="2309">
        <v>4.4999999999999998E-2</v>
      </c>
      <c r="F512" s="2076">
        <f t="shared" si="56"/>
        <v>2700000</v>
      </c>
      <c r="G512" s="2076"/>
      <c r="H512" s="2076"/>
      <c r="I512" s="2096"/>
      <c r="J512" s="2076">
        <f>G512</f>
        <v>0</v>
      </c>
      <c r="K512" s="2076">
        <f>F512-J512</f>
        <v>2700000</v>
      </c>
      <c r="L512" s="2106"/>
    </row>
    <row r="513" spans="1:12" ht="30" customHeight="1" x14ac:dyDescent="0.2">
      <c r="A513" s="2105">
        <v>324</v>
      </c>
      <c r="B513" s="3134" t="s">
        <v>173</v>
      </c>
      <c r="C513" s="3154" t="s">
        <v>889</v>
      </c>
      <c r="D513" s="3136">
        <v>20000000</v>
      </c>
      <c r="E513" s="3137">
        <v>0.05</v>
      </c>
      <c r="F513" s="2076">
        <f>D513*E513</f>
        <v>1000000</v>
      </c>
      <c r="G513" s="4725" t="s">
        <v>5064</v>
      </c>
      <c r="H513" s="4726"/>
      <c r="I513" s="4726"/>
      <c r="J513" s="4727"/>
      <c r="K513" s="2076">
        <f>F513-J513</f>
        <v>1000000</v>
      </c>
      <c r="L513" s="2106"/>
    </row>
    <row r="514" spans="1:12" ht="30" customHeight="1" x14ac:dyDescent="0.2">
      <c r="A514" s="4459">
        <v>325</v>
      </c>
      <c r="B514" s="4457" t="s">
        <v>270</v>
      </c>
      <c r="C514" s="4537"/>
      <c r="D514" s="2076">
        <v>300000000</v>
      </c>
      <c r="E514" s="2103">
        <v>0.1</v>
      </c>
      <c r="F514" s="2076">
        <v>30750000</v>
      </c>
      <c r="G514" s="2334">
        <v>20000000</v>
      </c>
      <c r="H514" s="2334" t="s">
        <v>4428</v>
      </c>
      <c r="I514" s="2343" t="s">
        <v>2927</v>
      </c>
      <c r="J514" s="4413">
        <f>G514+G515</f>
        <v>40550000</v>
      </c>
      <c r="K514" s="4413">
        <f>(F514+F515)-J514</f>
        <v>0</v>
      </c>
      <c r="L514" s="4537"/>
    </row>
    <row r="515" spans="1:12" ht="30" customHeight="1" x14ac:dyDescent="0.2">
      <c r="A515" s="4464"/>
      <c r="B515" s="4488"/>
      <c r="C515" s="4540"/>
      <c r="D515" s="2076">
        <v>140000000</v>
      </c>
      <c r="E515" s="2103">
        <v>7.0000000000000007E-2</v>
      </c>
      <c r="F515" s="2076">
        <v>9800000</v>
      </c>
      <c r="G515" s="2334">
        <v>20550000</v>
      </c>
      <c r="H515" s="2334" t="s">
        <v>4464</v>
      </c>
      <c r="I515" s="2343" t="s">
        <v>2927</v>
      </c>
      <c r="J515" s="4415"/>
      <c r="K515" s="4415"/>
      <c r="L515" s="4538"/>
    </row>
    <row r="516" spans="1:12" ht="30" customHeight="1" x14ac:dyDescent="0.2">
      <c r="A516" s="4460"/>
      <c r="B516" s="4458"/>
      <c r="C516" s="4538"/>
      <c r="D516" s="2414">
        <v>70000000</v>
      </c>
      <c r="E516" s="2418">
        <v>0.06</v>
      </c>
      <c r="F516" s="2414">
        <f>D516*E516</f>
        <v>4200000</v>
      </c>
      <c r="G516" s="2411"/>
      <c r="H516" s="2411"/>
      <c r="I516" s="2421"/>
      <c r="J516" s="2414"/>
      <c r="K516" s="2414"/>
      <c r="L516" s="2422" t="s">
        <v>4508</v>
      </c>
    </row>
    <row r="517" spans="1:12" ht="30" customHeight="1" x14ac:dyDescent="0.2">
      <c r="A517" s="3085">
        <v>326</v>
      </c>
      <c r="B517" s="19" t="s">
        <v>176</v>
      </c>
      <c r="C517" s="378"/>
      <c r="D517" s="3092">
        <v>500000000</v>
      </c>
      <c r="E517" s="3093">
        <v>0.05</v>
      </c>
      <c r="F517" s="3092">
        <f>D517*E517</f>
        <v>25000000</v>
      </c>
      <c r="G517" s="233"/>
      <c r="H517" s="233"/>
      <c r="I517" s="233"/>
      <c r="J517" s="233"/>
      <c r="K517" s="2064">
        <f>F517-J517</f>
        <v>25000000</v>
      </c>
      <c r="L517" s="764" t="s">
        <v>3387</v>
      </c>
    </row>
    <row r="518" spans="1:12" ht="30" customHeight="1" x14ac:dyDescent="0.2">
      <c r="A518" s="2105">
        <v>327</v>
      </c>
      <c r="B518" s="2070" t="s">
        <v>1232</v>
      </c>
      <c r="C518" s="2086"/>
      <c r="D518" s="2076">
        <v>60000000</v>
      </c>
      <c r="E518" s="2079">
        <v>0.05</v>
      </c>
      <c r="F518" s="2076">
        <f t="shared" ref="F518:F522" si="59">D518*E518</f>
        <v>3000000</v>
      </c>
      <c r="G518" s="2076"/>
      <c r="H518" s="2076"/>
      <c r="I518" s="21" t="s">
        <v>1231</v>
      </c>
      <c r="J518" s="2076">
        <f>G518</f>
        <v>0</v>
      </c>
      <c r="K518" s="2076">
        <f t="shared" ref="K518:K525" si="60">F518-J518</f>
        <v>3000000</v>
      </c>
      <c r="L518" s="2135"/>
    </row>
    <row r="519" spans="1:12" ht="30" customHeight="1" x14ac:dyDescent="0.2">
      <c r="A519" s="4459">
        <v>328</v>
      </c>
      <c r="B519" s="4457" t="s">
        <v>2675</v>
      </c>
      <c r="C519" s="4537" t="s">
        <v>942</v>
      </c>
      <c r="D519" s="2064">
        <v>685000000</v>
      </c>
      <c r="E519" s="2103">
        <v>0.06</v>
      </c>
      <c r="F519" s="2064">
        <f>D519*E519</f>
        <v>41100000</v>
      </c>
      <c r="G519" s="2076"/>
      <c r="H519" s="2076"/>
      <c r="I519" s="21" t="s">
        <v>1434</v>
      </c>
      <c r="J519" s="2076">
        <f>G519</f>
        <v>0</v>
      </c>
      <c r="K519" s="2076">
        <f t="shared" si="60"/>
        <v>41100000</v>
      </c>
      <c r="L519" s="2135"/>
    </row>
    <row r="520" spans="1:12" ht="30" customHeight="1" x14ac:dyDescent="0.2">
      <c r="A520" s="4464"/>
      <c r="B520" s="4488"/>
      <c r="C520" s="4540"/>
      <c r="D520" s="1856">
        <v>695000000</v>
      </c>
      <c r="E520" s="897">
        <v>0.06</v>
      </c>
      <c r="F520" s="1856">
        <f>D520*E520</f>
        <v>41700000</v>
      </c>
      <c r="G520" s="2302">
        <v>41700000</v>
      </c>
      <c r="H520" s="2302" t="s">
        <v>4397</v>
      </c>
      <c r="I520" s="2302" t="s">
        <v>4398</v>
      </c>
      <c r="J520" s="2302">
        <f>G520</f>
        <v>41700000</v>
      </c>
      <c r="K520" s="2308">
        <f t="shared" si="60"/>
        <v>0</v>
      </c>
      <c r="L520" s="2639" t="s">
        <v>3778</v>
      </c>
    </row>
    <row r="521" spans="1:12" ht="30" customHeight="1" x14ac:dyDescent="0.2">
      <c r="A521" s="4460"/>
      <c r="B521" s="4458"/>
      <c r="C521" s="4538"/>
      <c r="D521" s="1856">
        <v>695000000</v>
      </c>
      <c r="E521" s="897">
        <v>0.06</v>
      </c>
      <c r="F521" s="1856">
        <f>D521*E521</f>
        <v>41700000</v>
      </c>
      <c r="G521" s="2626">
        <v>41700000</v>
      </c>
      <c r="H521" s="2626" t="s">
        <v>4661</v>
      </c>
      <c r="I521" s="2626" t="s">
        <v>4817</v>
      </c>
      <c r="J521" s="2626">
        <f>G521</f>
        <v>41700000</v>
      </c>
      <c r="K521" s="2627">
        <f>F521-J521</f>
        <v>0</v>
      </c>
      <c r="L521" s="2639" t="s">
        <v>4662</v>
      </c>
    </row>
    <row r="522" spans="1:12" ht="30" customHeight="1" x14ac:dyDescent="0.2">
      <c r="A522" s="2065">
        <v>329</v>
      </c>
      <c r="B522" s="2108" t="s">
        <v>181</v>
      </c>
      <c r="C522" s="378"/>
      <c r="D522" s="2090"/>
      <c r="E522" s="40"/>
      <c r="F522" s="2090">
        <f t="shared" si="59"/>
        <v>0</v>
      </c>
      <c r="G522" s="2064"/>
      <c r="H522" s="2064"/>
      <c r="I522" s="2110"/>
      <c r="J522" s="2064"/>
      <c r="K522" s="2090">
        <f t="shared" si="60"/>
        <v>0</v>
      </c>
      <c r="L522" s="2087"/>
    </row>
    <row r="523" spans="1:12" ht="30" customHeight="1" x14ac:dyDescent="0.2">
      <c r="A523" s="2105">
        <v>330</v>
      </c>
      <c r="B523" s="2106" t="s">
        <v>1170</v>
      </c>
      <c r="C523" s="2086" t="s">
        <v>1138</v>
      </c>
      <c r="D523" s="2076">
        <v>30000000</v>
      </c>
      <c r="E523" s="2079">
        <f>F523/D523</f>
        <v>0.05</v>
      </c>
      <c r="F523" s="2076">
        <v>1500000</v>
      </c>
      <c r="G523" s="2076">
        <v>1500000</v>
      </c>
      <c r="H523" s="2076" t="s">
        <v>4771</v>
      </c>
      <c r="I523" s="21" t="s">
        <v>4775</v>
      </c>
      <c r="J523" s="2076">
        <f>G523</f>
        <v>1500000</v>
      </c>
      <c r="K523" s="2076">
        <f t="shared" si="60"/>
        <v>0</v>
      </c>
      <c r="L523" s="2106"/>
    </row>
    <row r="524" spans="1:12" ht="30" customHeight="1" x14ac:dyDescent="0.2">
      <c r="A524" s="2140">
        <v>331</v>
      </c>
      <c r="B524" s="2106" t="s">
        <v>339</v>
      </c>
      <c r="C524" s="2107" t="s">
        <v>371</v>
      </c>
      <c r="D524" s="2064">
        <v>290000000</v>
      </c>
      <c r="E524" s="2103">
        <v>0.06</v>
      </c>
      <c r="F524" s="2064">
        <f t="shared" ref="F524:F528" si="61">D524*E524</f>
        <v>17400000</v>
      </c>
      <c r="G524" s="2064">
        <v>17400000</v>
      </c>
      <c r="H524" s="2064" t="s">
        <v>4464</v>
      </c>
      <c r="I524" s="2064" t="s">
        <v>1840</v>
      </c>
      <c r="J524" s="2064">
        <f>G524</f>
        <v>17400000</v>
      </c>
      <c r="K524" s="2064">
        <f t="shared" si="60"/>
        <v>0</v>
      </c>
      <c r="L524" s="2135"/>
    </row>
    <row r="525" spans="1:12" ht="30" customHeight="1" x14ac:dyDescent="0.2">
      <c r="A525" s="2105">
        <v>332</v>
      </c>
      <c r="B525" s="2070" t="s">
        <v>370</v>
      </c>
      <c r="C525" s="2086" t="s">
        <v>371</v>
      </c>
      <c r="D525" s="2076">
        <v>30000000</v>
      </c>
      <c r="E525" s="2079">
        <v>0.05</v>
      </c>
      <c r="F525" s="2076">
        <f t="shared" si="61"/>
        <v>1500000</v>
      </c>
      <c r="G525" s="2076">
        <v>1500000</v>
      </c>
      <c r="H525" s="2076" t="s">
        <v>3865</v>
      </c>
      <c r="I525" s="21" t="s">
        <v>3575</v>
      </c>
      <c r="J525" s="2080">
        <f>G525</f>
        <v>1500000</v>
      </c>
      <c r="K525" s="2080">
        <f t="shared" si="60"/>
        <v>0</v>
      </c>
      <c r="L525" s="2106"/>
    </row>
    <row r="526" spans="1:12" ht="30" customHeight="1" x14ac:dyDescent="0.2">
      <c r="A526" s="4459">
        <v>333</v>
      </c>
      <c r="B526" s="4457" t="s">
        <v>888</v>
      </c>
      <c r="C526" s="4537" t="s">
        <v>889</v>
      </c>
      <c r="D526" s="2076">
        <v>320000000</v>
      </c>
      <c r="E526" s="2103">
        <v>0.05</v>
      </c>
      <c r="F526" s="2076">
        <f t="shared" si="61"/>
        <v>16000000</v>
      </c>
      <c r="G526" s="4413">
        <v>21000000</v>
      </c>
      <c r="H526" s="4413" t="s">
        <v>4301</v>
      </c>
      <c r="I526" s="4478" t="s">
        <v>1323</v>
      </c>
      <c r="J526" s="4322">
        <f>G526</f>
        <v>21000000</v>
      </c>
      <c r="K526" s="4322">
        <f>(F526+F527)-J526</f>
        <v>0</v>
      </c>
      <c r="L526" s="4643"/>
    </row>
    <row r="527" spans="1:12" ht="30" customHeight="1" x14ac:dyDescent="0.2">
      <c r="A527" s="4460"/>
      <c r="B527" s="4458"/>
      <c r="C527" s="4538"/>
      <c r="D527" s="2076">
        <v>100000000</v>
      </c>
      <c r="E527" s="2103">
        <v>0.05</v>
      </c>
      <c r="F527" s="2076">
        <f t="shared" si="61"/>
        <v>5000000</v>
      </c>
      <c r="G527" s="4415"/>
      <c r="H527" s="4415"/>
      <c r="I527" s="4479"/>
      <c r="J527" s="4322"/>
      <c r="K527" s="4322"/>
      <c r="L527" s="4644"/>
    </row>
    <row r="528" spans="1:12" ht="30" customHeight="1" x14ac:dyDescent="0.2">
      <c r="A528" s="2065">
        <v>335</v>
      </c>
      <c r="B528" s="19" t="s">
        <v>1276</v>
      </c>
      <c r="C528" s="2107" t="s">
        <v>889</v>
      </c>
      <c r="D528" s="2076">
        <v>15000000</v>
      </c>
      <c r="E528" s="2103">
        <v>0.05</v>
      </c>
      <c r="F528" s="2076">
        <f t="shared" si="61"/>
        <v>750000</v>
      </c>
      <c r="G528" s="2076">
        <v>750000</v>
      </c>
      <c r="H528" s="2076" t="s">
        <v>4464</v>
      </c>
      <c r="I528" s="21" t="s">
        <v>2747</v>
      </c>
      <c r="J528" s="2076">
        <f>G528</f>
        <v>750000</v>
      </c>
      <c r="K528" s="2076">
        <f>F528-J528</f>
        <v>0</v>
      </c>
      <c r="L528" s="2135" t="s">
        <v>3388</v>
      </c>
    </row>
    <row r="529" spans="1:12" ht="30" customHeight="1" x14ac:dyDescent="0.2">
      <c r="A529" s="2105">
        <v>336</v>
      </c>
      <c r="B529" s="2070" t="s">
        <v>2576</v>
      </c>
      <c r="C529" s="2086" t="s">
        <v>889</v>
      </c>
      <c r="D529" s="2076">
        <v>210000000</v>
      </c>
      <c r="E529" s="2103">
        <v>0.05</v>
      </c>
      <c r="F529" s="2076">
        <f>D529*E529</f>
        <v>10500000</v>
      </c>
      <c r="G529" s="2076">
        <v>10500000</v>
      </c>
      <c r="H529" s="2076" t="s">
        <v>4312</v>
      </c>
      <c r="I529" s="21" t="s">
        <v>3408</v>
      </c>
      <c r="J529" s="2076">
        <f>G529</f>
        <v>10500000</v>
      </c>
      <c r="K529" s="2076">
        <f>F529-J529</f>
        <v>0</v>
      </c>
      <c r="L529" s="2106"/>
    </row>
    <row r="530" spans="1:12" ht="30" customHeight="1" x14ac:dyDescent="0.2">
      <c r="A530" s="4459">
        <v>337</v>
      </c>
      <c r="B530" s="4457" t="s">
        <v>1304</v>
      </c>
      <c r="C530" s="4537" t="s">
        <v>889</v>
      </c>
      <c r="D530" s="2076">
        <v>80000000</v>
      </c>
      <c r="E530" s="2103">
        <v>7.0000000000000007E-2</v>
      </c>
      <c r="F530" s="2076">
        <f t="shared" ref="F530:F550" si="62">D530*E530</f>
        <v>5600000.0000000009</v>
      </c>
      <c r="G530" s="4322">
        <v>19600000</v>
      </c>
      <c r="H530" s="4413" t="s">
        <v>1193</v>
      </c>
      <c r="I530" s="4642" t="s">
        <v>4384</v>
      </c>
      <c r="J530" s="4413">
        <f>G530</f>
        <v>19600000</v>
      </c>
      <c r="K530" s="4413">
        <f>G530-J530</f>
        <v>0</v>
      </c>
      <c r="L530" s="2106"/>
    </row>
    <row r="531" spans="1:12" ht="30" customHeight="1" x14ac:dyDescent="0.2">
      <c r="A531" s="4460"/>
      <c r="B531" s="4458"/>
      <c r="C531" s="4538"/>
      <c r="D531" s="2308">
        <v>200000000</v>
      </c>
      <c r="E531" s="2324">
        <v>0.06</v>
      </c>
      <c r="F531" s="2308">
        <f t="shared" si="62"/>
        <v>12000000</v>
      </c>
      <c r="G531" s="4322"/>
      <c r="H531" s="4415"/>
      <c r="I531" s="4642"/>
      <c r="J531" s="4415"/>
      <c r="K531" s="4415"/>
      <c r="L531" s="2305"/>
    </row>
    <row r="532" spans="1:12" ht="30" customHeight="1" x14ac:dyDescent="0.2">
      <c r="A532" s="4459"/>
      <c r="B532" s="4457" t="s">
        <v>1677</v>
      </c>
      <c r="C532" s="4537" t="s">
        <v>889</v>
      </c>
      <c r="D532" s="3260">
        <v>235500000</v>
      </c>
      <c r="E532" s="2103">
        <v>0.05</v>
      </c>
      <c r="F532" s="2076">
        <f t="shared" si="62"/>
        <v>11775000</v>
      </c>
      <c r="G532" s="2061"/>
      <c r="H532" s="2063"/>
      <c r="I532" s="2063"/>
      <c r="J532" s="2063"/>
      <c r="K532" s="1605"/>
      <c r="L532" s="2115"/>
    </row>
    <row r="533" spans="1:12" ht="30" customHeight="1" x14ac:dyDescent="0.2">
      <c r="A533" s="4464"/>
      <c r="B533" s="4488"/>
      <c r="C533" s="4540"/>
      <c r="D533" s="3256">
        <v>300000000</v>
      </c>
      <c r="E533" s="3258">
        <v>7.0000000000000007E-2</v>
      </c>
      <c r="F533" s="3256">
        <f t="shared" si="62"/>
        <v>21000000.000000004</v>
      </c>
      <c r="G533" s="2061"/>
      <c r="H533" s="2063"/>
      <c r="I533" s="2063"/>
      <c r="J533" s="2063"/>
      <c r="K533" s="1605"/>
      <c r="L533" s="2115"/>
    </row>
    <row r="534" spans="1:12" ht="30" customHeight="1" x14ac:dyDescent="0.2">
      <c r="A534" s="4464"/>
      <c r="B534" s="4488"/>
      <c r="C534" s="4540"/>
      <c r="D534" s="3256">
        <v>30000000</v>
      </c>
      <c r="E534" s="3258">
        <v>7.0000000000000007E-2</v>
      </c>
      <c r="F534" s="3256">
        <f t="shared" si="62"/>
        <v>2100000</v>
      </c>
      <c r="G534" s="2061"/>
      <c r="H534" s="2063"/>
      <c r="I534" s="2063"/>
      <c r="J534" s="2063"/>
      <c r="K534" s="1605"/>
      <c r="L534" s="2115"/>
    </row>
    <row r="535" spans="1:12" ht="30" customHeight="1" x14ac:dyDescent="0.2">
      <c r="A535" s="4464"/>
      <c r="B535" s="4488"/>
      <c r="C535" s="4540"/>
      <c r="D535" s="3257">
        <v>20000000</v>
      </c>
      <c r="E535" s="3259">
        <v>7.0000000000000007E-2</v>
      </c>
      <c r="F535" s="3257">
        <f>D535*E535</f>
        <v>1400000.0000000002</v>
      </c>
      <c r="G535" s="2061"/>
      <c r="H535" s="2063"/>
      <c r="I535" s="2063"/>
      <c r="J535" s="2063"/>
      <c r="K535" s="1605"/>
      <c r="L535" s="2115"/>
    </row>
    <row r="536" spans="1:12" ht="30" customHeight="1" x14ac:dyDescent="0.2">
      <c r="A536" s="4464"/>
      <c r="B536" s="4488"/>
      <c r="C536" s="4540"/>
      <c r="D536" s="3257">
        <v>12000000</v>
      </c>
      <c r="E536" s="3259">
        <v>7.0000000000000007E-2</v>
      </c>
      <c r="F536" s="3257">
        <f>D536*E536</f>
        <v>840000.00000000012</v>
      </c>
      <c r="G536" s="2061"/>
      <c r="H536" s="2063"/>
      <c r="I536" s="2063"/>
      <c r="J536" s="2063"/>
      <c r="K536" s="1605"/>
      <c r="L536" s="2115"/>
    </row>
    <row r="537" spans="1:12" ht="30" customHeight="1" x14ac:dyDescent="0.2">
      <c r="A537" s="4464"/>
      <c r="B537" s="4488"/>
      <c r="C537" s="4540"/>
      <c r="D537" s="3257">
        <f>SUM(D533:D536)</f>
        <v>362000000</v>
      </c>
      <c r="E537" s="3259">
        <v>7.0000000000000007E-2</v>
      </c>
      <c r="F537" s="3257">
        <f>D537*E537</f>
        <v>25340000.000000004</v>
      </c>
      <c r="G537" s="2061"/>
      <c r="H537" s="2063"/>
      <c r="I537" s="2063"/>
      <c r="J537" s="2063"/>
      <c r="K537" s="1605"/>
      <c r="L537" s="2115"/>
    </row>
    <row r="538" spans="1:12" ht="30" customHeight="1" x14ac:dyDescent="0.2">
      <c r="A538" s="4464"/>
      <c r="B538" s="4488"/>
      <c r="C538" s="4540"/>
      <c r="D538" s="4807">
        <f>D532+D537</f>
        <v>597500000</v>
      </c>
      <c r="E538" s="4808"/>
      <c r="F538" s="3257">
        <f>F532+F537</f>
        <v>37115000</v>
      </c>
      <c r="G538" s="2061"/>
      <c r="H538" s="2063"/>
      <c r="I538" s="2063"/>
      <c r="J538" s="2063"/>
      <c r="K538" s="1605"/>
      <c r="L538" s="2115"/>
    </row>
    <row r="539" spans="1:12" ht="30" customHeight="1" x14ac:dyDescent="0.2">
      <c r="A539" s="4464"/>
      <c r="B539" s="4488"/>
      <c r="C539" s="4540"/>
      <c r="D539" s="3244">
        <v>45000000</v>
      </c>
      <c r="E539" s="3233">
        <v>7.0000000000000007E-2</v>
      </c>
      <c r="F539" s="3244">
        <f>D539*E539</f>
        <v>3150000.0000000005</v>
      </c>
      <c r="G539" s="2061"/>
      <c r="H539" s="2063"/>
      <c r="I539" s="2063"/>
      <c r="J539" s="2063"/>
      <c r="K539" s="1605"/>
      <c r="L539" s="2115"/>
    </row>
    <row r="540" spans="1:12" ht="30" customHeight="1" x14ac:dyDescent="0.2">
      <c r="A540" s="4464"/>
      <c r="B540" s="4488"/>
      <c r="C540" s="4540"/>
      <c r="D540" s="3244">
        <v>100000000</v>
      </c>
      <c r="E540" s="3233">
        <v>7.0000000000000007E-2</v>
      </c>
      <c r="F540" s="3244">
        <f>D540*E540</f>
        <v>7000000.0000000009</v>
      </c>
      <c r="G540" s="4469" t="s">
        <v>3791</v>
      </c>
      <c r="H540" s="4470"/>
      <c r="I540" s="4470"/>
      <c r="J540" s="4470"/>
      <c r="K540" s="4471"/>
      <c r="L540" s="2115"/>
    </row>
    <row r="541" spans="1:12" ht="30" customHeight="1" x14ac:dyDescent="0.2">
      <c r="A541" s="4464"/>
      <c r="B541" s="4488"/>
      <c r="C541" s="4540"/>
      <c r="D541" s="3244">
        <v>80000000</v>
      </c>
      <c r="E541" s="3233">
        <v>7.0000000000000007E-2</v>
      </c>
      <c r="F541" s="3244">
        <f t="shared" ref="F541:F542" si="63">D541*E541</f>
        <v>5600000.0000000009</v>
      </c>
      <c r="G541" s="4469" t="s">
        <v>3792</v>
      </c>
      <c r="H541" s="4470"/>
      <c r="I541" s="4470"/>
      <c r="J541" s="4470"/>
      <c r="K541" s="4471"/>
      <c r="L541" s="2115"/>
    </row>
    <row r="542" spans="1:12" ht="30" customHeight="1" x14ac:dyDescent="0.2">
      <c r="A542" s="4464"/>
      <c r="B542" s="4488"/>
      <c r="C542" s="4540"/>
      <c r="D542" s="3244">
        <v>55000000</v>
      </c>
      <c r="E542" s="3233">
        <v>7.0000000000000007E-2</v>
      </c>
      <c r="F542" s="3244">
        <f t="shared" si="63"/>
        <v>3850000.0000000005</v>
      </c>
      <c r="G542" s="4469" t="s">
        <v>3793</v>
      </c>
      <c r="H542" s="4470"/>
      <c r="I542" s="4470"/>
      <c r="J542" s="4470"/>
      <c r="K542" s="4471"/>
      <c r="L542" s="2115"/>
    </row>
    <row r="543" spans="1:12" ht="30" customHeight="1" x14ac:dyDescent="0.2">
      <c r="A543" s="4464"/>
      <c r="B543" s="4488"/>
      <c r="C543" s="4540"/>
      <c r="D543" s="4635">
        <f>D538+D539+D540+D541+D542</f>
        <v>877500000</v>
      </c>
      <c r="E543" s="4637"/>
      <c r="F543" s="3244">
        <f>F538+F539+F540+F541+F542</f>
        <v>56715000</v>
      </c>
      <c r="G543" s="4623" t="s">
        <v>3673</v>
      </c>
      <c r="H543" s="4624"/>
      <c r="I543" s="4624"/>
      <c r="J543" s="4624"/>
      <c r="K543" s="4625"/>
      <c r="L543" s="2115"/>
    </row>
    <row r="544" spans="1:12" ht="30" customHeight="1" x14ac:dyDescent="0.2">
      <c r="A544" s="4464"/>
      <c r="B544" s="4488"/>
      <c r="C544" s="4540"/>
      <c r="D544" s="3245">
        <v>150000000</v>
      </c>
      <c r="E544" s="3240">
        <v>7.0000000000000007E-2</v>
      </c>
      <c r="F544" s="3245">
        <f>D544*E544</f>
        <v>10500000.000000002</v>
      </c>
      <c r="G544" s="4469" t="s">
        <v>4202</v>
      </c>
      <c r="H544" s="4470"/>
      <c r="I544" s="4470"/>
      <c r="J544" s="4470"/>
      <c r="K544" s="4471"/>
      <c r="L544" s="2115"/>
    </row>
    <row r="545" spans="1:17" ht="30" customHeight="1" x14ac:dyDescent="0.2">
      <c r="A545" s="4464"/>
      <c r="B545" s="4488"/>
      <c r="C545" s="4540"/>
      <c r="D545" s="3245">
        <v>100000000</v>
      </c>
      <c r="E545" s="3240">
        <v>7.0000000000000007E-2</v>
      </c>
      <c r="F545" s="3245">
        <f>D545*E545</f>
        <v>7000000.0000000009</v>
      </c>
      <c r="G545" s="4469" t="s">
        <v>4432</v>
      </c>
      <c r="H545" s="4470"/>
      <c r="I545" s="4470"/>
      <c r="J545" s="4470"/>
      <c r="K545" s="4471"/>
      <c r="L545" s="2115"/>
    </row>
    <row r="546" spans="1:17" ht="30" customHeight="1" x14ac:dyDescent="0.2">
      <c r="A546" s="4464"/>
      <c r="B546" s="4488"/>
      <c r="C546" s="4540"/>
      <c r="D546" s="4822">
        <f>D543+D544+D545</f>
        <v>1127500000</v>
      </c>
      <c r="E546" s="4823"/>
      <c r="F546" s="3245">
        <f>F543+F544+F545</f>
        <v>74215000</v>
      </c>
      <c r="G546" s="4804" t="s">
        <v>3882</v>
      </c>
      <c r="H546" s="4805"/>
      <c r="I546" s="4805"/>
      <c r="J546" s="4805"/>
      <c r="K546" s="4806"/>
      <c r="L546" s="2115"/>
    </row>
    <row r="547" spans="1:17" ht="30" customHeight="1" x14ac:dyDescent="0.2">
      <c r="A547" s="4464"/>
      <c r="B547" s="4488"/>
      <c r="C547" s="4540"/>
      <c r="D547" s="745">
        <v>70000000</v>
      </c>
      <c r="E547" s="3261">
        <v>7.0000000000000007E-2</v>
      </c>
      <c r="F547" s="745">
        <f>D547*E547</f>
        <v>4900000.0000000009</v>
      </c>
      <c r="G547" s="2302">
        <v>4215000</v>
      </c>
      <c r="H547" s="2302" t="s">
        <v>1193</v>
      </c>
      <c r="I547" s="2302" t="s">
        <v>1720</v>
      </c>
      <c r="J547" s="2302">
        <f>G547</f>
        <v>4215000</v>
      </c>
      <c r="K547" s="2302">
        <v>0</v>
      </c>
      <c r="L547" s="2328" t="s">
        <v>4380</v>
      </c>
    </row>
    <row r="548" spans="1:17" ht="30" customHeight="1" x14ac:dyDescent="0.2">
      <c r="A548" s="4464"/>
      <c r="B548" s="4488"/>
      <c r="C548" s="4540"/>
      <c r="D548" s="4939">
        <f>D546+D547</f>
        <v>1197500000</v>
      </c>
      <c r="E548" s="4940"/>
      <c r="F548" s="745">
        <f>F546+F547</f>
        <v>79115000</v>
      </c>
      <c r="G548" s="4971" t="s">
        <v>4368</v>
      </c>
      <c r="H548" s="4972"/>
      <c r="I548" s="4972"/>
      <c r="J548" s="4972"/>
      <c r="K548" s="4973"/>
      <c r="L548" s="2328"/>
    </row>
    <row r="549" spans="1:17" ht="30" customHeight="1" x14ac:dyDescent="0.2">
      <c r="A549" s="4460"/>
      <c r="B549" s="4458"/>
      <c r="C549" s="4538"/>
      <c r="D549" s="3227"/>
      <c r="E549" s="3223"/>
      <c r="F549" s="3227"/>
      <c r="G549" s="2064"/>
      <c r="H549" s="2064"/>
      <c r="I549" s="2064" t="s">
        <v>1720</v>
      </c>
      <c r="J549" s="2064">
        <f>G549</f>
        <v>0</v>
      </c>
      <c r="K549" s="2064">
        <f>F543-J549</f>
        <v>56715000</v>
      </c>
      <c r="L549" s="2115"/>
    </row>
    <row r="550" spans="1:17" ht="30" customHeight="1" x14ac:dyDescent="0.2">
      <c r="A550" s="2141">
        <v>339</v>
      </c>
      <c r="B550" s="2109" t="s">
        <v>170</v>
      </c>
      <c r="C550" s="2086" t="s">
        <v>1306</v>
      </c>
      <c r="D550" s="2064">
        <v>200000000</v>
      </c>
      <c r="E550" s="2103">
        <v>7.0000000000000007E-2</v>
      </c>
      <c r="F550" s="2064">
        <f t="shared" si="62"/>
        <v>14000000.000000002</v>
      </c>
      <c r="G550" s="233"/>
      <c r="H550" s="233"/>
      <c r="I550" s="1389"/>
      <c r="J550" s="233"/>
      <c r="K550" s="387"/>
      <c r="L550" s="2129"/>
      <c r="M550" s="386"/>
      <c r="N550" s="386"/>
      <c r="O550" s="386"/>
      <c r="P550" s="386"/>
      <c r="Q550" s="386"/>
    </row>
    <row r="551" spans="1:17" ht="30" customHeight="1" x14ac:dyDescent="0.2">
      <c r="A551" s="4459">
        <v>340</v>
      </c>
      <c r="B551" s="4457" t="s">
        <v>67</v>
      </c>
      <c r="C551" s="4537" t="s">
        <v>1138</v>
      </c>
      <c r="D551" s="2076">
        <v>85000000</v>
      </c>
      <c r="E551" s="2103">
        <v>0.05</v>
      </c>
      <c r="F551" s="2076">
        <f>D551*E551</f>
        <v>4250000</v>
      </c>
      <c r="G551" s="2064">
        <v>4250000</v>
      </c>
      <c r="H551" s="2064" t="s">
        <v>4301</v>
      </c>
      <c r="I551" s="2110" t="s">
        <v>4309</v>
      </c>
      <c r="J551" s="2064">
        <f t="shared" ref="J551:J563" si="64">G551</f>
        <v>4250000</v>
      </c>
      <c r="K551" s="2062">
        <f>F551-J551</f>
        <v>0</v>
      </c>
      <c r="L551" s="2118" t="s">
        <v>3953</v>
      </c>
      <c r="M551" s="386"/>
      <c r="N551" s="386"/>
      <c r="O551" s="386"/>
      <c r="P551" s="386"/>
      <c r="Q551" s="386"/>
    </row>
    <row r="552" spans="1:17" ht="30" customHeight="1" x14ac:dyDescent="0.2">
      <c r="A552" s="4464"/>
      <c r="B552" s="4488"/>
      <c r="C552" s="4540"/>
      <c r="D552" s="2796">
        <v>4250000</v>
      </c>
      <c r="E552" s="2805">
        <v>0.05</v>
      </c>
      <c r="F552" s="2796">
        <f>D552*E552</f>
        <v>212500</v>
      </c>
      <c r="G552" s="4469" t="s">
        <v>4286</v>
      </c>
      <c r="H552" s="4470"/>
      <c r="I552" s="4470"/>
      <c r="J552" s="4471"/>
      <c r="K552" s="2803"/>
      <c r="L552" s="2802"/>
      <c r="M552" s="386"/>
      <c r="N552" s="386"/>
      <c r="O552" s="386"/>
      <c r="P552" s="386"/>
      <c r="Q552" s="386"/>
    </row>
    <row r="553" spans="1:17" ht="30" customHeight="1" x14ac:dyDescent="0.2">
      <c r="A553" s="4464"/>
      <c r="B553" s="4488"/>
      <c r="C553" s="4540"/>
      <c r="D553" s="2796">
        <v>18250000</v>
      </c>
      <c r="E553" s="2805">
        <v>0.05</v>
      </c>
      <c r="F553" s="2796">
        <f t="shared" ref="F553:F554" si="65">D553*E553</f>
        <v>912500</v>
      </c>
      <c r="G553" s="4469" t="s">
        <v>4802</v>
      </c>
      <c r="H553" s="4470"/>
      <c r="I553" s="4470"/>
      <c r="J553" s="4471"/>
      <c r="K553" s="2803"/>
      <c r="L553" s="2802"/>
      <c r="M553" s="386"/>
      <c r="N553" s="386"/>
      <c r="O553" s="386"/>
      <c r="P553" s="386"/>
      <c r="Q553" s="386"/>
    </row>
    <row r="554" spans="1:17" ht="30" customHeight="1" x14ac:dyDescent="0.2">
      <c r="A554" s="4464"/>
      <c r="B554" s="4488"/>
      <c r="C554" s="4540"/>
      <c r="D554" s="2796">
        <v>3500000</v>
      </c>
      <c r="E554" s="2805">
        <v>0.05</v>
      </c>
      <c r="F554" s="2796">
        <f t="shared" si="65"/>
        <v>175000</v>
      </c>
      <c r="G554" s="4469" t="s">
        <v>4803</v>
      </c>
      <c r="H554" s="4470"/>
      <c r="I554" s="4470"/>
      <c r="J554" s="4471"/>
      <c r="K554" s="2803"/>
      <c r="L554" s="2802"/>
      <c r="M554" s="386"/>
      <c r="N554" s="386"/>
      <c r="O554" s="386"/>
      <c r="P554" s="386"/>
      <c r="Q554" s="386"/>
    </row>
    <row r="555" spans="1:17" ht="30" customHeight="1" x14ac:dyDescent="0.2">
      <c r="A555" s="4460"/>
      <c r="B555" s="4458"/>
      <c r="C555" s="4538"/>
      <c r="D555" s="2811">
        <f>SUM(D551:D554)</f>
        <v>111000000</v>
      </c>
      <c r="E555" s="897">
        <v>0.05</v>
      </c>
      <c r="F555" s="2811">
        <f>D555*E555</f>
        <v>5550000</v>
      </c>
      <c r="G555" s="4469" t="s">
        <v>3316</v>
      </c>
      <c r="H555" s="4470"/>
      <c r="I555" s="4470"/>
      <c r="J555" s="4471"/>
      <c r="K555" s="2803"/>
      <c r="L555" s="2802"/>
      <c r="M555" s="386"/>
      <c r="N555" s="386"/>
      <c r="O555" s="386"/>
      <c r="P555" s="386"/>
      <c r="Q555" s="386"/>
    </row>
    <row r="556" spans="1:17" ht="30" customHeight="1" x14ac:dyDescent="0.2">
      <c r="A556" s="2067">
        <v>341</v>
      </c>
      <c r="B556" s="2070" t="s">
        <v>1357</v>
      </c>
      <c r="C556" s="2086"/>
      <c r="D556" s="2076">
        <v>150000000</v>
      </c>
      <c r="E556" s="2103">
        <f>F556/D556</f>
        <v>4.6666666666666669E-2</v>
      </c>
      <c r="F556" s="2076">
        <v>7000000</v>
      </c>
      <c r="G556" s="2076">
        <v>7000000</v>
      </c>
      <c r="H556" s="2076" t="s">
        <v>4312</v>
      </c>
      <c r="I556" s="2091" t="s">
        <v>4328</v>
      </c>
      <c r="J556" s="2076">
        <f t="shared" si="64"/>
        <v>7000000</v>
      </c>
      <c r="K556" s="2101">
        <f>G556-J556</f>
        <v>0</v>
      </c>
      <c r="L556" s="2129"/>
      <c r="M556" s="386"/>
      <c r="N556" s="386"/>
      <c r="O556" s="386"/>
      <c r="P556" s="386"/>
      <c r="Q556" s="386"/>
    </row>
    <row r="557" spans="1:17" ht="30" customHeight="1" x14ac:dyDescent="0.2">
      <c r="A557" s="2182">
        <v>342</v>
      </c>
      <c r="B557" s="2191" t="s">
        <v>71</v>
      </c>
      <c r="C557" s="345" t="s">
        <v>2363</v>
      </c>
      <c r="D557" s="2184">
        <v>70000000</v>
      </c>
      <c r="E557" s="2188">
        <v>0.05</v>
      </c>
      <c r="F557" s="2184">
        <f>D557*E557</f>
        <v>3500000</v>
      </c>
      <c r="G557" s="2076">
        <v>4960000</v>
      </c>
      <c r="H557" s="2076" t="s">
        <v>4312</v>
      </c>
      <c r="I557" s="2091" t="s">
        <v>3413</v>
      </c>
      <c r="J557" s="2076">
        <f t="shared" si="64"/>
        <v>4960000</v>
      </c>
      <c r="K557" s="2101">
        <f>F557-J557</f>
        <v>-1460000</v>
      </c>
      <c r="L557" s="2129" t="s">
        <v>4327</v>
      </c>
      <c r="M557" s="386"/>
      <c r="N557" s="386"/>
      <c r="O557" s="386"/>
      <c r="P557" s="386"/>
      <c r="Q557" s="386"/>
    </row>
    <row r="558" spans="1:17" ht="30" customHeight="1" x14ac:dyDescent="0.2">
      <c r="A558" s="1029">
        <v>343</v>
      </c>
      <c r="B558" s="19" t="s">
        <v>1365</v>
      </c>
      <c r="C558" s="2107" t="s">
        <v>1796</v>
      </c>
      <c r="D558" s="2064">
        <v>8000000</v>
      </c>
      <c r="E558" s="2103">
        <v>0.04</v>
      </c>
      <c r="F558" s="2064">
        <f>D558*E558</f>
        <v>320000</v>
      </c>
      <c r="G558" s="2064">
        <v>320000</v>
      </c>
      <c r="H558" s="2064" t="s">
        <v>4771</v>
      </c>
      <c r="I558" s="2064" t="s">
        <v>1366</v>
      </c>
      <c r="J558" s="2064">
        <f t="shared" si="64"/>
        <v>320000</v>
      </c>
      <c r="K558" s="2062">
        <f>F558-J558</f>
        <v>0</v>
      </c>
      <c r="L558" s="2100"/>
      <c r="M558" s="386"/>
      <c r="N558" s="386"/>
      <c r="O558" s="386"/>
      <c r="P558" s="386"/>
      <c r="Q558" s="386"/>
    </row>
    <row r="559" spans="1:17" ht="30" customHeight="1" x14ac:dyDescent="0.2">
      <c r="A559" s="2067">
        <v>344</v>
      </c>
      <c r="B559" s="2070" t="s">
        <v>1373</v>
      </c>
      <c r="C559" s="2086"/>
      <c r="D559" s="2081"/>
      <c r="E559" s="2084"/>
      <c r="F559" s="2081"/>
      <c r="G559" s="2076">
        <v>6500000</v>
      </c>
      <c r="H559" s="2076" t="s">
        <v>4363</v>
      </c>
      <c r="I559" s="2091" t="s">
        <v>4371</v>
      </c>
      <c r="J559" s="2076">
        <f t="shared" si="64"/>
        <v>6500000</v>
      </c>
      <c r="K559" s="2102">
        <f>F559-J559</f>
        <v>-6500000</v>
      </c>
      <c r="L559" s="2129"/>
      <c r="M559" s="386"/>
      <c r="N559" s="386"/>
      <c r="O559" s="386"/>
      <c r="P559" s="386"/>
      <c r="Q559" s="386"/>
    </row>
    <row r="560" spans="1:17" ht="30" customHeight="1" x14ac:dyDescent="0.2">
      <c r="A560" s="2067">
        <v>345</v>
      </c>
      <c r="B560" s="2070" t="s">
        <v>2080</v>
      </c>
      <c r="C560" s="2086" t="s">
        <v>1299</v>
      </c>
      <c r="D560" s="2076">
        <v>60000000</v>
      </c>
      <c r="E560" s="2103">
        <v>7.0000000000000007E-2</v>
      </c>
      <c r="F560" s="2076">
        <f>D560*E560</f>
        <v>4200000</v>
      </c>
      <c r="G560" s="2076">
        <v>4200000</v>
      </c>
      <c r="H560" s="2076" t="s">
        <v>3003</v>
      </c>
      <c r="I560" s="2091" t="s">
        <v>4128</v>
      </c>
      <c r="J560" s="2076">
        <f t="shared" si="64"/>
        <v>4200000</v>
      </c>
      <c r="K560" s="2101">
        <f>G560-J560</f>
        <v>0</v>
      </c>
      <c r="L560" s="2129"/>
      <c r="M560" s="386"/>
      <c r="N560" s="386"/>
      <c r="O560" s="386"/>
      <c r="P560" s="386"/>
      <c r="Q560" s="386"/>
    </row>
    <row r="561" spans="1:17" ht="30" customHeight="1" x14ac:dyDescent="0.2">
      <c r="A561" s="2067">
        <v>346</v>
      </c>
      <c r="B561" s="2070" t="s">
        <v>1380</v>
      </c>
      <c r="C561" s="2086" t="s">
        <v>1172</v>
      </c>
      <c r="D561" s="2076">
        <v>5000000</v>
      </c>
      <c r="E561" s="2103">
        <v>0.05</v>
      </c>
      <c r="F561" s="2076">
        <f>D561*E561</f>
        <v>250000</v>
      </c>
      <c r="G561" s="2076">
        <v>250000</v>
      </c>
      <c r="H561" s="2076" t="s">
        <v>4451</v>
      </c>
      <c r="I561" s="2091" t="s">
        <v>3985</v>
      </c>
      <c r="J561" s="2076">
        <f t="shared" si="64"/>
        <v>250000</v>
      </c>
      <c r="K561" s="2101">
        <f t="shared" ref="K561:K569" si="66">F561-J561</f>
        <v>0</v>
      </c>
      <c r="L561" s="2129"/>
      <c r="M561" s="386"/>
      <c r="N561" s="386"/>
      <c r="O561" s="386"/>
      <c r="P561" s="386"/>
      <c r="Q561" s="386"/>
    </row>
    <row r="562" spans="1:17" ht="30" customHeight="1" x14ac:dyDescent="0.2">
      <c r="A562" s="2067">
        <v>347</v>
      </c>
      <c r="B562" s="2070" t="s">
        <v>178</v>
      </c>
      <c r="C562" s="2086" t="s">
        <v>1796</v>
      </c>
      <c r="D562" s="2076">
        <v>130000000</v>
      </c>
      <c r="E562" s="2103">
        <v>0.05</v>
      </c>
      <c r="F562" s="2076">
        <f>D562*E562</f>
        <v>6500000</v>
      </c>
      <c r="G562" s="2076">
        <v>6500000</v>
      </c>
      <c r="H562" s="2076" t="s">
        <v>4771</v>
      </c>
      <c r="I562" s="2091" t="s">
        <v>3952</v>
      </c>
      <c r="J562" s="2076">
        <f t="shared" si="64"/>
        <v>6500000</v>
      </c>
      <c r="K562" s="2101">
        <f t="shared" si="66"/>
        <v>0</v>
      </c>
      <c r="L562" s="2129"/>
      <c r="M562" s="386"/>
      <c r="N562" s="386"/>
      <c r="O562" s="386"/>
      <c r="P562" s="386"/>
      <c r="Q562" s="386"/>
    </row>
    <row r="563" spans="1:17" ht="30" customHeight="1" x14ac:dyDescent="0.2">
      <c r="A563" s="2105">
        <v>348</v>
      </c>
      <c r="B563" s="19" t="s">
        <v>1408</v>
      </c>
      <c r="C563" s="2107" t="s">
        <v>1306</v>
      </c>
      <c r="D563" s="2064">
        <v>50000000</v>
      </c>
      <c r="E563" s="2103">
        <v>0.04</v>
      </c>
      <c r="F563" s="2064">
        <f>D563*E563</f>
        <v>2000000</v>
      </c>
      <c r="G563" s="2064">
        <v>2000000</v>
      </c>
      <c r="H563" s="2064" t="s">
        <v>4763</v>
      </c>
      <c r="I563" s="2091" t="s">
        <v>3906</v>
      </c>
      <c r="J563" s="2076">
        <f t="shared" si="64"/>
        <v>2000000</v>
      </c>
      <c r="K563" s="2101">
        <f t="shared" si="66"/>
        <v>0</v>
      </c>
      <c r="L563" s="2129"/>
      <c r="M563" s="386"/>
      <c r="N563" s="386"/>
      <c r="O563" s="386"/>
      <c r="P563" s="386"/>
      <c r="Q563" s="386"/>
    </row>
    <row r="564" spans="1:17" ht="30" customHeight="1" x14ac:dyDescent="0.2">
      <c r="A564" s="2144">
        <v>349</v>
      </c>
      <c r="B564" s="19" t="s">
        <v>1526</v>
      </c>
      <c r="C564" s="378"/>
      <c r="D564" s="4303" t="s">
        <v>4322</v>
      </c>
      <c r="E564" s="4324"/>
      <c r="F564" s="4355"/>
      <c r="G564" s="2076">
        <v>192000</v>
      </c>
      <c r="H564" s="2076" t="s">
        <v>4312</v>
      </c>
      <c r="I564" s="2091" t="s">
        <v>4323</v>
      </c>
      <c r="J564" s="2181">
        <f>G564</f>
        <v>192000</v>
      </c>
      <c r="K564" s="2180">
        <v>0</v>
      </c>
      <c r="L564" s="2129" t="s">
        <v>4324</v>
      </c>
      <c r="M564" s="386"/>
      <c r="N564" s="386"/>
      <c r="O564" s="386"/>
      <c r="P564" s="386"/>
      <c r="Q564" s="386"/>
    </row>
    <row r="565" spans="1:17" ht="30" customHeight="1" x14ac:dyDescent="0.2">
      <c r="A565" s="2067">
        <v>350</v>
      </c>
      <c r="B565" s="2070" t="s">
        <v>1554</v>
      </c>
      <c r="C565" s="2086"/>
      <c r="D565" s="2076">
        <v>110000000</v>
      </c>
      <c r="E565" s="4783" t="s">
        <v>1556</v>
      </c>
      <c r="F565" s="4784"/>
      <c r="G565" s="2076"/>
      <c r="H565" s="2076"/>
      <c r="I565" s="2091" t="s">
        <v>3469</v>
      </c>
      <c r="J565" s="2076">
        <f t="shared" ref="J565:J574" si="67">G565</f>
        <v>0</v>
      </c>
      <c r="K565" s="2102">
        <f t="shared" si="66"/>
        <v>0</v>
      </c>
      <c r="L565" s="2129"/>
      <c r="M565" s="386"/>
      <c r="N565" s="386"/>
      <c r="O565" s="386"/>
      <c r="P565" s="386"/>
      <c r="Q565" s="386"/>
    </row>
    <row r="566" spans="1:17" ht="30" customHeight="1" x14ac:dyDescent="0.2">
      <c r="A566" s="2105"/>
      <c r="B566" s="19" t="s">
        <v>1558</v>
      </c>
      <c r="C566" s="2107" t="s">
        <v>1172</v>
      </c>
      <c r="D566" s="2064">
        <v>680000000</v>
      </c>
      <c r="E566" s="2103">
        <v>7.0000000000000007E-2</v>
      </c>
      <c r="F566" s="2064">
        <f t="shared" ref="F566:F575" si="68">D566*E566</f>
        <v>47600000.000000007</v>
      </c>
      <c r="G566" s="2064">
        <v>47600000</v>
      </c>
      <c r="H566" s="2064" t="s">
        <v>4397</v>
      </c>
      <c r="I566" s="2064" t="s">
        <v>2460</v>
      </c>
      <c r="J566" s="2064">
        <f t="shared" si="67"/>
        <v>47600000</v>
      </c>
      <c r="K566" s="2101">
        <f t="shared" si="66"/>
        <v>0</v>
      </c>
      <c r="L566" s="2118"/>
      <c r="M566" s="386"/>
      <c r="N566" s="386"/>
      <c r="O566" s="386"/>
      <c r="P566" s="386"/>
      <c r="Q566" s="386"/>
    </row>
    <row r="567" spans="1:17" ht="30" customHeight="1" x14ac:dyDescent="0.2">
      <c r="A567" s="2067">
        <v>352</v>
      </c>
      <c r="B567" s="2070" t="s">
        <v>1561</v>
      </c>
      <c r="C567" s="2086" t="s">
        <v>1081</v>
      </c>
      <c r="D567" s="2076">
        <v>50000000</v>
      </c>
      <c r="E567" s="2079">
        <v>7.0000000000000007E-2</v>
      </c>
      <c r="F567" s="2076">
        <f t="shared" si="68"/>
        <v>3500000.0000000005</v>
      </c>
      <c r="G567" s="2076">
        <v>3500000</v>
      </c>
      <c r="H567" s="2076" t="s">
        <v>4301</v>
      </c>
      <c r="I567" s="21" t="s">
        <v>3517</v>
      </c>
      <c r="J567" s="2076">
        <f t="shared" si="67"/>
        <v>3500000</v>
      </c>
      <c r="K567" s="2101">
        <f t="shared" si="66"/>
        <v>0</v>
      </c>
      <c r="L567" s="2129"/>
      <c r="M567" s="386"/>
      <c r="N567" s="386"/>
      <c r="O567" s="386"/>
      <c r="P567" s="386"/>
      <c r="Q567" s="386"/>
    </row>
    <row r="568" spans="1:17" ht="30" customHeight="1" x14ac:dyDescent="0.2">
      <c r="A568" s="4614">
        <v>353</v>
      </c>
      <c r="B568" s="4615" t="s">
        <v>1565</v>
      </c>
      <c r="C568" s="2107" t="s">
        <v>1172</v>
      </c>
      <c r="D568" s="2076">
        <v>50000000</v>
      </c>
      <c r="E568" s="2103">
        <v>0.05</v>
      </c>
      <c r="F568" s="2076">
        <f t="shared" si="68"/>
        <v>2500000</v>
      </c>
      <c r="G568" s="2076">
        <v>2500000</v>
      </c>
      <c r="H568" s="2076" t="s">
        <v>1193</v>
      </c>
      <c r="I568" s="2091" t="s">
        <v>3718</v>
      </c>
      <c r="J568" s="2076">
        <f t="shared" si="67"/>
        <v>2500000</v>
      </c>
      <c r="K568" s="2101">
        <f t="shared" si="66"/>
        <v>0</v>
      </c>
      <c r="L568" s="2129"/>
      <c r="M568" s="386"/>
      <c r="N568" s="386"/>
      <c r="O568" s="386"/>
      <c r="P568" s="386"/>
      <c r="Q568" s="386"/>
    </row>
    <row r="569" spans="1:17" ht="30" customHeight="1" x14ac:dyDescent="0.2">
      <c r="A569" s="4614"/>
      <c r="B569" s="4615"/>
      <c r="C569" s="2107" t="s">
        <v>1299</v>
      </c>
      <c r="D569" s="2076">
        <v>20000000</v>
      </c>
      <c r="E569" s="2103">
        <v>0.05</v>
      </c>
      <c r="F569" s="2076">
        <f t="shared" si="68"/>
        <v>1000000</v>
      </c>
      <c r="G569" s="1456">
        <v>1000000</v>
      </c>
      <c r="H569" s="1456" t="s">
        <v>3003</v>
      </c>
      <c r="I569" s="1456" t="s">
        <v>3718</v>
      </c>
      <c r="J569" s="1456">
        <f t="shared" si="67"/>
        <v>1000000</v>
      </c>
      <c r="K569" s="2101">
        <f t="shared" si="66"/>
        <v>0</v>
      </c>
      <c r="L569" s="2129"/>
      <c r="M569" s="386"/>
      <c r="N569" s="386"/>
      <c r="O569" s="386"/>
      <c r="P569" s="386"/>
      <c r="Q569" s="386"/>
    </row>
    <row r="570" spans="1:17" ht="30" customHeight="1" x14ac:dyDescent="0.2">
      <c r="A570" s="4459">
        <v>355</v>
      </c>
      <c r="B570" s="4457" t="s">
        <v>1582</v>
      </c>
      <c r="C570" s="4537" t="s">
        <v>2644</v>
      </c>
      <c r="D570" s="2076">
        <v>115000000</v>
      </c>
      <c r="E570" s="2103">
        <v>0.05</v>
      </c>
      <c r="F570" s="2076">
        <f t="shared" si="68"/>
        <v>5750000</v>
      </c>
      <c r="G570" s="2076">
        <v>5750000</v>
      </c>
      <c r="H570" s="2076" t="s">
        <v>4333</v>
      </c>
      <c r="I570" s="473" t="s">
        <v>3411</v>
      </c>
      <c r="J570" s="2076">
        <f t="shared" si="67"/>
        <v>5750000</v>
      </c>
      <c r="K570" s="2101">
        <f>F570-J570</f>
        <v>0</v>
      </c>
      <c r="L570" s="2129"/>
      <c r="M570" s="386"/>
      <c r="N570" s="386"/>
      <c r="O570" s="386"/>
      <c r="P570" s="386"/>
      <c r="Q570" s="386"/>
    </row>
    <row r="571" spans="1:17" ht="30" customHeight="1" x14ac:dyDescent="0.2">
      <c r="A571" s="4464"/>
      <c r="B571" s="4488"/>
      <c r="C571" s="4540"/>
      <c r="D571" s="3368">
        <v>100000000</v>
      </c>
      <c r="E571" s="3377">
        <v>0.05</v>
      </c>
      <c r="F571" s="3368">
        <f t="shared" si="68"/>
        <v>5000000</v>
      </c>
      <c r="G571" s="4413"/>
      <c r="H571" s="4413"/>
      <c r="I571" s="4789"/>
      <c r="J571" s="4413"/>
      <c r="K571" s="4603"/>
      <c r="L571" s="3375" t="s">
        <v>5239</v>
      </c>
      <c r="M571" s="386"/>
      <c r="N571" s="386"/>
      <c r="O571" s="386"/>
      <c r="P571" s="386"/>
      <c r="Q571" s="386"/>
    </row>
    <row r="572" spans="1:17" ht="30" customHeight="1" x14ac:dyDescent="0.2">
      <c r="A572" s="4464"/>
      <c r="B572" s="4488"/>
      <c r="C572" s="4540"/>
      <c r="D572" s="3368">
        <v>50000000</v>
      </c>
      <c r="E572" s="3377">
        <v>0.05</v>
      </c>
      <c r="F572" s="3368">
        <f t="shared" si="68"/>
        <v>2500000</v>
      </c>
      <c r="G572" s="4414"/>
      <c r="H572" s="4414"/>
      <c r="I572" s="4871"/>
      <c r="J572" s="4414"/>
      <c r="K572" s="4609"/>
      <c r="L572" s="3375" t="s">
        <v>5240</v>
      </c>
      <c r="M572" s="386"/>
      <c r="N572" s="386"/>
      <c r="O572" s="386"/>
      <c r="P572" s="386"/>
      <c r="Q572" s="386"/>
    </row>
    <row r="573" spans="1:17" ht="30" customHeight="1" x14ac:dyDescent="0.2">
      <c r="A573" s="4460"/>
      <c r="B573" s="4458"/>
      <c r="C573" s="4538"/>
      <c r="D573" s="3381">
        <f>SUM(D570:D572)</f>
        <v>265000000</v>
      </c>
      <c r="E573" s="897">
        <v>0.05</v>
      </c>
      <c r="F573" s="3381">
        <f>D573*E573</f>
        <v>13250000</v>
      </c>
      <c r="G573" s="4415"/>
      <c r="H573" s="4415"/>
      <c r="I573" s="4790"/>
      <c r="J573" s="4415"/>
      <c r="K573" s="4604"/>
      <c r="L573" s="3375"/>
      <c r="M573" s="386"/>
      <c r="N573" s="386"/>
      <c r="O573" s="386"/>
      <c r="P573" s="386"/>
      <c r="Q573" s="386"/>
    </row>
    <row r="574" spans="1:17" ht="30" customHeight="1" x14ac:dyDescent="0.2">
      <c r="A574" s="4459">
        <v>356</v>
      </c>
      <c r="B574" s="4457" t="s">
        <v>1590</v>
      </c>
      <c r="C574" s="4537"/>
      <c r="D574" s="2076">
        <v>60000000</v>
      </c>
      <c r="E574" s="2103">
        <v>0.04</v>
      </c>
      <c r="F574" s="2076">
        <f t="shared" si="68"/>
        <v>2400000</v>
      </c>
      <c r="G574" s="4413">
        <v>2800000</v>
      </c>
      <c r="H574" s="4413" t="s">
        <v>4333</v>
      </c>
      <c r="I574" s="4789" t="s">
        <v>3924</v>
      </c>
      <c r="J574" s="4413">
        <f t="shared" si="67"/>
        <v>2800000</v>
      </c>
      <c r="K574" s="4603">
        <f>(F574+F575)-J574</f>
        <v>0</v>
      </c>
      <c r="L574" s="4603"/>
      <c r="M574" s="386"/>
      <c r="N574" s="386"/>
      <c r="O574" s="386"/>
      <c r="P574" s="386"/>
      <c r="Q574" s="386"/>
    </row>
    <row r="575" spans="1:17" ht="30" customHeight="1" x14ac:dyDescent="0.2">
      <c r="A575" s="4460"/>
      <c r="B575" s="4458"/>
      <c r="C575" s="4538"/>
      <c r="D575" s="2076">
        <v>10000000</v>
      </c>
      <c r="E575" s="2103">
        <v>0.04</v>
      </c>
      <c r="F575" s="2076">
        <f t="shared" si="68"/>
        <v>400000</v>
      </c>
      <c r="G575" s="4415"/>
      <c r="H575" s="4415"/>
      <c r="I575" s="4790"/>
      <c r="J575" s="4415"/>
      <c r="K575" s="4604"/>
      <c r="L575" s="4604"/>
      <c r="M575" s="386"/>
      <c r="N575" s="386"/>
      <c r="O575" s="386"/>
      <c r="P575" s="386"/>
      <c r="Q575" s="386"/>
    </row>
    <row r="576" spans="1:17" ht="30" customHeight="1" x14ac:dyDescent="0.2">
      <c r="A576" s="2067">
        <v>357</v>
      </c>
      <c r="B576" s="2070" t="s">
        <v>1592</v>
      </c>
      <c r="C576" s="2086"/>
      <c r="D576" s="2076">
        <v>70000000</v>
      </c>
      <c r="E576" s="40"/>
      <c r="F576" s="2081"/>
      <c r="G576" s="2076"/>
      <c r="H576" s="2076"/>
      <c r="I576" s="473"/>
      <c r="J576" s="2076"/>
      <c r="K576" s="2102"/>
      <c r="L576" s="2129"/>
      <c r="M576" s="386"/>
      <c r="N576" s="386"/>
      <c r="O576" s="386"/>
      <c r="P576" s="386"/>
      <c r="Q576" s="386"/>
    </row>
    <row r="577" spans="1:17" ht="30" customHeight="1" x14ac:dyDescent="0.2">
      <c r="A577" s="1029">
        <v>358</v>
      </c>
      <c r="B577" s="2106" t="s">
        <v>1597</v>
      </c>
      <c r="C577" s="2107"/>
      <c r="D577" s="2090"/>
      <c r="E577" s="40"/>
      <c r="F577" s="2090"/>
      <c r="G577" s="2064"/>
      <c r="H577" s="2064"/>
      <c r="I577" s="1030" t="s">
        <v>1598</v>
      </c>
      <c r="J577" s="2064">
        <f>G577</f>
        <v>0</v>
      </c>
      <c r="K577" s="1031">
        <f>F577-J577</f>
        <v>0</v>
      </c>
      <c r="L577" s="2129" t="s">
        <v>4132</v>
      </c>
      <c r="M577" s="386"/>
      <c r="N577" s="386"/>
      <c r="O577" s="386"/>
      <c r="P577" s="386"/>
      <c r="Q577" s="386"/>
    </row>
    <row r="578" spans="1:17" ht="30" customHeight="1" x14ac:dyDescent="0.2">
      <c r="A578" s="4459">
        <v>359</v>
      </c>
      <c r="B578" s="4457" t="s">
        <v>1599</v>
      </c>
      <c r="C578" s="4537"/>
      <c r="D578" s="4506"/>
      <c r="E578" s="4512"/>
      <c r="F578" s="4506"/>
      <c r="G578" s="2076"/>
      <c r="H578" s="2076"/>
      <c r="I578" s="473"/>
      <c r="J578" s="4413">
        <f>G578+G579</f>
        <v>0</v>
      </c>
      <c r="K578" s="4605">
        <f>F578-J578</f>
        <v>0</v>
      </c>
      <c r="L578" s="4603"/>
      <c r="M578" s="386"/>
      <c r="N578" s="386"/>
      <c r="O578" s="386"/>
      <c r="P578" s="386"/>
      <c r="Q578" s="386"/>
    </row>
    <row r="579" spans="1:17" ht="30" customHeight="1" x14ac:dyDescent="0.2">
      <c r="A579" s="4460"/>
      <c r="B579" s="4458"/>
      <c r="C579" s="4538"/>
      <c r="D579" s="4508"/>
      <c r="E579" s="4514"/>
      <c r="F579" s="4508"/>
      <c r="G579" s="2076"/>
      <c r="H579" s="2076"/>
      <c r="I579" s="473"/>
      <c r="J579" s="4415"/>
      <c r="K579" s="4606"/>
      <c r="L579" s="4604"/>
      <c r="M579" s="386"/>
      <c r="N579" s="386"/>
      <c r="O579" s="386"/>
      <c r="P579" s="386"/>
      <c r="Q579" s="386"/>
    </row>
    <row r="580" spans="1:17" ht="30" customHeight="1" x14ac:dyDescent="0.2">
      <c r="A580" s="4614">
        <v>360</v>
      </c>
      <c r="B580" s="4615" t="s">
        <v>1614</v>
      </c>
      <c r="C580" s="4620" t="s">
        <v>889</v>
      </c>
      <c r="D580" s="2181">
        <v>290000000</v>
      </c>
      <c r="E580" s="2188">
        <v>0.05</v>
      </c>
      <c r="F580" s="2181">
        <f>D580*E580</f>
        <v>14500000</v>
      </c>
      <c r="G580" s="2298"/>
      <c r="H580" s="2298"/>
      <c r="I580" s="2298"/>
      <c r="J580" s="4322">
        <f>G580+G581</f>
        <v>0</v>
      </c>
      <c r="K580" s="4332">
        <f>(F580+F581)-J580</f>
        <v>27100000</v>
      </c>
      <c r="L580" s="4788" t="s">
        <v>4292</v>
      </c>
      <c r="M580" s="386"/>
      <c r="N580" s="386"/>
      <c r="O580" s="386"/>
      <c r="P580" s="386"/>
      <c r="Q580" s="386"/>
    </row>
    <row r="581" spans="1:17" ht="30" customHeight="1" x14ac:dyDescent="0.2">
      <c r="A581" s="4614"/>
      <c r="B581" s="4615"/>
      <c r="C581" s="4620"/>
      <c r="D581" s="2181">
        <v>210000000</v>
      </c>
      <c r="E581" s="2188">
        <v>0.06</v>
      </c>
      <c r="F581" s="2181">
        <f>D581*E581</f>
        <v>12600000</v>
      </c>
      <c r="G581" s="2298"/>
      <c r="H581" s="2298"/>
      <c r="I581" s="2298"/>
      <c r="J581" s="4322"/>
      <c r="K581" s="4332"/>
      <c r="L581" s="4788"/>
      <c r="M581" s="386"/>
      <c r="N581" s="386"/>
      <c r="O581" s="386"/>
      <c r="P581" s="386"/>
      <c r="Q581" s="386"/>
    </row>
    <row r="582" spans="1:17" ht="30" customHeight="1" x14ac:dyDescent="0.2">
      <c r="A582" s="4614"/>
      <c r="B582" s="4615"/>
      <c r="C582" s="4620"/>
      <c r="D582" s="2181">
        <v>150000000</v>
      </c>
      <c r="E582" s="2188"/>
      <c r="F582" s="2181"/>
      <c r="G582" s="2298"/>
      <c r="H582" s="2298"/>
      <c r="I582" s="2298"/>
      <c r="J582" s="2181"/>
      <c r="K582" s="2180"/>
      <c r="L582" s="2194" t="s">
        <v>4293</v>
      </c>
      <c r="M582" s="386"/>
      <c r="N582" s="386"/>
      <c r="O582" s="386"/>
      <c r="P582" s="386"/>
      <c r="Q582" s="386"/>
    </row>
    <row r="583" spans="1:17" ht="30" customHeight="1" x14ac:dyDescent="0.2">
      <c r="A583" s="4459">
        <v>361</v>
      </c>
      <c r="B583" s="4457" t="s">
        <v>1612</v>
      </c>
      <c r="C583" s="4537"/>
      <c r="D583" s="4413">
        <v>3045000000</v>
      </c>
      <c r="E583" s="4476"/>
      <c r="F583" s="4413">
        <v>95800000</v>
      </c>
      <c r="G583" s="2147">
        <v>39000000</v>
      </c>
      <c r="H583" s="4303" t="s">
        <v>4180</v>
      </c>
      <c r="I583" s="4355"/>
      <c r="J583" s="4413">
        <f>G583+G584++G585+G586+G587+G588+G589</f>
        <v>95800000</v>
      </c>
      <c r="K583" s="4603">
        <f>F583-J583</f>
        <v>0</v>
      </c>
      <c r="L583" s="2117"/>
      <c r="M583" s="386"/>
      <c r="N583" s="386"/>
      <c r="O583" s="386"/>
      <c r="P583" s="386"/>
      <c r="Q583" s="386"/>
    </row>
    <row r="584" spans="1:17" ht="30" customHeight="1" x14ac:dyDescent="0.2">
      <c r="A584" s="4464"/>
      <c r="B584" s="4488"/>
      <c r="C584" s="4540"/>
      <c r="D584" s="4414"/>
      <c r="E584" s="4516"/>
      <c r="F584" s="4414"/>
      <c r="G584" s="2181">
        <v>1000000</v>
      </c>
      <c r="H584" s="2181" t="s">
        <v>4312</v>
      </c>
      <c r="I584" s="2181" t="s">
        <v>2467</v>
      </c>
      <c r="J584" s="4414"/>
      <c r="K584" s="4609"/>
      <c r="L584" s="2128"/>
      <c r="M584" s="386"/>
      <c r="N584" s="386"/>
      <c r="O584" s="386"/>
      <c r="P584" s="386"/>
      <c r="Q584" s="386"/>
    </row>
    <row r="585" spans="1:17" ht="30" customHeight="1" x14ac:dyDescent="0.2">
      <c r="A585" s="4464"/>
      <c r="B585" s="4488"/>
      <c r="C585" s="4540"/>
      <c r="D585" s="4414"/>
      <c r="E585" s="4516"/>
      <c r="F585" s="4414"/>
      <c r="G585" s="2184">
        <v>10000000</v>
      </c>
      <c r="H585" s="2184" t="s">
        <v>1193</v>
      </c>
      <c r="I585" s="473" t="s">
        <v>2291</v>
      </c>
      <c r="J585" s="4414"/>
      <c r="K585" s="4609"/>
      <c r="L585" s="2331" t="s">
        <v>2370</v>
      </c>
      <c r="M585" s="386"/>
      <c r="N585" s="386"/>
      <c r="O585" s="386"/>
      <c r="P585" s="386"/>
      <c r="Q585" s="386"/>
    </row>
    <row r="586" spans="1:17" ht="30" customHeight="1" x14ac:dyDescent="0.2">
      <c r="A586" s="4464"/>
      <c r="B586" s="4488"/>
      <c r="C586" s="4540"/>
      <c r="D586" s="4414"/>
      <c r="E586" s="4516"/>
      <c r="F586" s="4414"/>
      <c r="G586" s="2076">
        <v>10000000</v>
      </c>
      <c r="H586" s="2076" t="s">
        <v>1193</v>
      </c>
      <c r="I586" s="473" t="s">
        <v>2291</v>
      </c>
      <c r="J586" s="4414"/>
      <c r="K586" s="4609"/>
      <c r="L586" s="2331" t="s">
        <v>2370</v>
      </c>
      <c r="M586" s="386"/>
      <c r="N586" s="386"/>
      <c r="O586" s="386"/>
      <c r="P586" s="386"/>
      <c r="Q586" s="386"/>
    </row>
    <row r="587" spans="1:17" ht="30" customHeight="1" x14ac:dyDescent="0.2">
      <c r="A587" s="4464"/>
      <c r="B587" s="4488"/>
      <c r="C587" s="4540"/>
      <c r="D587" s="4414"/>
      <c r="E587" s="4516"/>
      <c r="F587" s="4414"/>
      <c r="G587" s="2334">
        <v>5000000</v>
      </c>
      <c r="H587" s="2334" t="s">
        <v>4428</v>
      </c>
      <c r="I587" s="2334" t="s">
        <v>2467</v>
      </c>
      <c r="J587" s="4414"/>
      <c r="K587" s="4609"/>
      <c r="L587" s="849"/>
      <c r="M587" s="386"/>
      <c r="N587" s="386"/>
      <c r="O587" s="386"/>
      <c r="P587" s="386"/>
      <c r="Q587" s="386"/>
    </row>
    <row r="588" spans="1:17" ht="30" customHeight="1" x14ac:dyDescent="0.2">
      <c r="A588" s="4464"/>
      <c r="B588" s="4488"/>
      <c r="C588" s="4540"/>
      <c r="D588" s="4414"/>
      <c r="E588" s="4516"/>
      <c r="F588" s="4414"/>
      <c r="G588" s="2076">
        <v>10800000</v>
      </c>
      <c r="H588" s="2076" t="s">
        <v>4451</v>
      </c>
      <c r="I588" s="473" t="s">
        <v>1613</v>
      </c>
      <c r="J588" s="4414"/>
      <c r="K588" s="4609"/>
      <c r="L588" s="2578" t="s">
        <v>4627</v>
      </c>
      <c r="M588" s="386"/>
      <c r="N588" s="386"/>
      <c r="O588" s="386"/>
      <c r="P588" s="386"/>
      <c r="Q588" s="386"/>
    </row>
    <row r="589" spans="1:17" ht="30" customHeight="1" x14ac:dyDescent="0.2">
      <c r="A589" s="4464"/>
      <c r="B589" s="4488"/>
      <c r="C589" s="4540"/>
      <c r="D589" s="4414"/>
      <c r="E589" s="4516"/>
      <c r="F589" s="4414"/>
      <c r="G589" s="2076">
        <v>20000000</v>
      </c>
      <c r="H589" s="2076" t="s">
        <v>1017</v>
      </c>
      <c r="I589" s="473" t="s">
        <v>1613</v>
      </c>
      <c r="J589" s="4414"/>
      <c r="K589" s="4609"/>
      <c r="L589" s="2578" t="s">
        <v>4628</v>
      </c>
      <c r="M589" s="386"/>
      <c r="N589" s="386"/>
      <c r="O589" s="386"/>
      <c r="P589" s="386"/>
      <c r="Q589" s="386"/>
    </row>
    <row r="590" spans="1:17" ht="30" customHeight="1" x14ac:dyDescent="0.2">
      <c r="A590" s="4464"/>
      <c r="B590" s="4488"/>
      <c r="C590" s="4540"/>
      <c r="D590" s="4414"/>
      <c r="E590" s="4516"/>
      <c r="F590" s="4414"/>
      <c r="G590" s="2076"/>
      <c r="H590" s="2076"/>
      <c r="I590" s="473"/>
      <c r="J590" s="4414"/>
      <c r="K590" s="4609"/>
      <c r="L590" s="849"/>
      <c r="M590" s="386"/>
      <c r="N590" s="386"/>
      <c r="O590" s="386"/>
      <c r="P590" s="386"/>
      <c r="Q590" s="386"/>
    </row>
    <row r="591" spans="1:17" ht="30" customHeight="1" x14ac:dyDescent="0.2">
      <c r="A591" s="4464"/>
      <c r="B591" s="4488"/>
      <c r="C591" s="4540"/>
      <c r="D591" s="4414"/>
      <c r="E591" s="4516"/>
      <c r="F591" s="4414"/>
      <c r="G591" s="2076"/>
      <c r="H591" s="2076"/>
      <c r="I591" s="473"/>
      <c r="J591" s="4414"/>
      <c r="K591" s="4609"/>
      <c r="L591" s="849"/>
      <c r="M591" s="386"/>
      <c r="N591" s="386"/>
      <c r="O591" s="386"/>
      <c r="P591" s="386"/>
      <c r="Q591" s="386"/>
    </row>
    <row r="592" spans="1:17" ht="30" customHeight="1" x14ac:dyDescent="0.2">
      <c r="A592" s="4460"/>
      <c r="B592" s="4458"/>
      <c r="C592" s="4538"/>
      <c r="D592" s="4415"/>
      <c r="E592" s="4477"/>
      <c r="F592" s="4415"/>
      <c r="G592" s="2076"/>
      <c r="H592" s="2076"/>
      <c r="I592" s="473"/>
      <c r="J592" s="4415"/>
      <c r="K592" s="4604"/>
      <c r="L592" s="899"/>
      <c r="M592" s="386"/>
      <c r="N592" s="386"/>
      <c r="O592" s="386"/>
      <c r="P592" s="386"/>
      <c r="Q592" s="386"/>
    </row>
    <row r="593" spans="1:17" ht="30" customHeight="1" x14ac:dyDescent="0.2">
      <c r="A593" s="4459"/>
      <c r="B593" s="4457" t="s">
        <v>4181</v>
      </c>
      <c r="C593" s="4537"/>
      <c r="D593" s="4413">
        <v>30000000</v>
      </c>
      <c r="E593" s="4476">
        <v>6.5000000000000002E-2</v>
      </c>
      <c r="F593" s="4413">
        <f>D593*E593</f>
        <v>1950000</v>
      </c>
      <c r="G593" s="4413">
        <v>1950000</v>
      </c>
      <c r="H593" s="4413" t="s">
        <v>2473</v>
      </c>
      <c r="I593" s="4413" t="s">
        <v>2369</v>
      </c>
      <c r="J593" s="4413">
        <f>G593</f>
        <v>1950000</v>
      </c>
      <c r="K593" s="4603">
        <f>F593-J593</f>
        <v>0</v>
      </c>
      <c r="L593" s="2675" t="s">
        <v>4182</v>
      </c>
      <c r="M593" s="2675"/>
      <c r="N593" s="2675"/>
      <c r="O593" s="2675"/>
      <c r="P593" s="386"/>
      <c r="Q593" s="386"/>
    </row>
    <row r="594" spans="1:17" ht="30" customHeight="1" x14ac:dyDescent="0.2">
      <c r="A594" s="4464"/>
      <c r="B594" s="4488"/>
      <c r="C594" s="4540"/>
      <c r="D594" s="4414"/>
      <c r="E594" s="4516"/>
      <c r="F594" s="4414"/>
      <c r="G594" s="4414"/>
      <c r="H594" s="4414"/>
      <c r="I594" s="4414"/>
      <c r="J594" s="4414"/>
      <c r="K594" s="4609"/>
      <c r="L594" s="2675" t="s">
        <v>4183</v>
      </c>
      <c r="M594" s="2675"/>
      <c r="N594" s="2675"/>
      <c r="O594" s="2675"/>
      <c r="P594" s="386"/>
      <c r="Q594" s="386"/>
    </row>
    <row r="595" spans="1:17" ht="30" customHeight="1" x14ac:dyDescent="0.2">
      <c r="A595" s="4460"/>
      <c r="B595" s="4458"/>
      <c r="C595" s="4538"/>
      <c r="D595" s="4415"/>
      <c r="E595" s="4477"/>
      <c r="F595" s="4415"/>
      <c r="G595" s="4415"/>
      <c r="H595" s="4415"/>
      <c r="I595" s="4415"/>
      <c r="J595" s="4415"/>
      <c r="K595" s="4604"/>
      <c r="L595" s="2675" t="s">
        <v>4184</v>
      </c>
      <c r="M595" s="2675"/>
      <c r="N595" s="2675"/>
      <c r="O595" s="2675"/>
      <c r="P595" s="386"/>
      <c r="Q595" s="386"/>
    </row>
    <row r="596" spans="1:17" ht="30" customHeight="1" x14ac:dyDescent="0.2">
      <c r="A596" s="2105">
        <v>362</v>
      </c>
      <c r="B596" s="19" t="s">
        <v>1619</v>
      </c>
      <c r="C596" s="2107" t="s">
        <v>1652</v>
      </c>
      <c r="D596" s="2076">
        <v>360000000</v>
      </c>
      <c r="E596" s="2103">
        <v>4.4999999999999998E-2</v>
      </c>
      <c r="F596" s="2076">
        <v>16500000</v>
      </c>
      <c r="G596" s="2076">
        <v>16500000</v>
      </c>
      <c r="H596" s="2076" t="s">
        <v>1193</v>
      </c>
      <c r="I596" s="473" t="s">
        <v>1620</v>
      </c>
      <c r="J596" s="2076">
        <f t="shared" ref="J596:J609" si="69">G596</f>
        <v>16500000</v>
      </c>
      <c r="K596" s="2101">
        <f t="shared" ref="K596:K609" si="70">F596-J596</f>
        <v>0</v>
      </c>
      <c r="L596" s="2675" t="s">
        <v>3451</v>
      </c>
      <c r="M596" s="2675"/>
      <c r="N596" s="2675"/>
      <c r="O596" s="2675"/>
      <c r="P596" s="386"/>
      <c r="Q596" s="386"/>
    </row>
    <row r="597" spans="1:17" ht="30" customHeight="1" x14ac:dyDescent="0.2">
      <c r="A597" s="2067">
        <v>363</v>
      </c>
      <c r="B597" s="2070" t="s">
        <v>1641</v>
      </c>
      <c r="C597" s="2086"/>
      <c r="D597" s="2081"/>
      <c r="E597" s="40"/>
      <c r="F597" s="2081"/>
      <c r="G597" s="2076">
        <v>1400000</v>
      </c>
      <c r="H597" s="2076" t="s">
        <v>4363</v>
      </c>
      <c r="I597" s="473" t="s">
        <v>1621</v>
      </c>
      <c r="J597" s="2076">
        <f t="shared" si="69"/>
        <v>1400000</v>
      </c>
      <c r="K597" s="2101">
        <f t="shared" si="70"/>
        <v>-1400000</v>
      </c>
      <c r="L597" s="2129"/>
      <c r="M597" s="386"/>
      <c r="N597" s="386"/>
      <c r="O597" s="386"/>
      <c r="P597" s="386"/>
      <c r="Q597" s="386"/>
    </row>
    <row r="598" spans="1:17" ht="30" customHeight="1" x14ac:dyDescent="0.2">
      <c r="A598" s="2067">
        <v>364</v>
      </c>
      <c r="B598" s="2070" t="s">
        <v>1637</v>
      </c>
      <c r="C598" s="2086"/>
      <c r="D598" s="2081"/>
      <c r="E598" s="40"/>
      <c r="F598" s="2081"/>
      <c r="G598" s="2076"/>
      <c r="H598" s="2076"/>
      <c r="I598" s="473" t="s">
        <v>4041</v>
      </c>
      <c r="J598" s="2076">
        <f t="shared" si="69"/>
        <v>0</v>
      </c>
      <c r="K598" s="2102">
        <f t="shared" si="70"/>
        <v>0</v>
      </c>
      <c r="L598" s="2129"/>
      <c r="M598" s="386"/>
      <c r="N598" s="386"/>
      <c r="O598" s="386"/>
      <c r="P598" s="386"/>
      <c r="Q598" s="386"/>
    </row>
    <row r="599" spans="1:17" ht="30" customHeight="1" x14ac:dyDescent="0.2">
      <c r="A599" s="2105">
        <v>365</v>
      </c>
      <c r="B599" s="2106" t="s">
        <v>1639</v>
      </c>
      <c r="C599" s="2107" t="s">
        <v>1718</v>
      </c>
      <c r="D599" s="2076">
        <v>250000000</v>
      </c>
      <c r="E599" s="2103">
        <v>0.05</v>
      </c>
      <c r="F599" s="2076">
        <f>D599*E599</f>
        <v>12500000</v>
      </c>
      <c r="G599" s="2064">
        <v>12500000</v>
      </c>
      <c r="H599" s="2064" t="s">
        <v>4404</v>
      </c>
      <c r="I599" s="2064" t="s">
        <v>2808</v>
      </c>
      <c r="J599" s="2064">
        <f t="shared" si="69"/>
        <v>12500000</v>
      </c>
      <c r="K599" s="2101">
        <f t="shared" si="70"/>
        <v>0</v>
      </c>
      <c r="L599" s="2118"/>
      <c r="M599" s="386"/>
      <c r="N599" s="386"/>
      <c r="O599" s="386"/>
      <c r="P599" s="386"/>
      <c r="Q599" s="386"/>
    </row>
    <row r="600" spans="1:17" ht="30" customHeight="1" x14ac:dyDescent="0.2">
      <c r="A600" s="4459">
        <v>366</v>
      </c>
      <c r="B600" s="4457" t="s">
        <v>4686</v>
      </c>
      <c r="C600" s="4537" t="s">
        <v>1107</v>
      </c>
      <c r="D600" s="4872">
        <v>70000000</v>
      </c>
      <c r="E600" s="4476">
        <v>6.3E-2</v>
      </c>
      <c r="F600" s="4413">
        <v>4400000</v>
      </c>
      <c r="G600" s="2076">
        <v>4400000</v>
      </c>
      <c r="H600" s="2076" t="s">
        <v>4312</v>
      </c>
      <c r="I600" s="473" t="s">
        <v>3773</v>
      </c>
      <c r="J600" s="2076">
        <f t="shared" si="69"/>
        <v>4400000</v>
      </c>
      <c r="K600" s="2101">
        <f t="shared" si="70"/>
        <v>0</v>
      </c>
      <c r="L600" s="2129" t="s">
        <v>3953</v>
      </c>
      <c r="M600" s="386"/>
      <c r="N600" s="386"/>
      <c r="O600" s="386"/>
      <c r="P600" s="386"/>
      <c r="Q600" s="386"/>
    </row>
    <row r="601" spans="1:17" ht="30" customHeight="1" x14ac:dyDescent="0.2">
      <c r="A601" s="4464"/>
      <c r="B601" s="4488"/>
      <c r="C601" s="4540"/>
      <c r="D601" s="4873"/>
      <c r="E601" s="4477"/>
      <c r="F601" s="4415"/>
      <c r="G601" s="2775">
        <v>4400000</v>
      </c>
      <c r="H601" s="2775" t="s">
        <v>4780</v>
      </c>
      <c r="I601" s="473" t="s">
        <v>4783</v>
      </c>
      <c r="J601" s="2775">
        <f t="shared" si="69"/>
        <v>4400000</v>
      </c>
      <c r="K601" s="2779">
        <f>F600-J601</f>
        <v>0</v>
      </c>
      <c r="L601" s="2781" t="s">
        <v>4439</v>
      </c>
      <c r="M601" s="386"/>
      <c r="N601" s="386"/>
      <c r="O601" s="386"/>
      <c r="P601" s="386"/>
      <c r="Q601" s="386"/>
    </row>
    <row r="602" spans="1:17" ht="30" customHeight="1" x14ac:dyDescent="0.2">
      <c r="A602" s="4464"/>
      <c r="B602" s="4488"/>
      <c r="C602" s="4540"/>
      <c r="D602" s="2811">
        <v>96900000</v>
      </c>
      <c r="E602" s="2797"/>
      <c r="F602" s="2796"/>
      <c r="G602" s="2796"/>
      <c r="H602" s="2796"/>
      <c r="I602" s="473"/>
      <c r="J602" s="2796"/>
      <c r="K602" s="2803"/>
      <c r="L602" s="2814" t="s">
        <v>4798</v>
      </c>
      <c r="M602" s="386"/>
      <c r="N602" s="386"/>
      <c r="O602" s="386"/>
      <c r="P602" s="386"/>
      <c r="Q602" s="386"/>
    </row>
    <row r="603" spans="1:17" ht="30" customHeight="1" x14ac:dyDescent="0.2">
      <c r="A603" s="4464"/>
      <c r="B603" s="4488"/>
      <c r="C603" s="4540"/>
      <c r="D603" s="2678">
        <v>7100000</v>
      </c>
      <c r="E603" s="2805"/>
      <c r="F603" s="2796"/>
      <c r="G603" s="2658"/>
      <c r="H603" s="2658"/>
      <c r="I603" s="473"/>
      <c r="J603" s="2658"/>
      <c r="K603" s="2664"/>
      <c r="L603" s="2814" t="s">
        <v>4687</v>
      </c>
      <c r="M603" s="386"/>
      <c r="N603" s="386"/>
      <c r="O603" s="386"/>
      <c r="P603" s="386"/>
      <c r="Q603" s="386"/>
    </row>
    <row r="604" spans="1:17" ht="30" customHeight="1" x14ac:dyDescent="0.2">
      <c r="A604" s="4464"/>
      <c r="B604" s="4488"/>
      <c r="C604" s="4540"/>
      <c r="D604" s="2678">
        <v>3000000</v>
      </c>
      <c r="E604" s="2665"/>
      <c r="F604" s="2658"/>
      <c r="G604" s="2658"/>
      <c r="H604" s="2658"/>
      <c r="I604" s="473"/>
      <c r="J604" s="2658"/>
      <c r="K604" s="2664"/>
      <c r="L604" s="2814" t="s">
        <v>4688</v>
      </c>
      <c r="M604" s="386"/>
      <c r="N604" s="386"/>
      <c r="O604" s="386"/>
      <c r="P604" s="386"/>
      <c r="Q604" s="386"/>
    </row>
    <row r="605" spans="1:17" ht="30" customHeight="1" x14ac:dyDescent="0.2">
      <c r="A605" s="4464"/>
      <c r="B605" s="4488"/>
      <c r="C605" s="4540"/>
      <c r="D605" s="2678">
        <v>10000000</v>
      </c>
      <c r="E605" s="2665"/>
      <c r="F605" s="2658"/>
      <c r="G605" s="2658"/>
      <c r="H605" s="2658"/>
      <c r="I605" s="473"/>
      <c r="J605" s="2658"/>
      <c r="K605" s="2664"/>
      <c r="L605" s="2814" t="s">
        <v>4690</v>
      </c>
      <c r="M605" s="386"/>
      <c r="N605" s="386"/>
      <c r="O605" s="386"/>
      <c r="P605" s="386"/>
      <c r="Q605" s="386"/>
    </row>
    <row r="606" spans="1:17" ht="30" customHeight="1" x14ac:dyDescent="0.2">
      <c r="A606" s="4464"/>
      <c r="B606" s="4488"/>
      <c r="C606" s="4540"/>
      <c r="D606" s="2678">
        <v>10000000</v>
      </c>
      <c r="E606" s="2665"/>
      <c r="F606" s="2658"/>
      <c r="G606" s="2658"/>
      <c r="H606" s="2658"/>
      <c r="I606" s="473"/>
      <c r="J606" s="2658"/>
      <c r="K606" s="2664"/>
      <c r="L606" s="2814" t="s">
        <v>4689</v>
      </c>
      <c r="M606" s="386"/>
      <c r="N606" s="386"/>
      <c r="O606" s="386"/>
      <c r="P606" s="386"/>
      <c r="Q606" s="386"/>
    </row>
    <row r="607" spans="1:17" ht="30" customHeight="1" x14ac:dyDescent="0.2">
      <c r="A607" s="4464"/>
      <c r="B607" s="4488"/>
      <c r="C607" s="4540"/>
      <c r="D607" s="2678">
        <v>8000000</v>
      </c>
      <c r="E607" s="2665"/>
      <c r="F607" s="2658"/>
      <c r="G607" s="2658"/>
      <c r="H607" s="2658"/>
      <c r="I607" s="473"/>
      <c r="J607" s="2658"/>
      <c r="K607" s="2664"/>
      <c r="L607" s="2814" t="s">
        <v>4691</v>
      </c>
      <c r="M607" s="386"/>
      <c r="N607" s="386"/>
      <c r="O607" s="386"/>
      <c r="P607" s="386"/>
      <c r="Q607" s="386"/>
    </row>
    <row r="608" spans="1:17" ht="30" customHeight="1" x14ac:dyDescent="0.2">
      <c r="A608" s="4460"/>
      <c r="B608" s="4458"/>
      <c r="C608" s="4538"/>
      <c r="D608" s="2811">
        <f>SUM(D600:D607)</f>
        <v>205000000</v>
      </c>
      <c r="E608" s="2490"/>
      <c r="F608" s="2480"/>
      <c r="G608" s="2480"/>
      <c r="H608" s="2480"/>
      <c r="I608" s="473"/>
      <c r="J608" s="2480"/>
      <c r="K608" s="2489"/>
      <c r="L608" s="2675" t="s">
        <v>4692</v>
      </c>
      <c r="M608" s="386"/>
      <c r="N608" s="386"/>
      <c r="O608" s="386"/>
      <c r="P608" s="386"/>
      <c r="Q608" s="386"/>
    </row>
    <row r="609" spans="1:17" ht="30" customHeight="1" x14ac:dyDescent="0.2">
      <c r="A609" s="2067">
        <v>367</v>
      </c>
      <c r="B609" s="2070" t="s">
        <v>1666</v>
      </c>
      <c r="C609" s="2086"/>
      <c r="D609" s="2076">
        <v>25000000</v>
      </c>
      <c r="E609" s="2103">
        <v>0.05</v>
      </c>
      <c r="F609" s="2076">
        <f>D609*E609</f>
        <v>1250000</v>
      </c>
      <c r="G609" s="2076">
        <v>1250000</v>
      </c>
      <c r="H609" s="2076" t="s">
        <v>1193</v>
      </c>
      <c r="I609" s="473" t="s">
        <v>4052</v>
      </c>
      <c r="J609" s="2076">
        <f t="shared" si="69"/>
        <v>1250000</v>
      </c>
      <c r="K609" s="2101">
        <f t="shared" si="70"/>
        <v>0</v>
      </c>
      <c r="L609" s="2129"/>
      <c r="M609" s="386"/>
      <c r="N609" s="386"/>
      <c r="O609" s="386"/>
      <c r="P609" s="386"/>
      <c r="Q609" s="386"/>
    </row>
    <row r="610" spans="1:17" ht="30" customHeight="1" x14ac:dyDescent="0.2">
      <c r="A610" s="4614">
        <v>368</v>
      </c>
      <c r="B610" s="4615" t="s">
        <v>1793</v>
      </c>
      <c r="C610" s="4620" t="s">
        <v>392</v>
      </c>
      <c r="D610" s="2526">
        <v>800000000</v>
      </c>
      <c r="E610" s="2541">
        <v>7.0000000000000007E-2</v>
      </c>
      <c r="F610" s="2526">
        <f>D610*E610</f>
        <v>56000000.000000007</v>
      </c>
      <c r="G610" s="2526">
        <v>38000000</v>
      </c>
      <c r="H610" s="39" t="s">
        <v>4301</v>
      </c>
      <c r="I610" s="1030" t="s">
        <v>2579</v>
      </c>
      <c r="J610" s="2526">
        <f>G610</f>
        <v>38000000</v>
      </c>
      <c r="K610" s="2524">
        <f>F610-J610</f>
        <v>18000000.000000007</v>
      </c>
      <c r="L610" s="4675" t="s">
        <v>4641</v>
      </c>
      <c r="M610" s="386"/>
      <c r="N610" s="386"/>
      <c r="O610" s="386"/>
      <c r="P610" s="386"/>
      <c r="Q610" s="386"/>
    </row>
    <row r="611" spans="1:17" ht="30" customHeight="1" x14ac:dyDescent="0.2">
      <c r="A611" s="4614"/>
      <c r="B611" s="4615"/>
      <c r="C611" s="4620"/>
      <c r="D611" s="896">
        <v>818000000</v>
      </c>
      <c r="E611" s="2439">
        <v>7.0000000000000007E-2</v>
      </c>
      <c r="F611" s="896">
        <f>D611*E611</f>
        <v>57260000.000000007</v>
      </c>
      <c r="G611" s="2530"/>
      <c r="H611" s="2536"/>
      <c r="I611" s="2542"/>
      <c r="J611" s="2530"/>
      <c r="K611" s="2539"/>
      <c r="L611" s="4676"/>
      <c r="M611" s="386"/>
      <c r="N611" s="386"/>
      <c r="O611" s="386"/>
      <c r="P611" s="386"/>
      <c r="Q611" s="386"/>
    </row>
    <row r="612" spans="1:17" ht="30" customHeight="1" x14ac:dyDescent="0.2">
      <c r="A612" s="4459">
        <v>369</v>
      </c>
      <c r="B612" s="4457" t="s">
        <v>1676</v>
      </c>
      <c r="C612" s="4537" t="s">
        <v>1652</v>
      </c>
      <c r="D612" s="2076">
        <v>250000000</v>
      </c>
      <c r="E612" s="2079">
        <v>0.05</v>
      </c>
      <c r="F612" s="2076">
        <f t="shared" ref="F612:F617" si="71">D612*E612</f>
        <v>12500000</v>
      </c>
      <c r="G612" s="4413">
        <v>27800000</v>
      </c>
      <c r="H612" s="4413" t="s">
        <v>4387</v>
      </c>
      <c r="I612" s="4413" t="s">
        <v>4388</v>
      </c>
      <c r="J612" s="4413">
        <f>G612</f>
        <v>27800000</v>
      </c>
      <c r="K612" s="4413">
        <f>(F612+F613+F614+F615)-J612</f>
        <v>0</v>
      </c>
      <c r="L612" s="2129"/>
      <c r="M612" s="386"/>
      <c r="N612" s="386"/>
      <c r="O612" s="386"/>
      <c r="P612" s="386"/>
      <c r="Q612" s="386"/>
    </row>
    <row r="613" spans="1:17" ht="30" customHeight="1" x14ac:dyDescent="0.2">
      <c r="A613" s="4464"/>
      <c r="B613" s="4488"/>
      <c r="C613" s="4540"/>
      <c r="D613" s="2076">
        <v>150000000</v>
      </c>
      <c r="E613" s="2079">
        <v>0.06</v>
      </c>
      <c r="F613" s="2076">
        <f t="shared" si="71"/>
        <v>9000000</v>
      </c>
      <c r="G613" s="4414"/>
      <c r="H613" s="4414"/>
      <c r="I613" s="4414"/>
      <c r="J613" s="4414"/>
      <c r="K613" s="4414"/>
      <c r="L613" s="2117" t="s">
        <v>3884</v>
      </c>
      <c r="M613" s="386"/>
      <c r="N613" s="386"/>
      <c r="O613" s="386"/>
      <c r="P613" s="386"/>
      <c r="Q613" s="386"/>
    </row>
    <row r="614" spans="1:17" ht="30" customHeight="1" x14ac:dyDescent="0.2">
      <c r="A614" s="4464"/>
      <c r="B614" s="4488"/>
      <c r="C614" s="4540"/>
      <c r="D614" s="2076">
        <v>50000000</v>
      </c>
      <c r="E614" s="2079">
        <v>0.06</v>
      </c>
      <c r="F614" s="2076">
        <f t="shared" si="71"/>
        <v>3000000</v>
      </c>
      <c r="G614" s="4414"/>
      <c r="H614" s="4414"/>
      <c r="I614" s="4414"/>
      <c r="J614" s="4414"/>
      <c r="K614" s="4414"/>
      <c r="L614" s="2117" t="s">
        <v>3885</v>
      </c>
      <c r="M614" s="386"/>
      <c r="N614" s="386"/>
      <c r="O614" s="386"/>
      <c r="P614" s="386"/>
      <c r="Q614" s="386"/>
    </row>
    <row r="615" spans="1:17" ht="30" customHeight="1" x14ac:dyDescent="0.2">
      <c r="A615" s="4460"/>
      <c r="B615" s="4458"/>
      <c r="C615" s="4538"/>
      <c r="D615" s="2076">
        <v>55000000</v>
      </c>
      <c r="E615" s="2079">
        <v>0.06</v>
      </c>
      <c r="F615" s="2076">
        <f t="shared" si="71"/>
        <v>3300000</v>
      </c>
      <c r="G615" s="4415"/>
      <c r="H615" s="4415"/>
      <c r="I615" s="4415"/>
      <c r="J615" s="4415"/>
      <c r="K615" s="4415"/>
      <c r="L615" s="2117"/>
      <c r="M615" s="386"/>
      <c r="N615" s="386"/>
      <c r="O615" s="386"/>
      <c r="P615" s="386"/>
      <c r="Q615" s="386"/>
    </row>
    <row r="616" spans="1:17" ht="30" customHeight="1" x14ac:dyDescent="0.2">
      <c r="A616" s="2065">
        <v>370</v>
      </c>
      <c r="B616" s="2108" t="s">
        <v>1696</v>
      </c>
      <c r="C616" s="2086" t="s">
        <v>3323</v>
      </c>
      <c r="D616" s="2076">
        <v>200000000</v>
      </c>
      <c r="E616" s="2103">
        <v>0.05</v>
      </c>
      <c r="F616" s="2076">
        <f t="shared" si="71"/>
        <v>10000000</v>
      </c>
      <c r="G616" s="2076">
        <v>10000000</v>
      </c>
      <c r="H616" s="2076" t="s">
        <v>4363</v>
      </c>
      <c r="I616" s="473" t="s">
        <v>4372</v>
      </c>
      <c r="J616" s="2076">
        <f t="shared" ref="J616:J627" si="72">G616</f>
        <v>10000000</v>
      </c>
      <c r="K616" s="2101">
        <f>F616-J616</f>
        <v>0</v>
      </c>
      <c r="L616" s="2813" t="s">
        <v>3953</v>
      </c>
      <c r="M616" s="386"/>
      <c r="N616" s="386"/>
      <c r="O616" s="386"/>
      <c r="P616" s="386"/>
      <c r="Q616" s="386"/>
    </row>
    <row r="617" spans="1:17" ht="30" customHeight="1" x14ac:dyDescent="0.2">
      <c r="A617" s="4459">
        <v>371</v>
      </c>
      <c r="B617" s="4457" t="s">
        <v>1698</v>
      </c>
      <c r="C617" s="4537" t="s">
        <v>942</v>
      </c>
      <c r="D617" s="4413">
        <v>50000000</v>
      </c>
      <c r="E617" s="4476">
        <v>0.04</v>
      </c>
      <c r="F617" s="4413">
        <f t="shared" si="71"/>
        <v>2000000</v>
      </c>
      <c r="G617" s="2181">
        <v>2000000</v>
      </c>
      <c r="H617" s="2181" t="s">
        <v>4312</v>
      </c>
      <c r="I617" s="1030" t="s">
        <v>1720</v>
      </c>
      <c r="J617" s="2181">
        <f t="shared" si="72"/>
        <v>2000000</v>
      </c>
      <c r="K617" s="2180">
        <f>F617-J617</f>
        <v>0</v>
      </c>
      <c r="L617" s="2129" t="s">
        <v>3953</v>
      </c>
      <c r="M617" s="386"/>
      <c r="N617" s="386"/>
      <c r="O617" s="386"/>
      <c r="P617" s="386"/>
      <c r="Q617" s="386"/>
    </row>
    <row r="618" spans="1:17" ht="30" customHeight="1" x14ac:dyDescent="0.2">
      <c r="A618" s="4464"/>
      <c r="B618" s="4458"/>
      <c r="C618" s="4538"/>
      <c r="D618" s="4415"/>
      <c r="E618" s="4477"/>
      <c r="F618" s="4415"/>
      <c r="G618" s="2775">
        <v>2000000</v>
      </c>
      <c r="H618" s="2775" t="s">
        <v>4780</v>
      </c>
      <c r="I618" s="473" t="s">
        <v>1720</v>
      </c>
      <c r="J618" s="2775">
        <f>G618</f>
        <v>2000000</v>
      </c>
      <c r="K618" s="2779">
        <f>F617-J618</f>
        <v>0</v>
      </c>
      <c r="L618" s="2781" t="s">
        <v>4439</v>
      </c>
      <c r="M618" s="386"/>
      <c r="N618" s="386"/>
      <c r="O618" s="386"/>
      <c r="P618" s="386"/>
      <c r="Q618" s="386"/>
    </row>
    <row r="619" spans="1:17" ht="30" customHeight="1" x14ac:dyDescent="0.2">
      <c r="A619" s="2067">
        <v>372</v>
      </c>
      <c r="B619" s="2070" t="s">
        <v>1706</v>
      </c>
      <c r="C619" s="2086"/>
      <c r="D619" s="2081"/>
      <c r="E619" s="40"/>
      <c r="F619" s="2081"/>
      <c r="G619" s="2076"/>
      <c r="H619" s="2076"/>
      <c r="I619" s="473"/>
      <c r="J619" s="2076">
        <f t="shared" si="72"/>
        <v>0</v>
      </c>
      <c r="K619" s="2102"/>
      <c r="L619" s="2129"/>
      <c r="M619" s="386"/>
      <c r="N619" s="386"/>
      <c r="O619" s="386"/>
      <c r="P619" s="386"/>
      <c r="Q619" s="386"/>
    </row>
    <row r="620" spans="1:17" ht="30" customHeight="1" x14ac:dyDescent="0.2">
      <c r="A620" s="4459"/>
      <c r="B620" s="4457" t="s">
        <v>1725</v>
      </c>
      <c r="C620" s="4537" t="s">
        <v>1718</v>
      </c>
      <c r="D620" s="2064">
        <v>20000000</v>
      </c>
      <c r="E620" s="2103">
        <v>0.05</v>
      </c>
      <c r="F620" s="2064">
        <f>D620*E620</f>
        <v>1000000</v>
      </c>
      <c r="G620" s="2064">
        <v>1000000</v>
      </c>
      <c r="H620" s="2064" t="s">
        <v>4404</v>
      </c>
      <c r="I620" s="2064" t="s">
        <v>3486</v>
      </c>
      <c r="J620" s="2064">
        <f t="shared" si="72"/>
        <v>1000000</v>
      </c>
      <c r="K620" s="2062">
        <f>F620-J620</f>
        <v>0</v>
      </c>
      <c r="L620" s="2129"/>
      <c r="M620" s="386"/>
      <c r="N620" s="386"/>
      <c r="O620" s="386"/>
      <c r="P620" s="386"/>
      <c r="Q620" s="386"/>
    </row>
    <row r="621" spans="1:17" ht="30" customHeight="1" x14ac:dyDescent="0.2">
      <c r="A621" s="4460"/>
      <c r="B621" s="4458"/>
      <c r="C621" s="4538"/>
      <c r="D621" s="2172">
        <v>10000000</v>
      </c>
      <c r="E621" s="2409">
        <v>0.05</v>
      </c>
      <c r="F621" s="2405">
        <f>D621*E621</f>
        <v>500000</v>
      </c>
      <c r="G621" s="2172"/>
      <c r="H621" s="2172"/>
      <c r="I621" s="2173"/>
      <c r="J621" s="2172"/>
      <c r="K621" s="2174"/>
      <c r="L621" s="2177" t="s">
        <v>4284</v>
      </c>
      <c r="M621" s="386"/>
      <c r="N621" s="386"/>
      <c r="O621" s="386"/>
      <c r="P621" s="386"/>
      <c r="Q621" s="386"/>
    </row>
    <row r="622" spans="1:17" ht="30" customHeight="1" x14ac:dyDescent="0.2">
      <c r="A622" s="2067">
        <v>374</v>
      </c>
      <c r="B622" s="2070" t="s">
        <v>1727</v>
      </c>
      <c r="C622" s="2086"/>
      <c r="D622" s="2081"/>
      <c r="E622" s="2084"/>
      <c r="F622" s="2081"/>
      <c r="G622" s="2076"/>
      <c r="H622" s="2076"/>
      <c r="I622" s="473"/>
      <c r="J622" s="2076">
        <f t="shared" si="72"/>
        <v>0</v>
      </c>
      <c r="K622" s="2102">
        <f t="shared" ref="K622:K628" si="73">F622-J622</f>
        <v>0</v>
      </c>
      <c r="L622" s="2129"/>
      <c r="M622" s="386"/>
      <c r="N622" s="386"/>
      <c r="O622" s="386"/>
      <c r="P622" s="386"/>
      <c r="Q622" s="386"/>
    </row>
    <row r="623" spans="1:17" ht="30" customHeight="1" x14ac:dyDescent="0.2">
      <c r="A623" s="4459">
        <v>375</v>
      </c>
      <c r="B623" s="4457" t="s">
        <v>1735</v>
      </c>
      <c r="C623" s="4537"/>
      <c r="D623" s="4413">
        <v>900000000</v>
      </c>
      <c r="E623" s="4476">
        <v>7.0000000000000007E-2</v>
      </c>
      <c r="F623" s="4413">
        <f>D623*E623</f>
        <v>63000000.000000007</v>
      </c>
      <c r="G623" s="2076">
        <v>50000000</v>
      </c>
      <c r="H623" s="2076" t="s">
        <v>4397</v>
      </c>
      <c r="I623" s="473" t="s">
        <v>4405</v>
      </c>
      <c r="J623" s="4413">
        <f>G623+G624</f>
        <v>63000000</v>
      </c>
      <c r="K623" s="4603">
        <f t="shared" si="73"/>
        <v>0</v>
      </c>
      <c r="L623" s="2544" t="s">
        <v>4610</v>
      </c>
      <c r="M623" s="386"/>
      <c r="N623" s="386"/>
      <c r="O623" s="386"/>
      <c r="P623" s="386"/>
      <c r="Q623" s="386"/>
    </row>
    <row r="624" spans="1:17" ht="30" customHeight="1" x14ac:dyDescent="0.2">
      <c r="A624" s="4460"/>
      <c r="B624" s="4458"/>
      <c r="C624" s="4538"/>
      <c r="D624" s="4415"/>
      <c r="E624" s="4477"/>
      <c r="F624" s="4415"/>
      <c r="G624" s="2339">
        <v>13000000</v>
      </c>
      <c r="H624" s="2339" t="s">
        <v>4404</v>
      </c>
      <c r="I624" s="473" t="s">
        <v>4405</v>
      </c>
      <c r="J624" s="4415"/>
      <c r="K624" s="4604"/>
      <c r="L624" s="2346"/>
      <c r="M624" s="386"/>
      <c r="N624" s="386"/>
      <c r="O624" s="386"/>
      <c r="P624" s="386"/>
      <c r="Q624" s="386"/>
    </row>
    <row r="625" spans="1:17" ht="30" customHeight="1" x14ac:dyDescent="0.2">
      <c r="A625" s="2067">
        <v>376</v>
      </c>
      <c r="B625" s="2070" t="s">
        <v>3580</v>
      </c>
      <c r="C625" s="2086" t="s">
        <v>262</v>
      </c>
      <c r="D625" s="2076">
        <v>50000000</v>
      </c>
      <c r="E625" s="2103">
        <v>0.06</v>
      </c>
      <c r="F625" s="2076">
        <f>D625*E625</f>
        <v>3000000</v>
      </c>
      <c r="G625" s="2076">
        <v>3000000</v>
      </c>
      <c r="H625" s="2076" t="s">
        <v>4451</v>
      </c>
      <c r="I625" s="473" t="s">
        <v>1743</v>
      </c>
      <c r="J625" s="2076">
        <f t="shared" si="72"/>
        <v>3000000</v>
      </c>
      <c r="K625" s="2101">
        <f t="shared" si="73"/>
        <v>0</v>
      </c>
      <c r="L625" s="2129"/>
      <c r="M625" s="386"/>
      <c r="N625" s="386"/>
      <c r="O625" s="386"/>
      <c r="P625" s="386"/>
      <c r="Q625" s="386"/>
    </row>
    <row r="626" spans="1:17" ht="30" customHeight="1" x14ac:dyDescent="0.2">
      <c r="A626" s="2067">
        <v>377</v>
      </c>
      <c r="B626" s="2070" t="s">
        <v>1752</v>
      </c>
      <c r="C626" s="2086" t="s">
        <v>1652</v>
      </c>
      <c r="D626" s="2076">
        <v>153000000</v>
      </c>
      <c r="E626" s="2103">
        <v>7.0000000000000007E-2</v>
      </c>
      <c r="F626" s="2076">
        <f>D626*E626</f>
        <v>10710000.000000002</v>
      </c>
      <c r="G626" s="2076">
        <v>10710000</v>
      </c>
      <c r="H626" s="2076" t="s">
        <v>4428</v>
      </c>
      <c r="I626" s="473" t="s">
        <v>1952</v>
      </c>
      <c r="J626" s="2076">
        <f t="shared" si="72"/>
        <v>10710000</v>
      </c>
      <c r="K626" s="2101">
        <f t="shared" si="73"/>
        <v>0</v>
      </c>
      <c r="L626" s="2129"/>
      <c r="M626" s="386"/>
      <c r="N626" s="386"/>
      <c r="O626" s="386"/>
      <c r="P626" s="386"/>
      <c r="Q626" s="386"/>
    </row>
    <row r="627" spans="1:17" ht="30" customHeight="1" x14ac:dyDescent="0.2">
      <c r="A627" s="2067">
        <v>378</v>
      </c>
      <c r="B627" s="2070" t="s">
        <v>1790</v>
      </c>
      <c r="C627" s="2086" t="s">
        <v>889</v>
      </c>
      <c r="D627" s="2076">
        <v>300000000</v>
      </c>
      <c r="E627" s="2103">
        <v>5.0999999999999997E-2</v>
      </c>
      <c r="F627" s="2076">
        <v>15500000</v>
      </c>
      <c r="G627" s="2076">
        <v>15500000</v>
      </c>
      <c r="H627" s="2076" t="s">
        <v>4333</v>
      </c>
      <c r="I627" s="473" t="s">
        <v>3062</v>
      </c>
      <c r="J627" s="2076">
        <f t="shared" si="72"/>
        <v>15500000</v>
      </c>
      <c r="K627" s="2101">
        <f t="shared" si="73"/>
        <v>0</v>
      </c>
      <c r="L627" s="2129"/>
      <c r="M627" s="386"/>
      <c r="N627" s="386"/>
      <c r="O627" s="386"/>
      <c r="P627" s="386"/>
      <c r="Q627" s="386"/>
    </row>
    <row r="628" spans="1:17" ht="30" customHeight="1" x14ac:dyDescent="0.2">
      <c r="A628" s="4459">
        <v>379</v>
      </c>
      <c r="B628" s="4457" t="s">
        <v>1753</v>
      </c>
      <c r="C628" s="4537" t="s">
        <v>372</v>
      </c>
      <c r="D628" s="4413">
        <v>50000000</v>
      </c>
      <c r="E628" s="4476">
        <v>0.04</v>
      </c>
      <c r="F628" s="4413">
        <f>D628*E628</f>
        <v>2000000</v>
      </c>
      <c r="G628" s="4413">
        <v>2000000</v>
      </c>
      <c r="H628" s="4413" t="s">
        <v>4428</v>
      </c>
      <c r="I628" s="4789" t="s">
        <v>4431</v>
      </c>
      <c r="J628" s="4413">
        <f>G628+G629</f>
        <v>2000000</v>
      </c>
      <c r="K628" s="4603">
        <f t="shared" si="73"/>
        <v>0</v>
      </c>
      <c r="L628" s="4603"/>
      <c r="M628" s="386"/>
      <c r="N628" s="386"/>
      <c r="O628" s="386"/>
      <c r="P628" s="386"/>
      <c r="Q628" s="386"/>
    </row>
    <row r="629" spans="1:17" ht="30" customHeight="1" x14ac:dyDescent="0.2">
      <c r="A629" s="4460"/>
      <c r="B629" s="4458"/>
      <c r="C629" s="4538"/>
      <c r="D629" s="4415"/>
      <c r="E629" s="4477"/>
      <c r="F629" s="4415"/>
      <c r="G629" s="4415"/>
      <c r="H629" s="4415"/>
      <c r="I629" s="4790"/>
      <c r="J629" s="4415"/>
      <c r="K629" s="4604"/>
      <c r="L629" s="4604"/>
      <c r="M629" s="386"/>
      <c r="N629" s="386"/>
      <c r="O629" s="386"/>
      <c r="P629" s="386"/>
      <c r="Q629" s="386"/>
    </row>
    <row r="630" spans="1:17" ht="30" customHeight="1" x14ac:dyDescent="0.2">
      <c r="A630" s="4459">
        <v>380</v>
      </c>
      <c r="B630" s="4457" t="s">
        <v>1795</v>
      </c>
      <c r="C630" s="4537" t="s">
        <v>1100</v>
      </c>
      <c r="D630" s="4413">
        <v>10000000</v>
      </c>
      <c r="E630" s="4476">
        <v>0.05</v>
      </c>
      <c r="F630" s="4413">
        <f>D630*E630</f>
        <v>500000</v>
      </c>
      <c r="G630" s="2411">
        <v>370000</v>
      </c>
      <c r="H630" s="4413" t="s">
        <v>4477</v>
      </c>
      <c r="I630" s="4789" t="s">
        <v>4507</v>
      </c>
      <c r="J630" s="2076">
        <f>G630</f>
        <v>370000</v>
      </c>
      <c r="K630" s="2101">
        <v>0</v>
      </c>
      <c r="L630" s="4675" t="s">
        <v>1326</v>
      </c>
      <c r="M630" s="386"/>
      <c r="N630" s="386"/>
      <c r="O630" s="386"/>
      <c r="P630" s="386"/>
      <c r="Q630" s="386"/>
    </row>
    <row r="631" spans="1:17" ht="30" customHeight="1" x14ac:dyDescent="0.2">
      <c r="A631" s="4460"/>
      <c r="B631" s="4458"/>
      <c r="C631" s="4538"/>
      <c r="D631" s="4415"/>
      <c r="E631" s="4477"/>
      <c r="F631" s="4415"/>
      <c r="G631" s="2411">
        <v>10000000</v>
      </c>
      <c r="H631" s="4415"/>
      <c r="I631" s="4790"/>
      <c r="J631" s="2076">
        <f>G631</f>
        <v>10000000</v>
      </c>
      <c r="K631" s="2101">
        <v>0</v>
      </c>
      <c r="L631" s="4676"/>
      <c r="M631" s="386"/>
      <c r="N631" s="386"/>
      <c r="O631" s="386"/>
      <c r="P631" s="386"/>
      <c r="Q631" s="386"/>
    </row>
    <row r="632" spans="1:17" ht="30" customHeight="1" x14ac:dyDescent="0.2">
      <c r="A632" s="2067">
        <v>381</v>
      </c>
      <c r="B632" s="2070" t="s">
        <v>1797</v>
      </c>
      <c r="C632" s="2086" t="s">
        <v>889</v>
      </c>
      <c r="D632" s="2076">
        <v>50000000</v>
      </c>
      <c r="E632" s="2103">
        <v>0.05</v>
      </c>
      <c r="F632" s="2076">
        <f>D632*E632</f>
        <v>2500000</v>
      </c>
      <c r="G632" s="2076">
        <v>2500000</v>
      </c>
      <c r="H632" s="2076" t="s">
        <v>4312</v>
      </c>
      <c r="I632" s="473" t="s">
        <v>3516</v>
      </c>
      <c r="J632" s="2076">
        <f>G632</f>
        <v>2500000</v>
      </c>
      <c r="K632" s="2101">
        <f>F632-J632</f>
        <v>0</v>
      </c>
      <c r="L632" s="2129"/>
      <c r="M632" s="386"/>
      <c r="N632" s="386"/>
      <c r="O632" s="386"/>
      <c r="P632" s="386"/>
      <c r="Q632" s="386"/>
    </row>
    <row r="633" spans="1:17" ht="30" customHeight="1" x14ac:dyDescent="0.2">
      <c r="A633" s="2067">
        <v>382</v>
      </c>
      <c r="B633" s="2070" t="s">
        <v>1812</v>
      </c>
      <c r="C633" s="2086" t="s">
        <v>262</v>
      </c>
      <c r="D633" s="2076">
        <v>150000000</v>
      </c>
      <c r="E633" s="2103"/>
      <c r="F633" s="2076"/>
      <c r="G633" s="2076"/>
      <c r="H633" s="2076"/>
      <c r="I633" s="473"/>
      <c r="J633" s="2076"/>
      <c r="K633" s="2101"/>
      <c r="L633" s="2129"/>
      <c r="M633" s="386"/>
      <c r="N633" s="386"/>
      <c r="O633" s="386"/>
      <c r="P633" s="386"/>
      <c r="Q633" s="386"/>
    </row>
    <row r="634" spans="1:17" ht="30" customHeight="1" x14ac:dyDescent="0.2">
      <c r="A634" s="2067">
        <v>383</v>
      </c>
      <c r="B634" s="2070" t="s">
        <v>1823</v>
      </c>
      <c r="C634" s="2086" t="s">
        <v>262</v>
      </c>
      <c r="D634" s="2076">
        <v>10000000</v>
      </c>
      <c r="E634" s="2103">
        <v>7.0000000000000007E-2</v>
      </c>
      <c r="F634" s="2076">
        <f t="shared" ref="F634:F647" si="74">D634*E634</f>
        <v>700000.00000000012</v>
      </c>
      <c r="G634" s="2076">
        <v>700000</v>
      </c>
      <c r="H634" s="2076" t="s">
        <v>4451</v>
      </c>
      <c r="I634" s="473" t="s">
        <v>2928</v>
      </c>
      <c r="J634" s="2076">
        <f>G634</f>
        <v>700000</v>
      </c>
      <c r="K634" s="2101">
        <f>F634-J634</f>
        <v>0</v>
      </c>
      <c r="L634" s="2129"/>
      <c r="M634" s="386"/>
      <c r="N634" s="386"/>
      <c r="O634" s="386"/>
      <c r="P634" s="386"/>
      <c r="Q634" s="386"/>
    </row>
    <row r="635" spans="1:17" ht="30" customHeight="1" x14ac:dyDescent="0.2">
      <c r="A635" s="625">
        <v>384</v>
      </c>
      <c r="B635" s="2070" t="s">
        <v>1861</v>
      </c>
      <c r="C635" s="2086" t="s">
        <v>262</v>
      </c>
      <c r="D635" s="2076">
        <v>150000000</v>
      </c>
      <c r="E635" s="2103">
        <v>7.0000000000000007E-2</v>
      </c>
      <c r="F635" s="2076">
        <f t="shared" si="74"/>
        <v>10500000.000000002</v>
      </c>
      <c r="G635" s="2076">
        <v>10500000</v>
      </c>
      <c r="H635" s="2076" t="s">
        <v>4477</v>
      </c>
      <c r="I635" s="473" t="s">
        <v>1960</v>
      </c>
      <c r="J635" s="2076">
        <f>G635</f>
        <v>10500000</v>
      </c>
      <c r="K635" s="2101">
        <f>F635-J635</f>
        <v>0</v>
      </c>
      <c r="L635" s="2129"/>
      <c r="M635" s="386"/>
      <c r="N635" s="386"/>
      <c r="O635" s="386"/>
      <c r="P635" s="386"/>
      <c r="Q635" s="386"/>
    </row>
    <row r="636" spans="1:17" ht="30" customHeight="1" x14ac:dyDescent="0.2">
      <c r="A636" s="2067">
        <v>385</v>
      </c>
      <c r="B636" s="2070" t="s">
        <v>1877</v>
      </c>
      <c r="C636" s="2086" t="s">
        <v>371</v>
      </c>
      <c r="D636" s="2076">
        <v>12000000</v>
      </c>
      <c r="E636" s="2103">
        <v>0.05</v>
      </c>
      <c r="F636" s="2076">
        <f t="shared" si="74"/>
        <v>600000</v>
      </c>
      <c r="G636" s="2076">
        <v>600000</v>
      </c>
      <c r="H636" s="2076" t="s">
        <v>4451</v>
      </c>
      <c r="I636" s="473" t="s">
        <v>2855</v>
      </c>
      <c r="J636" s="2076">
        <f>G636</f>
        <v>600000</v>
      </c>
      <c r="K636" s="2101">
        <f>F636-J636</f>
        <v>0</v>
      </c>
      <c r="L636" s="2129" t="s">
        <v>1878</v>
      </c>
      <c r="M636" s="386"/>
      <c r="N636" s="386"/>
      <c r="O636" s="386"/>
      <c r="P636" s="386"/>
      <c r="Q636" s="386"/>
    </row>
    <row r="637" spans="1:17" ht="30" customHeight="1" x14ac:dyDescent="0.2">
      <c r="A637" s="4459">
        <v>386</v>
      </c>
      <c r="B637" s="4457" t="s">
        <v>3092</v>
      </c>
      <c r="C637" s="4537" t="s">
        <v>1306</v>
      </c>
      <c r="D637" s="2075">
        <v>200000000</v>
      </c>
      <c r="E637" s="2077">
        <v>7.0000000000000007E-2</v>
      </c>
      <c r="F637" s="2075">
        <f t="shared" si="74"/>
        <v>14000000.000000002</v>
      </c>
      <c r="G637" s="2076">
        <v>14000000</v>
      </c>
      <c r="H637" s="4413" t="s">
        <v>4477</v>
      </c>
      <c r="I637" s="4789" t="s">
        <v>1943</v>
      </c>
      <c r="J637" s="2075">
        <f>G637</f>
        <v>14000000</v>
      </c>
      <c r="K637" s="2100">
        <f>F637-J637</f>
        <v>0</v>
      </c>
      <c r="L637" s="2100"/>
      <c r="M637" s="386"/>
      <c r="N637" s="386"/>
      <c r="O637" s="386"/>
      <c r="P637" s="386"/>
      <c r="Q637" s="386"/>
    </row>
    <row r="638" spans="1:17" ht="30" customHeight="1" x14ac:dyDescent="0.2">
      <c r="A638" s="4464"/>
      <c r="B638" s="4488"/>
      <c r="C638" s="4540"/>
      <c r="D638" s="4325" t="s">
        <v>4476</v>
      </c>
      <c r="E638" s="4326"/>
      <c r="F638" s="4563"/>
      <c r="G638" s="2388">
        <v>6000000</v>
      </c>
      <c r="H638" s="4415"/>
      <c r="I638" s="4790"/>
      <c r="J638" s="4413">
        <f>G638+G639+G640</f>
        <v>110000000</v>
      </c>
      <c r="K638" s="4603">
        <f>110000000-J638</f>
        <v>0</v>
      </c>
      <c r="L638" s="2395"/>
      <c r="M638" s="386"/>
      <c r="N638" s="386"/>
      <c r="O638" s="386"/>
      <c r="P638" s="386"/>
      <c r="Q638" s="386"/>
    </row>
    <row r="639" spans="1:17" ht="30" customHeight="1" x14ac:dyDescent="0.2">
      <c r="A639" s="4464"/>
      <c r="B639" s="4488"/>
      <c r="C639" s="4540"/>
      <c r="D639" s="4612"/>
      <c r="E639" s="4359"/>
      <c r="F639" s="4613"/>
      <c r="G639" s="2388">
        <v>100000000</v>
      </c>
      <c r="H639" s="2388" t="s">
        <v>3865</v>
      </c>
      <c r="I639" s="473" t="s">
        <v>1943</v>
      </c>
      <c r="J639" s="4414"/>
      <c r="K639" s="4609"/>
      <c r="L639" s="2395"/>
      <c r="M639" s="386"/>
      <c r="N639" s="386"/>
      <c r="O639" s="386"/>
      <c r="P639" s="386"/>
      <c r="Q639" s="386"/>
    </row>
    <row r="640" spans="1:17" ht="30" customHeight="1" x14ac:dyDescent="0.2">
      <c r="A640" s="4460"/>
      <c r="B640" s="4488"/>
      <c r="C640" s="4540"/>
      <c r="D640" s="4564"/>
      <c r="E640" s="4596"/>
      <c r="F640" s="4565"/>
      <c r="G640" s="2388">
        <v>4000000</v>
      </c>
      <c r="H640" s="2388" t="s">
        <v>3865</v>
      </c>
      <c r="I640" s="473" t="s">
        <v>4478</v>
      </c>
      <c r="J640" s="4415"/>
      <c r="K640" s="4604"/>
      <c r="L640" s="2395"/>
      <c r="M640" s="386"/>
      <c r="N640" s="386"/>
      <c r="O640" s="386"/>
      <c r="P640" s="386"/>
      <c r="Q640" s="386"/>
    </row>
    <row r="641" spans="1:17" ht="30" customHeight="1" x14ac:dyDescent="0.2">
      <c r="A641" s="2500"/>
      <c r="B641" s="4458"/>
      <c r="C641" s="4538"/>
      <c r="D641" s="4303" t="s">
        <v>4605</v>
      </c>
      <c r="E641" s="4324"/>
      <c r="F641" s="4355"/>
      <c r="G641" s="2498">
        <v>15000000</v>
      </c>
      <c r="H641" s="2498" t="s">
        <v>4598</v>
      </c>
      <c r="I641" s="473" t="s">
        <v>4604</v>
      </c>
      <c r="J641" s="2498">
        <f>G641</f>
        <v>15000000</v>
      </c>
      <c r="K641" s="2507"/>
      <c r="L641" s="2506"/>
      <c r="M641" s="386"/>
      <c r="N641" s="386"/>
      <c r="O641" s="386"/>
      <c r="P641" s="386"/>
      <c r="Q641" s="386"/>
    </row>
    <row r="642" spans="1:17" ht="30" customHeight="1" x14ac:dyDescent="0.2">
      <c r="A642" s="2382"/>
      <c r="B642" s="2384" t="s">
        <v>3092</v>
      </c>
      <c r="C642" s="2602" t="s">
        <v>3302</v>
      </c>
      <c r="D642" s="2387">
        <v>100000000</v>
      </c>
      <c r="E642" s="2389">
        <v>7.0000000000000007E-2</v>
      </c>
      <c r="F642" s="2387">
        <f>D642*E642</f>
        <v>7000000.0000000009</v>
      </c>
      <c r="G642" s="2388"/>
      <c r="H642" s="2388"/>
      <c r="I642" s="473"/>
      <c r="J642" s="2388"/>
      <c r="K642" s="2396"/>
      <c r="L642" s="2401" t="s">
        <v>4479</v>
      </c>
      <c r="M642" s="386"/>
      <c r="N642" s="386"/>
      <c r="O642" s="386"/>
      <c r="P642" s="386"/>
      <c r="Q642" s="386"/>
    </row>
    <row r="643" spans="1:17" ht="30" customHeight="1" x14ac:dyDescent="0.2">
      <c r="A643" s="4459">
        <v>387</v>
      </c>
      <c r="B643" s="4457" t="s">
        <v>1923</v>
      </c>
      <c r="C643" s="4537"/>
      <c r="D643" s="2064">
        <v>60000000</v>
      </c>
      <c r="E643" s="2103">
        <v>0.04</v>
      </c>
      <c r="F643" s="2064">
        <f t="shared" si="74"/>
        <v>2400000</v>
      </c>
      <c r="G643" s="4691" t="s">
        <v>4642</v>
      </c>
      <c r="H643" s="4692"/>
      <c r="I643" s="4692"/>
      <c r="J643" s="4970"/>
      <c r="K643" s="2062">
        <f>F643-J643</f>
        <v>2400000</v>
      </c>
      <c r="L643" s="2100"/>
      <c r="M643" s="386"/>
      <c r="N643" s="386"/>
      <c r="O643" s="386"/>
      <c r="P643" s="386"/>
      <c r="Q643" s="386"/>
    </row>
    <row r="644" spans="1:17" ht="30" customHeight="1" x14ac:dyDescent="0.2">
      <c r="A644" s="4464"/>
      <c r="B644" s="4488"/>
      <c r="C644" s="4540"/>
      <c r="D644" s="2597"/>
      <c r="E644" s="2608"/>
      <c r="F644" s="2597"/>
      <c r="G644" s="4691" t="s">
        <v>4674</v>
      </c>
      <c r="H644" s="4692"/>
      <c r="I644" s="4692"/>
      <c r="J644" s="4970"/>
      <c r="K644" s="2606"/>
      <c r="L644" s="2606"/>
      <c r="M644" s="386"/>
      <c r="N644" s="386"/>
      <c r="O644" s="386"/>
      <c r="P644" s="386"/>
      <c r="Q644" s="386"/>
    </row>
    <row r="645" spans="1:17" ht="30" customHeight="1" x14ac:dyDescent="0.2">
      <c r="A645" s="4460"/>
      <c r="B645" s="4458"/>
      <c r="C645" s="4538"/>
      <c r="D645" s="2597"/>
      <c r="E645" s="2608"/>
      <c r="F645" s="2597"/>
      <c r="G645" s="4691" t="s">
        <v>4675</v>
      </c>
      <c r="H645" s="4692"/>
      <c r="I645" s="4692"/>
      <c r="J645" s="4970"/>
      <c r="K645" s="2606"/>
      <c r="L645" s="2606"/>
      <c r="M645" s="386"/>
      <c r="N645" s="386"/>
      <c r="O645" s="386"/>
      <c r="P645" s="386"/>
      <c r="Q645" s="386"/>
    </row>
    <row r="646" spans="1:17" ht="30" customHeight="1" x14ac:dyDescent="0.2">
      <c r="A646" s="2598"/>
      <c r="B646" s="13" t="s">
        <v>1923</v>
      </c>
      <c r="C646" s="2621"/>
      <c r="D646" s="2596">
        <v>75000000</v>
      </c>
      <c r="E646" s="436">
        <v>0.04</v>
      </c>
      <c r="F646" s="2596">
        <f>D646*E646</f>
        <v>3000000</v>
      </c>
      <c r="G646" s="2622"/>
      <c r="H646" s="2623"/>
      <c r="I646" s="2623"/>
      <c r="J646" s="2624"/>
      <c r="K646" s="2625"/>
      <c r="L646" s="2625"/>
      <c r="M646" s="386"/>
      <c r="N646" s="386"/>
      <c r="O646" s="386"/>
      <c r="P646" s="386"/>
      <c r="Q646" s="386"/>
    </row>
    <row r="647" spans="1:17" ht="30" customHeight="1" x14ac:dyDescent="0.2">
      <c r="A647" s="4614"/>
      <c r="B647" s="4615" t="s">
        <v>1953</v>
      </c>
      <c r="C647" s="4620" t="s">
        <v>3302</v>
      </c>
      <c r="D647" s="4322">
        <v>150000000</v>
      </c>
      <c r="E647" s="4608">
        <v>0.05</v>
      </c>
      <c r="F647" s="4322">
        <f t="shared" si="74"/>
        <v>7500000</v>
      </c>
      <c r="G647" s="4553">
        <v>7500000</v>
      </c>
      <c r="H647" s="4553" t="s">
        <v>2125</v>
      </c>
      <c r="I647" s="4553" t="s">
        <v>4583</v>
      </c>
      <c r="J647" s="4553">
        <f>G647</f>
        <v>7500000</v>
      </c>
      <c r="K647" s="4603">
        <f>G647-J647</f>
        <v>0</v>
      </c>
      <c r="L647" s="2136" t="s">
        <v>3300</v>
      </c>
      <c r="M647" s="386"/>
      <c r="N647" s="386"/>
      <c r="O647" s="386"/>
      <c r="P647" s="386"/>
      <c r="Q647" s="386"/>
    </row>
    <row r="648" spans="1:17" ht="30" customHeight="1" x14ac:dyDescent="0.2">
      <c r="A648" s="4614"/>
      <c r="B648" s="4615"/>
      <c r="C648" s="4620"/>
      <c r="D648" s="4322"/>
      <c r="E648" s="4608"/>
      <c r="F648" s="4322"/>
      <c r="G648" s="4554"/>
      <c r="H648" s="4554"/>
      <c r="I648" s="4554"/>
      <c r="J648" s="4554"/>
      <c r="K648" s="4604"/>
      <c r="L648" s="2129" t="s">
        <v>3301</v>
      </c>
      <c r="M648" s="386"/>
      <c r="N648" s="386"/>
      <c r="O648" s="386"/>
      <c r="P648" s="386"/>
      <c r="Q648" s="386"/>
    </row>
    <row r="649" spans="1:17" ht="30" customHeight="1" x14ac:dyDescent="0.2">
      <c r="A649" s="2067">
        <v>390</v>
      </c>
      <c r="B649" s="2070" t="s">
        <v>1996</v>
      </c>
      <c r="C649" s="2086" t="s">
        <v>889</v>
      </c>
      <c r="D649" s="2076">
        <v>5000000</v>
      </c>
      <c r="E649" s="2079">
        <v>0.05</v>
      </c>
      <c r="F649" s="2076">
        <f>D649*E649</f>
        <v>250000</v>
      </c>
      <c r="G649" s="2076">
        <v>250000</v>
      </c>
      <c r="H649" s="2076" t="s">
        <v>4312</v>
      </c>
      <c r="I649" s="473" t="s">
        <v>2533</v>
      </c>
      <c r="J649" s="2076">
        <f>G649</f>
        <v>250000</v>
      </c>
      <c r="K649" s="2101">
        <f>F649-J649</f>
        <v>0</v>
      </c>
      <c r="L649" s="2129"/>
      <c r="M649" s="386"/>
      <c r="N649" s="386"/>
      <c r="O649" s="386"/>
      <c r="P649" s="386"/>
      <c r="Q649" s="386"/>
    </row>
    <row r="650" spans="1:17" ht="30" customHeight="1" x14ac:dyDescent="0.2">
      <c r="A650" s="4614">
        <v>391</v>
      </c>
      <c r="B650" s="4615" t="s">
        <v>2003</v>
      </c>
      <c r="C650" s="4620" t="s">
        <v>3390</v>
      </c>
      <c r="D650" s="4322">
        <v>1000000000</v>
      </c>
      <c r="E650" s="4608">
        <v>0.05</v>
      </c>
      <c r="F650" s="4322">
        <f>D650*E650</f>
        <v>50000000</v>
      </c>
      <c r="G650" s="4413">
        <v>50000000</v>
      </c>
      <c r="H650" s="4413" t="s">
        <v>2125</v>
      </c>
      <c r="I650" s="4413" t="s">
        <v>2279</v>
      </c>
      <c r="J650" s="4413">
        <f>G650</f>
        <v>50000000</v>
      </c>
      <c r="K650" s="4413">
        <f>F650-J650</f>
        <v>0</v>
      </c>
      <c r="L650" s="4675"/>
      <c r="M650" s="386"/>
      <c r="N650" s="386"/>
      <c r="O650" s="386"/>
      <c r="P650" s="386"/>
      <c r="Q650" s="386"/>
    </row>
    <row r="651" spans="1:17" ht="30" customHeight="1" x14ac:dyDescent="0.2">
      <c r="A651" s="4614"/>
      <c r="B651" s="4615"/>
      <c r="C651" s="4620"/>
      <c r="D651" s="4322"/>
      <c r="E651" s="4608"/>
      <c r="F651" s="4322"/>
      <c r="G651" s="4415"/>
      <c r="H651" s="4415"/>
      <c r="I651" s="4415"/>
      <c r="J651" s="4415"/>
      <c r="K651" s="4415"/>
      <c r="L651" s="4676"/>
      <c r="M651" s="386"/>
      <c r="N651" s="386"/>
      <c r="O651" s="386"/>
      <c r="P651" s="386"/>
      <c r="Q651" s="386"/>
    </row>
    <row r="652" spans="1:17" ht="30" customHeight="1" x14ac:dyDescent="0.2">
      <c r="A652" s="2067">
        <v>392</v>
      </c>
      <c r="B652" s="2070" t="s">
        <v>2048</v>
      </c>
      <c r="C652" s="2086" t="s">
        <v>1294</v>
      </c>
      <c r="D652" s="2076">
        <v>50000000</v>
      </c>
      <c r="E652" s="2103">
        <v>0.05</v>
      </c>
      <c r="F652" s="2076">
        <f>D652*E652</f>
        <v>2500000</v>
      </c>
      <c r="G652" s="2076">
        <v>2500000</v>
      </c>
      <c r="H652" s="2076" t="s">
        <v>4621</v>
      </c>
      <c r="I652" s="473" t="s">
        <v>3047</v>
      </c>
      <c r="J652" s="2076">
        <f>G652</f>
        <v>2500000</v>
      </c>
      <c r="K652" s="2101">
        <f>F652-J652</f>
        <v>0</v>
      </c>
      <c r="L652" s="2129"/>
      <c r="M652" s="386"/>
      <c r="N652" s="386"/>
      <c r="O652" s="386"/>
      <c r="P652" s="386"/>
      <c r="Q652" s="386"/>
    </row>
    <row r="653" spans="1:17" ht="30" customHeight="1" x14ac:dyDescent="0.2">
      <c r="A653" s="2436"/>
      <c r="B653" s="19" t="s">
        <v>2040</v>
      </c>
      <c r="C653" s="2435"/>
      <c r="D653" s="2428">
        <v>70000000</v>
      </c>
      <c r="E653" s="2434">
        <v>0.05</v>
      </c>
      <c r="F653" s="2429">
        <f>D653*E653</f>
        <v>3500000</v>
      </c>
      <c r="G653" s="2429">
        <v>3500000</v>
      </c>
      <c r="H653" s="2429" t="s">
        <v>1017</v>
      </c>
      <c r="I653" s="2429" t="s">
        <v>3537</v>
      </c>
      <c r="J653" s="2429">
        <f>G653</f>
        <v>3500000</v>
      </c>
      <c r="K653" s="2427">
        <f>F653-J653</f>
        <v>0</v>
      </c>
      <c r="L653" s="2129"/>
      <c r="M653" s="386"/>
      <c r="N653" s="386"/>
      <c r="O653" s="386"/>
      <c r="P653" s="386"/>
      <c r="Q653" s="386"/>
    </row>
    <row r="654" spans="1:17" ht="30" customHeight="1" x14ac:dyDescent="0.2">
      <c r="A654" s="4464"/>
      <c r="B654" s="2133" t="s">
        <v>2052</v>
      </c>
      <c r="C654" s="4859" t="s">
        <v>1306</v>
      </c>
      <c r="D654" s="2138">
        <v>600000000</v>
      </c>
      <c r="E654" s="2438">
        <v>0.06</v>
      </c>
      <c r="F654" s="2138">
        <f>D654*E654</f>
        <v>36000000</v>
      </c>
      <c r="G654" s="4414"/>
      <c r="H654" s="4414"/>
      <c r="I654" s="4871"/>
      <c r="J654" s="4414"/>
      <c r="K654" s="2101"/>
      <c r="L654" s="2129"/>
      <c r="M654" s="386"/>
      <c r="N654" s="386"/>
      <c r="O654" s="386"/>
      <c r="P654" s="386"/>
      <c r="Q654" s="386"/>
    </row>
    <row r="655" spans="1:17" ht="30" customHeight="1" x14ac:dyDescent="0.2">
      <c r="A655" s="4464"/>
      <c r="B655" s="2133" t="s">
        <v>2049</v>
      </c>
      <c r="C655" s="4859"/>
      <c r="D655" s="2138">
        <v>310000000</v>
      </c>
      <c r="E655" s="680">
        <v>0.06</v>
      </c>
      <c r="F655" s="2138">
        <f t="shared" ref="F655:F659" si="75">D655*E655</f>
        <v>18600000</v>
      </c>
      <c r="G655" s="4414"/>
      <c r="H655" s="4414"/>
      <c r="I655" s="4871"/>
      <c r="J655" s="4414"/>
      <c r="K655" s="2101"/>
      <c r="L655" s="2129"/>
      <c r="M655" s="386"/>
      <c r="N655" s="386"/>
      <c r="O655" s="386"/>
      <c r="P655" s="386"/>
      <c r="Q655" s="386"/>
    </row>
    <row r="656" spans="1:17" ht="30" customHeight="1" x14ac:dyDescent="0.2">
      <c r="A656" s="4464"/>
      <c r="B656" s="2133" t="s">
        <v>2053</v>
      </c>
      <c r="C656" s="4859"/>
      <c r="D656" s="2138">
        <v>50000000</v>
      </c>
      <c r="E656" s="680">
        <v>0.06</v>
      </c>
      <c r="F656" s="2138">
        <f t="shared" si="75"/>
        <v>3000000</v>
      </c>
      <c r="G656" s="4414"/>
      <c r="H656" s="4414"/>
      <c r="I656" s="4871"/>
      <c r="J656" s="4414"/>
      <c r="K656" s="2101"/>
      <c r="L656" s="2129"/>
      <c r="M656" s="386"/>
      <c r="N656" s="386"/>
      <c r="O656" s="386"/>
      <c r="P656" s="386"/>
      <c r="Q656" s="386"/>
    </row>
    <row r="657" spans="1:17" ht="30" customHeight="1" x14ac:dyDescent="0.2">
      <c r="A657" s="4464"/>
      <c r="B657" s="2133" t="s">
        <v>2050</v>
      </c>
      <c r="C657" s="4859"/>
      <c r="D657" s="2138">
        <v>110000000</v>
      </c>
      <c r="E657" s="680">
        <v>0.06</v>
      </c>
      <c r="F657" s="2138">
        <f t="shared" si="75"/>
        <v>6600000</v>
      </c>
      <c r="G657" s="4414"/>
      <c r="H657" s="4414"/>
      <c r="I657" s="4871"/>
      <c r="J657" s="4414"/>
      <c r="K657" s="2101"/>
      <c r="L657" s="2129"/>
      <c r="M657" s="386"/>
      <c r="N657" s="386"/>
      <c r="O657" s="386"/>
      <c r="P657" s="386"/>
      <c r="Q657" s="386"/>
    </row>
    <row r="658" spans="1:17" ht="30" customHeight="1" x14ac:dyDescent="0.2">
      <c r="A658" s="4464"/>
      <c r="B658" s="2133" t="s">
        <v>2051</v>
      </c>
      <c r="C658" s="4860"/>
      <c r="D658" s="2138">
        <v>100000000</v>
      </c>
      <c r="E658" s="680">
        <v>0.06</v>
      </c>
      <c r="F658" s="2138">
        <f t="shared" si="75"/>
        <v>6000000</v>
      </c>
      <c r="G658" s="4415"/>
      <c r="H658" s="4415"/>
      <c r="I658" s="4790"/>
      <c r="J658" s="4415"/>
      <c r="K658" s="2101"/>
      <c r="L658" s="2129"/>
      <c r="M658" s="386"/>
      <c r="N658" s="386"/>
      <c r="O658" s="386"/>
      <c r="P658" s="386"/>
      <c r="Q658" s="386"/>
    </row>
    <row r="659" spans="1:17" ht="30" customHeight="1" x14ac:dyDescent="0.2">
      <c r="A659" s="4464"/>
      <c r="B659" s="1792" t="s">
        <v>4590</v>
      </c>
      <c r="C659" s="2519"/>
      <c r="D659" s="2520">
        <v>50000000</v>
      </c>
      <c r="E659" s="2517">
        <v>0.06</v>
      </c>
      <c r="F659" s="2520">
        <f t="shared" si="75"/>
        <v>3000000</v>
      </c>
      <c r="G659" s="4469" t="s">
        <v>4592</v>
      </c>
      <c r="H659" s="4470"/>
      <c r="I659" s="4470"/>
      <c r="J659" s="4471"/>
      <c r="K659" s="2509"/>
      <c r="L659" s="2512"/>
      <c r="M659" s="386"/>
      <c r="N659" s="386"/>
      <c r="O659" s="386"/>
      <c r="P659" s="386"/>
      <c r="Q659" s="386"/>
    </row>
    <row r="660" spans="1:17" ht="30" customHeight="1" x14ac:dyDescent="0.2">
      <c r="A660" s="4464"/>
      <c r="B660" s="4813" t="s">
        <v>3423</v>
      </c>
      <c r="C660" s="4858" t="s">
        <v>1306</v>
      </c>
      <c r="D660" s="4861">
        <f>SUM(D654:D659)</f>
        <v>1220000000</v>
      </c>
      <c r="E660" s="4802"/>
      <c r="F660" s="4861">
        <f>SUM(F654:F659)</f>
        <v>73200000</v>
      </c>
      <c r="G660" s="4941" t="s">
        <v>4591</v>
      </c>
      <c r="H660" s="4942"/>
      <c r="I660" s="4942"/>
      <c r="J660" s="4943"/>
      <c r="K660" s="4603">
        <f>F660-J660</f>
        <v>73200000</v>
      </c>
      <c r="L660" s="4603"/>
      <c r="M660" s="386"/>
      <c r="N660" s="386"/>
      <c r="O660" s="386"/>
      <c r="P660" s="386"/>
      <c r="Q660" s="386"/>
    </row>
    <row r="661" spans="1:17" ht="30" customHeight="1" x14ac:dyDescent="0.2">
      <c r="A661" s="4460"/>
      <c r="B661" s="4814"/>
      <c r="C661" s="4860"/>
      <c r="D661" s="4863"/>
      <c r="E661" s="4803"/>
      <c r="F661" s="4863"/>
      <c r="G661" s="4944"/>
      <c r="H661" s="4945"/>
      <c r="I661" s="4945"/>
      <c r="J661" s="4946"/>
      <c r="K661" s="4604"/>
      <c r="L661" s="4604"/>
      <c r="M661" s="386"/>
      <c r="N661" s="386"/>
      <c r="O661" s="386"/>
      <c r="P661" s="386"/>
      <c r="Q661" s="386"/>
    </row>
    <row r="662" spans="1:17" ht="30" customHeight="1" x14ac:dyDescent="0.2">
      <c r="A662" s="2105"/>
      <c r="B662" s="2106" t="s">
        <v>2069</v>
      </c>
      <c r="C662" s="2107"/>
      <c r="D662" s="2064">
        <v>200000000</v>
      </c>
      <c r="E662" s="2103">
        <v>7.0000000000000007E-2</v>
      </c>
      <c r="F662" s="2064">
        <f t="shared" ref="F662:F666" si="76">D662*E662</f>
        <v>14000000.000000002</v>
      </c>
      <c r="G662" s="2076">
        <v>14000000</v>
      </c>
      <c r="H662" s="2076" t="s">
        <v>4780</v>
      </c>
      <c r="I662" s="473" t="s">
        <v>1076</v>
      </c>
      <c r="J662" s="2064">
        <f>G662</f>
        <v>14000000</v>
      </c>
      <c r="K662" s="2062">
        <f>F662-J662</f>
        <v>0</v>
      </c>
      <c r="L662" s="2100"/>
      <c r="M662" s="386"/>
      <c r="N662" s="386"/>
      <c r="O662" s="386"/>
      <c r="P662" s="386"/>
      <c r="Q662" s="386"/>
    </row>
    <row r="663" spans="1:17" ht="30" customHeight="1" x14ac:dyDescent="0.2">
      <c r="A663" s="2067"/>
      <c r="B663" s="2070" t="s">
        <v>2089</v>
      </c>
      <c r="C663" s="2086"/>
      <c r="D663" s="2076">
        <v>13000000</v>
      </c>
      <c r="E663" s="2103">
        <v>0.05</v>
      </c>
      <c r="F663" s="2076">
        <f t="shared" si="76"/>
        <v>650000</v>
      </c>
      <c r="G663" s="2076">
        <v>650000</v>
      </c>
      <c r="H663" s="2076" t="s">
        <v>2473</v>
      </c>
      <c r="I663" s="473" t="s">
        <v>2984</v>
      </c>
      <c r="J663" s="2076">
        <f>G663</f>
        <v>650000</v>
      </c>
      <c r="K663" s="2101">
        <f>F663-J663</f>
        <v>0</v>
      </c>
      <c r="L663" s="2129"/>
      <c r="M663" s="386"/>
      <c r="N663" s="386"/>
      <c r="O663" s="386"/>
      <c r="P663" s="386"/>
      <c r="Q663" s="386"/>
    </row>
    <row r="664" spans="1:17" ht="30" customHeight="1" x14ac:dyDescent="0.2">
      <c r="A664" s="2067"/>
      <c r="B664" s="2070" t="s">
        <v>2128</v>
      </c>
      <c r="C664" s="2086" t="s">
        <v>1287</v>
      </c>
      <c r="D664" s="2076">
        <v>50000000</v>
      </c>
      <c r="E664" s="2103">
        <v>0.04</v>
      </c>
      <c r="F664" s="2076">
        <f t="shared" si="76"/>
        <v>2000000</v>
      </c>
      <c r="G664" s="2076">
        <v>2000000</v>
      </c>
      <c r="H664" s="2076" t="s">
        <v>3865</v>
      </c>
      <c r="I664" s="473" t="s">
        <v>2169</v>
      </c>
      <c r="J664" s="2076">
        <f>G664</f>
        <v>2000000</v>
      </c>
      <c r="K664" s="2101">
        <f>F664-G664</f>
        <v>0</v>
      </c>
      <c r="L664" s="2129"/>
      <c r="M664" s="386"/>
      <c r="N664" s="386"/>
      <c r="O664" s="386"/>
      <c r="P664" s="386"/>
      <c r="Q664" s="386"/>
    </row>
    <row r="665" spans="1:17" ht="30" customHeight="1" x14ac:dyDescent="0.2">
      <c r="A665" s="2065"/>
      <c r="B665" s="2108" t="s">
        <v>2129</v>
      </c>
      <c r="C665" s="2086" t="s">
        <v>372</v>
      </c>
      <c r="D665" s="2075">
        <v>100000000</v>
      </c>
      <c r="E665" s="2077">
        <v>0.05</v>
      </c>
      <c r="F665" s="2075">
        <f t="shared" si="76"/>
        <v>5000000</v>
      </c>
      <c r="G665" s="2080">
        <v>5000000</v>
      </c>
      <c r="H665" s="2080" t="s">
        <v>4451</v>
      </c>
      <c r="I665" s="1664" t="s">
        <v>3581</v>
      </c>
      <c r="J665" s="2075">
        <f>G665</f>
        <v>5000000</v>
      </c>
      <c r="K665" s="2100">
        <f>F665-J665</f>
        <v>0</v>
      </c>
      <c r="L665" s="2100"/>
      <c r="M665" s="386"/>
      <c r="N665" s="386"/>
      <c r="O665" s="386"/>
      <c r="P665" s="386"/>
      <c r="Q665" s="386"/>
    </row>
    <row r="666" spans="1:17" s="1540" customFormat="1" ht="30" customHeight="1" x14ac:dyDescent="0.2">
      <c r="A666" s="2105"/>
      <c r="B666" s="2106" t="s">
        <v>2208</v>
      </c>
      <c r="C666" s="2107" t="s">
        <v>1306</v>
      </c>
      <c r="D666" s="2064">
        <v>30000000</v>
      </c>
      <c r="E666" s="2103">
        <v>0.05</v>
      </c>
      <c r="F666" s="2064">
        <f t="shared" si="76"/>
        <v>1500000</v>
      </c>
      <c r="G666" s="2064">
        <v>1500000</v>
      </c>
      <c r="H666" s="2064" t="s">
        <v>4598</v>
      </c>
      <c r="I666" s="2064" t="s">
        <v>3204</v>
      </c>
      <c r="J666" s="2064">
        <f>G666</f>
        <v>1500000</v>
      </c>
      <c r="K666" s="2064">
        <f>F666-J666</f>
        <v>0</v>
      </c>
      <c r="L666" s="2129"/>
      <c r="M666" s="387"/>
      <c r="N666" s="387"/>
      <c r="O666" s="387"/>
      <c r="P666" s="387"/>
      <c r="Q666" s="387"/>
    </row>
    <row r="667" spans="1:17" ht="30" customHeight="1" x14ac:dyDescent="0.2">
      <c r="A667" s="2067"/>
      <c r="B667" s="2070" t="s">
        <v>2292</v>
      </c>
      <c r="C667" s="2086"/>
      <c r="D667" s="2081"/>
      <c r="E667" s="40"/>
      <c r="F667" s="2081"/>
      <c r="G667" s="2076"/>
      <c r="H667" s="2076"/>
      <c r="I667" s="473"/>
      <c r="J667" s="2076">
        <f t="shared" ref="J667:J676" si="77">G667</f>
        <v>0</v>
      </c>
      <c r="K667" s="2102"/>
      <c r="L667" s="2129" t="s">
        <v>2079</v>
      </c>
      <c r="M667" s="386"/>
      <c r="N667" s="386"/>
      <c r="O667" s="386"/>
      <c r="P667" s="386"/>
      <c r="Q667" s="386"/>
    </row>
    <row r="668" spans="1:17" ht="30" customHeight="1" x14ac:dyDescent="0.2">
      <c r="A668" s="2067"/>
      <c r="B668" s="2573" t="s">
        <v>2303</v>
      </c>
      <c r="C668" s="2574"/>
      <c r="D668" s="2571">
        <v>100000000</v>
      </c>
      <c r="E668" s="2576">
        <v>4.4999999999999998E-2</v>
      </c>
      <c r="F668" s="2571">
        <f>D668*E668</f>
        <v>4500000</v>
      </c>
      <c r="G668" s="2571">
        <v>9000000</v>
      </c>
      <c r="H668" s="2571"/>
      <c r="I668" s="473" t="s">
        <v>2304</v>
      </c>
      <c r="J668" s="2571">
        <f t="shared" si="77"/>
        <v>9000000</v>
      </c>
      <c r="K668" s="2575">
        <f>F668-J668</f>
        <v>-4500000</v>
      </c>
      <c r="L668" s="2577" t="s">
        <v>4624</v>
      </c>
      <c r="M668" s="386"/>
      <c r="N668" s="386"/>
      <c r="O668" s="386"/>
      <c r="P668" s="386"/>
      <c r="Q668" s="386"/>
    </row>
    <row r="669" spans="1:17" ht="30" customHeight="1" x14ac:dyDescent="0.2">
      <c r="A669" s="2067"/>
      <c r="B669" s="2070" t="s">
        <v>2344</v>
      </c>
      <c r="C669" s="2086" t="s">
        <v>1306</v>
      </c>
      <c r="D669" s="2076">
        <v>25000000</v>
      </c>
      <c r="E669" s="2103">
        <v>0.04</v>
      </c>
      <c r="F669" s="2076">
        <f>D669*E669</f>
        <v>1000000</v>
      </c>
      <c r="G669" s="2076">
        <v>1000000</v>
      </c>
      <c r="H669" s="2076" t="s">
        <v>4464</v>
      </c>
      <c r="I669" s="473" t="s">
        <v>2346</v>
      </c>
      <c r="J669" s="2076">
        <f t="shared" si="77"/>
        <v>1000000</v>
      </c>
      <c r="K669" s="2101">
        <f>F669-J669</f>
        <v>0</v>
      </c>
      <c r="L669" s="2129"/>
      <c r="M669" s="386"/>
      <c r="N669" s="386"/>
      <c r="O669" s="386"/>
      <c r="P669" s="386"/>
      <c r="Q669" s="386"/>
    </row>
    <row r="670" spans="1:17" ht="30" customHeight="1" x14ac:dyDescent="0.2">
      <c r="A670" s="2067"/>
      <c r="B670" s="2070" t="s">
        <v>2385</v>
      </c>
      <c r="C670" s="2086"/>
      <c r="D670" s="2081"/>
      <c r="E670" s="40"/>
      <c r="F670" s="2081"/>
      <c r="G670" s="2076"/>
      <c r="H670" s="2076"/>
      <c r="I670" s="473"/>
      <c r="J670" s="2076">
        <f t="shared" si="77"/>
        <v>0</v>
      </c>
      <c r="K670" s="2102">
        <f>F670-J670</f>
        <v>0</v>
      </c>
      <c r="L670" s="2129"/>
      <c r="M670" s="386"/>
      <c r="N670" s="386"/>
      <c r="O670" s="386"/>
      <c r="P670" s="386"/>
      <c r="Q670" s="386"/>
    </row>
    <row r="671" spans="1:17" ht="30" customHeight="1" x14ac:dyDescent="0.2">
      <c r="A671" s="4459"/>
      <c r="B671" s="4457" t="s">
        <v>2388</v>
      </c>
      <c r="C671" s="4537" t="s">
        <v>1172</v>
      </c>
      <c r="D671" s="2731">
        <v>25000000</v>
      </c>
      <c r="E671" s="2742">
        <v>0.05</v>
      </c>
      <c r="F671" s="2731">
        <f>D671*E671</f>
        <v>1250000</v>
      </c>
      <c r="G671" s="4413">
        <v>2000000</v>
      </c>
      <c r="H671" s="4413" t="s">
        <v>4598</v>
      </c>
      <c r="I671" s="4789" t="s">
        <v>4606</v>
      </c>
      <c r="J671" s="4413">
        <f>G671</f>
        <v>2000000</v>
      </c>
      <c r="K671" s="4603"/>
      <c r="L671" s="2129" t="s">
        <v>4750</v>
      </c>
      <c r="M671" s="386"/>
      <c r="N671" s="386"/>
      <c r="O671" s="386"/>
      <c r="P671" s="386"/>
      <c r="Q671" s="386"/>
    </row>
    <row r="672" spans="1:17" ht="30" customHeight="1" x14ac:dyDescent="0.2">
      <c r="A672" s="4464"/>
      <c r="B672" s="4488"/>
      <c r="C672" s="4540"/>
      <c r="D672" s="2733">
        <v>40000000</v>
      </c>
      <c r="E672" s="2742">
        <v>0.05</v>
      </c>
      <c r="F672" s="2733">
        <f>D672*E672</f>
        <v>2000000</v>
      </c>
      <c r="G672" s="4415"/>
      <c r="H672" s="4415"/>
      <c r="I672" s="4790"/>
      <c r="J672" s="4415"/>
      <c r="K672" s="4604"/>
      <c r="L672" s="2743" t="s">
        <v>4751</v>
      </c>
      <c r="M672" s="386"/>
      <c r="N672" s="386"/>
      <c r="O672" s="386"/>
      <c r="P672" s="386"/>
      <c r="Q672" s="386"/>
    </row>
    <row r="673" spans="1:17" ht="30" customHeight="1" x14ac:dyDescent="0.2">
      <c r="A673" s="4464"/>
      <c r="B673" s="4488"/>
      <c r="C673" s="4540"/>
      <c r="D673" s="2733">
        <v>43000000</v>
      </c>
      <c r="E673" s="2742">
        <v>0.05</v>
      </c>
      <c r="F673" s="2733">
        <f>D673*E673</f>
        <v>2150000</v>
      </c>
      <c r="G673" s="4469" t="s">
        <v>4752</v>
      </c>
      <c r="H673" s="4470"/>
      <c r="I673" s="4470"/>
      <c r="J673" s="4471"/>
      <c r="K673" s="2740"/>
      <c r="L673" s="2743"/>
      <c r="M673" s="386"/>
      <c r="N673" s="386"/>
      <c r="O673" s="386"/>
      <c r="P673" s="386"/>
      <c r="Q673" s="386"/>
    </row>
    <row r="674" spans="1:17" ht="30" customHeight="1" x14ac:dyDescent="0.2">
      <c r="A674" s="4464"/>
      <c r="B674" s="4488"/>
      <c r="C674" s="4540"/>
      <c r="D674" s="2738">
        <v>110000000</v>
      </c>
      <c r="E674" s="436">
        <v>0.05</v>
      </c>
      <c r="F674" s="2738">
        <f>D674*E674</f>
        <v>5500000</v>
      </c>
      <c r="G674" s="4469" t="s">
        <v>4753</v>
      </c>
      <c r="H674" s="4470"/>
      <c r="I674" s="4470"/>
      <c r="J674" s="4471"/>
      <c r="K674" s="2740"/>
      <c r="L674" s="2743"/>
      <c r="M674" s="386"/>
      <c r="N674" s="386"/>
      <c r="O674" s="386"/>
      <c r="P674" s="386"/>
      <c r="Q674" s="386"/>
    </row>
    <row r="675" spans="1:17" ht="30" customHeight="1" x14ac:dyDescent="0.2">
      <c r="A675" s="4460"/>
      <c r="B675" s="4458"/>
      <c r="C675" s="4538"/>
      <c r="D675" s="2733"/>
      <c r="E675" s="2742"/>
      <c r="F675" s="2733"/>
      <c r="G675" s="2732"/>
      <c r="H675" s="2732"/>
      <c r="I675" s="2744"/>
      <c r="J675" s="2732"/>
      <c r="K675" s="2740"/>
      <c r="L675" s="2743"/>
      <c r="M675" s="386"/>
      <c r="N675" s="386"/>
      <c r="O675" s="386"/>
      <c r="P675" s="386"/>
      <c r="Q675" s="386"/>
    </row>
    <row r="676" spans="1:17" ht="30" customHeight="1" x14ac:dyDescent="0.2">
      <c r="A676" s="4459"/>
      <c r="B676" s="4457" t="s">
        <v>2647</v>
      </c>
      <c r="C676" s="4620" t="s">
        <v>1652</v>
      </c>
      <c r="D676" s="2076">
        <v>100000000</v>
      </c>
      <c r="E676" s="2103">
        <v>0.05</v>
      </c>
      <c r="F676" s="2076">
        <f t="shared" ref="F676:F685" si="78">D676*E676</f>
        <v>5000000</v>
      </c>
      <c r="G676" s="4413">
        <v>16000000</v>
      </c>
      <c r="H676" s="4413" t="s">
        <v>1193</v>
      </c>
      <c r="I676" s="4413" t="s">
        <v>4120</v>
      </c>
      <c r="J676" s="4413">
        <f t="shared" si="77"/>
        <v>16000000</v>
      </c>
      <c r="K676" s="4603">
        <f>(F676+F677)-J676</f>
        <v>0</v>
      </c>
      <c r="L676" s="4675"/>
      <c r="M676" s="386"/>
      <c r="N676" s="386"/>
      <c r="O676" s="386"/>
      <c r="P676" s="386"/>
      <c r="Q676" s="386"/>
    </row>
    <row r="677" spans="1:17" ht="30" customHeight="1" x14ac:dyDescent="0.2">
      <c r="A677" s="4464"/>
      <c r="B677" s="4488"/>
      <c r="C677" s="4620"/>
      <c r="D677" s="2076">
        <v>220000000</v>
      </c>
      <c r="E677" s="2103">
        <v>0.05</v>
      </c>
      <c r="F677" s="2076">
        <f t="shared" si="78"/>
        <v>11000000</v>
      </c>
      <c r="G677" s="4415"/>
      <c r="H677" s="4415"/>
      <c r="I677" s="4415"/>
      <c r="J677" s="4415"/>
      <c r="K677" s="4604"/>
      <c r="L677" s="4676"/>
      <c r="M677" s="386"/>
      <c r="N677" s="386"/>
      <c r="O677" s="386"/>
      <c r="P677" s="386"/>
      <c r="Q677" s="386"/>
    </row>
    <row r="678" spans="1:17" ht="30" customHeight="1" x14ac:dyDescent="0.2">
      <c r="A678" s="4464"/>
      <c r="B678" s="4488"/>
      <c r="C678" s="4537" t="s">
        <v>3390</v>
      </c>
      <c r="D678" s="4413">
        <v>1000000000</v>
      </c>
      <c r="E678" s="4476">
        <v>6.5000000000000002E-2</v>
      </c>
      <c r="F678" s="4413">
        <f>D678*E678</f>
        <v>65000000</v>
      </c>
      <c r="G678" s="4413">
        <v>65000000</v>
      </c>
      <c r="H678" s="4413" t="s">
        <v>3003</v>
      </c>
      <c r="I678" s="4413" t="s">
        <v>4507</v>
      </c>
      <c r="J678" s="4413">
        <f>G678+G679</f>
        <v>65000000</v>
      </c>
      <c r="K678" s="4603">
        <f>F678-J678</f>
        <v>0</v>
      </c>
      <c r="L678" s="2118"/>
      <c r="M678" s="386"/>
      <c r="N678" s="386"/>
      <c r="O678" s="386"/>
      <c r="P678" s="386"/>
      <c r="Q678" s="386"/>
    </row>
    <row r="679" spans="1:17" ht="30" customHeight="1" x14ac:dyDescent="0.2">
      <c r="A679" s="4460"/>
      <c r="B679" s="4458"/>
      <c r="C679" s="4538"/>
      <c r="D679" s="4415"/>
      <c r="E679" s="4477"/>
      <c r="F679" s="4415"/>
      <c r="G679" s="4415"/>
      <c r="H679" s="4415"/>
      <c r="I679" s="4415"/>
      <c r="J679" s="4415"/>
      <c r="K679" s="4604"/>
      <c r="L679" s="2129" t="s">
        <v>3690</v>
      </c>
      <c r="M679" s="386"/>
      <c r="N679" s="386"/>
      <c r="O679" s="386"/>
      <c r="P679" s="386"/>
      <c r="Q679" s="386"/>
    </row>
    <row r="680" spans="1:17" ht="30" customHeight="1" x14ac:dyDescent="0.2">
      <c r="A680" s="2067"/>
      <c r="B680" s="2070" t="s">
        <v>2407</v>
      </c>
      <c r="C680" s="2086"/>
      <c r="D680" s="2076">
        <v>20000000</v>
      </c>
      <c r="E680" s="2103">
        <v>0.05</v>
      </c>
      <c r="F680" s="2076">
        <f t="shared" si="78"/>
        <v>1000000</v>
      </c>
      <c r="G680" s="2076">
        <v>1000000</v>
      </c>
      <c r="H680" s="2076" t="s">
        <v>4542</v>
      </c>
      <c r="I680" s="473" t="s">
        <v>4126</v>
      </c>
      <c r="J680" s="2076">
        <f>G680</f>
        <v>1000000</v>
      </c>
      <c r="K680" s="2101">
        <f>F680-J680</f>
        <v>0</v>
      </c>
      <c r="L680" s="2129"/>
      <c r="M680" s="386"/>
      <c r="N680" s="386"/>
      <c r="O680" s="386"/>
      <c r="P680" s="386"/>
      <c r="Q680" s="386"/>
    </row>
    <row r="681" spans="1:17" ht="30" customHeight="1" x14ac:dyDescent="0.2">
      <c r="A681" s="2105"/>
      <c r="B681" s="19" t="s">
        <v>2471</v>
      </c>
      <c r="C681" s="2107" t="s">
        <v>889</v>
      </c>
      <c r="D681" s="2076">
        <v>57120000</v>
      </c>
      <c r="E681" s="2103">
        <v>0.06</v>
      </c>
      <c r="F681" s="2076">
        <f t="shared" si="78"/>
        <v>3427200</v>
      </c>
      <c r="G681" s="2064"/>
      <c r="H681" s="2064"/>
      <c r="I681" s="233" t="s">
        <v>4043</v>
      </c>
      <c r="J681" s="2064">
        <f>G681</f>
        <v>0</v>
      </c>
      <c r="K681" s="2475">
        <f>F681-J681</f>
        <v>3427200</v>
      </c>
      <c r="L681" s="2129" t="s">
        <v>4044</v>
      </c>
      <c r="M681" s="386"/>
      <c r="N681" s="386"/>
      <c r="O681" s="386"/>
      <c r="P681" s="386"/>
      <c r="Q681" s="386"/>
    </row>
    <row r="682" spans="1:17" ht="30" customHeight="1" x14ac:dyDescent="0.2">
      <c r="A682" s="4459"/>
      <c r="B682" s="4457" t="s">
        <v>2517</v>
      </c>
      <c r="C682" s="4537" t="s">
        <v>1080</v>
      </c>
      <c r="D682" s="2733">
        <v>134700000</v>
      </c>
      <c r="E682" s="2742">
        <v>0.05</v>
      </c>
      <c r="F682" s="2733">
        <f t="shared" si="78"/>
        <v>6735000</v>
      </c>
      <c r="G682" s="4793" t="s">
        <v>4738</v>
      </c>
      <c r="H682" s="4794"/>
      <c r="I682" s="4794"/>
      <c r="J682" s="4795"/>
      <c r="K682" s="2064">
        <f>F682-J682</f>
        <v>6735000</v>
      </c>
      <c r="L682" s="2129"/>
      <c r="M682" s="386"/>
      <c r="N682" s="386"/>
      <c r="O682" s="386"/>
      <c r="P682" s="386"/>
      <c r="Q682" s="386"/>
    </row>
    <row r="683" spans="1:17" ht="30" customHeight="1" x14ac:dyDescent="0.2">
      <c r="A683" s="4464"/>
      <c r="B683" s="4488"/>
      <c r="C683" s="4540"/>
      <c r="D683" s="2796">
        <v>6735000</v>
      </c>
      <c r="E683" s="2805">
        <v>0.05</v>
      </c>
      <c r="F683" s="2796">
        <f t="shared" si="78"/>
        <v>336750</v>
      </c>
      <c r="G683" s="4799"/>
      <c r="H683" s="4800"/>
      <c r="I683" s="4800"/>
      <c r="J683" s="4801"/>
      <c r="K683" s="2795"/>
      <c r="L683" s="2801"/>
      <c r="M683" s="386"/>
      <c r="N683" s="386"/>
      <c r="O683" s="386"/>
      <c r="P683" s="386"/>
      <c r="Q683" s="386"/>
    </row>
    <row r="684" spans="1:17" ht="30" customHeight="1" x14ac:dyDescent="0.2">
      <c r="A684" s="4464"/>
      <c r="B684" s="4488"/>
      <c r="C684" s="4540"/>
      <c r="D684" s="2796">
        <v>100000000</v>
      </c>
      <c r="E684" s="2805">
        <v>0.05</v>
      </c>
      <c r="F684" s="2796">
        <f t="shared" si="78"/>
        <v>5000000</v>
      </c>
      <c r="G684" s="4469" t="s">
        <v>4795</v>
      </c>
      <c r="H684" s="4470"/>
      <c r="I684" s="4470"/>
      <c r="J684" s="4471"/>
      <c r="K684" s="2795"/>
      <c r="L684" s="2801"/>
      <c r="M684" s="386"/>
      <c r="N684" s="386"/>
      <c r="O684" s="386"/>
      <c r="P684" s="386"/>
      <c r="Q684" s="386"/>
    </row>
    <row r="685" spans="1:17" ht="30" customHeight="1" x14ac:dyDescent="0.2">
      <c r="A685" s="4464"/>
      <c r="B685" s="4488"/>
      <c r="C685" s="4540"/>
      <c r="D685" s="2796">
        <v>8565000</v>
      </c>
      <c r="E685" s="2805">
        <v>0.05</v>
      </c>
      <c r="F685" s="2796">
        <f t="shared" si="78"/>
        <v>428250</v>
      </c>
      <c r="G685" s="4469" t="s">
        <v>4796</v>
      </c>
      <c r="H685" s="4470"/>
      <c r="I685" s="4470"/>
      <c r="J685" s="4471"/>
      <c r="K685" s="2795"/>
      <c r="L685" s="2801"/>
      <c r="M685" s="386"/>
      <c r="N685" s="386"/>
      <c r="O685" s="386"/>
      <c r="P685" s="386"/>
      <c r="Q685" s="386"/>
    </row>
    <row r="686" spans="1:17" ht="30" customHeight="1" x14ac:dyDescent="0.2">
      <c r="A686" s="4464"/>
      <c r="B686" s="4488"/>
      <c r="C686" s="4540"/>
      <c r="D686" s="1856">
        <f>SUM(D682:D685)</f>
        <v>250000000</v>
      </c>
      <c r="E686" s="897">
        <v>0.05</v>
      </c>
      <c r="F686" s="1856">
        <f>D686*E686</f>
        <v>12500000</v>
      </c>
      <c r="G686" s="4469" t="s">
        <v>4739</v>
      </c>
      <c r="H686" s="4470"/>
      <c r="I686" s="4470"/>
      <c r="J686" s="4471"/>
      <c r="K686" s="2075"/>
      <c r="L686" s="2117"/>
      <c r="M686" s="386"/>
      <c r="N686" s="386"/>
      <c r="O686" s="386"/>
      <c r="P686" s="386"/>
      <c r="Q686" s="386"/>
    </row>
    <row r="687" spans="1:17" ht="30" customHeight="1" x14ac:dyDescent="0.2">
      <c r="A687" s="4459"/>
      <c r="B687" s="4457" t="s">
        <v>2551</v>
      </c>
      <c r="C687" s="4537"/>
      <c r="D687" s="2076">
        <v>10000000</v>
      </c>
      <c r="E687" s="2103"/>
      <c r="F687" s="2076"/>
      <c r="G687" s="2076"/>
      <c r="H687" s="2076"/>
      <c r="I687" s="473"/>
      <c r="J687" s="2076"/>
      <c r="K687" s="2101"/>
      <c r="L687" s="2129" t="s">
        <v>2552</v>
      </c>
      <c r="M687" s="386"/>
      <c r="N687" s="386"/>
      <c r="O687" s="386"/>
      <c r="P687" s="386"/>
      <c r="Q687" s="386"/>
    </row>
    <row r="688" spans="1:17" ht="30" customHeight="1" x14ac:dyDescent="0.2">
      <c r="A688" s="4460"/>
      <c r="B688" s="4458"/>
      <c r="C688" s="4538"/>
      <c r="D688" s="2076">
        <v>5000000</v>
      </c>
      <c r="E688" s="2103"/>
      <c r="F688" s="2076"/>
      <c r="G688" s="2076"/>
      <c r="H688" s="2076"/>
      <c r="I688" s="473"/>
      <c r="J688" s="2076"/>
      <c r="K688" s="2101"/>
      <c r="L688" s="2117" t="s">
        <v>3870</v>
      </c>
      <c r="M688" s="386"/>
      <c r="N688" s="386"/>
      <c r="O688" s="386"/>
      <c r="P688" s="386"/>
      <c r="Q688" s="386"/>
    </row>
    <row r="689" spans="1:17" ht="30" customHeight="1" x14ac:dyDescent="0.2">
      <c r="A689" s="2684"/>
      <c r="B689" s="2685" t="s">
        <v>2573</v>
      </c>
      <c r="C689" s="2689" t="s">
        <v>1172</v>
      </c>
      <c r="D689" s="2682">
        <v>60000000</v>
      </c>
      <c r="E689" s="2683">
        <v>5.5E-2</v>
      </c>
      <c r="F689" s="2682">
        <f t="shared" ref="F689" si="79">D689*E689</f>
        <v>3300000</v>
      </c>
      <c r="G689" s="2682">
        <v>3300000</v>
      </c>
      <c r="H689" s="2681" t="s">
        <v>4438</v>
      </c>
      <c r="I689" s="2696" t="s">
        <v>3987</v>
      </c>
      <c r="J689" s="2682">
        <f>G689</f>
        <v>3300000</v>
      </c>
      <c r="K689" s="2692">
        <v>0</v>
      </c>
      <c r="L689" s="2693" t="s">
        <v>3522</v>
      </c>
      <c r="M689" s="386"/>
      <c r="N689" s="386"/>
      <c r="O689" s="386"/>
      <c r="P689" s="386"/>
      <c r="Q689" s="386"/>
    </row>
    <row r="690" spans="1:17" ht="30" customHeight="1" x14ac:dyDescent="0.2">
      <c r="A690" s="4459"/>
      <c r="B690" s="4599" t="s">
        <v>2714</v>
      </c>
      <c r="C690" s="4537" t="s">
        <v>262</v>
      </c>
      <c r="D690" s="4413">
        <v>186000000</v>
      </c>
      <c r="E690" s="4476">
        <v>5.5E-2</v>
      </c>
      <c r="F690" s="4413">
        <f>D690*E690</f>
        <v>10230000</v>
      </c>
      <c r="G690" s="4413">
        <v>10922000</v>
      </c>
      <c r="H690" s="4413" t="s">
        <v>4438</v>
      </c>
      <c r="I690" s="4789" t="s">
        <v>3987</v>
      </c>
      <c r="J690" s="4413">
        <f>G690</f>
        <v>10922000</v>
      </c>
      <c r="K690" s="4603">
        <v>0</v>
      </c>
      <c r="L690" s="2117" t="s">
        <v>4262</v>
      </c>
      <c r="M690" s="386"/>
      <c r="N690" s="386"/>
      <c r="O690" s="386"/>
      <c r="P690" s="386"/>
      <c r="Q690" s="386"/>
    </row>
    <row r="691" spans="1:17" ht="30" customHeight="1" x14ac:dyDescent="0.2">
      <c r="A691" s="4464"/>
      <c r="B691" s="4600"/>
      <c r="C691" s="4540"/>
      <c r="D691" s="4414"/>
      <c r="E691" s="4516"/>
      <c r="F691" s="4414"/>
      <c r="G691" s="4414"/>
      <c r="H691" s="4414"/>
      <c r="I691" s="4871"/>
      <c r="J691" s="4414"/>
      <c r="K691" s="4609"/>
      <c r="L691" s="2117" t="s">
        <v>3953</v>
      </c>
      <c r="M691" s="386"/>
      <c r="N691" s="386"/>
      <c r="O691" s="386"/>
      <c r="P691" s="386"/>
      <c r="Q691" s="386"/>
    </row>
    <row r="692" spans="1:17" ht="30" customHeight="1" x14ac:dyDescent="0.2">
      <c r="A692" s="4464"/>
      <c r="B692" s="4600"/>
      <c r="C692" s="4540"/>
      <c r="D692" s="4415"/>
      <c r="E692" s="4477"/>
      <c r="F692" s="4415"/>
      <c r="G692" s="4414"/>
      <c r="H692" s="4414"/>
      <c r="I692" s="4871"/>
      <c r="J692" s="4414"/>
      <c r="K692" s="4609"/>
      <c r="L692" s="2117" t="s">
        <v>4262</v>
      </c>
      <c r="M692" s="386"/>
      <c r="N692" s="386"/>
      <c r="O692" s="386"/>
      <c r="P692" s="386"/>
      <c r="Q692" s="386"/>
    </row>
    <row r="693" spans="1:17" ht="30" customHeight="1" x14ac:dyDescent="0.2">
      <c r="A693" s="4464"/>
      <c r="B693" s="4600"/>
      <c r="C693" s="4540"/>
      <c r="D693" s="2076">
        <v>10000000</v>
      </c>
      <c r="E693" s="2079">
        <v>5.5E-2</v>
      </c>
      <c r="F693" s="2076">
        <f t="shared" ref="F693:F699" si="80">D693*E693</f>
        <v>550000</v>
      </c>
      <c r="G693" s="4414"/>
      <c r="H693" s="4414"/>
      <c r="I693" s="4871"/>
      <c r="J693" s="4414"/>
      <c r="K693" s="4609"/>
      <c r="L693" s="2117" t="s">
        <v>4196</v>
      </c>
      <c r="M693" s="386"/>
      <c r="N693" s="386"/>
      <c r="O693" s="386"/>
      <c r="P693" s="386"/>
      <c r="Q693" s="386"/>
    </row>
    <row r="694" spans="1:17" ht="30" customHeight="1" x14ac:dyDescent="0.2">
      <c r="A694" s="4464"/>
      <c r="B694" s="4600"/>
      <c r="C694" s="4540"/>
      <c r="D694" s="2076">
        <v>4000000</v>
      </c>
      <c r="E694" s="2079">
        <v>5.5E-2</v>
      </c>
      <c r="F694" s="2184">
        <f t="shared" si="80"/>
        <v>220000</v>
      </c>
      <c r="G694" s="4415"/>
      <c r="H694" s="4415"/>
      <c r="I694" s="4790"/>
      <c r="J694" s="4415"/>
      <c r="K694" s="4604"/>
      <c r="L694" s="2117" t="s">
        <v>4114</v>
      </c>
      <c r="M694" s="386"/>
      <c r="N694" s="386"/>
      <c r="O694" s="386"/>
      <c r="P694" s="386"/>
      <c r="Q694" s="386"/>
    </row>
    <row r="695" spans="1:17" ht="30" customHeight="1" x14ac:dyDescent="0.2">
      <c r="A695" s="4464"/>
      <c r="B695" s="4600"/>
      <c r="C695" s="4540"/>
      <c r="D695" s="2694">
        <v>200000000</v>
      </c>
      <c r="E695" s="2695">
        <v>5.5E-2</v>
      </c>
      <c r="F695" s="2694">
        <f t="shared" si="80"/>
        <v>11000000</v>
      </c>
      <c r="G695" s="4733" t="s">
        <v>3882</v>
      </c>
      <c r="H695" s="4734"/>
      <c r="I695" s="4734"/>
      <c r="J695" s="4735"/>
      <c r="K695" s="2351"/>
      <c r="L695" s="2117" t="s">
        <v>2685</v>
      </c>
      <c r="M695" s="386"/>
      <c r="N695" s="386"/>
      <c r="O695" s="386"/>
      <c r="P695" s="386"/>
      <c r="Q695" s="386"/>
    </row>
    <row r="696" spans="1:17" ht="30" customHeight="1" x14ac:dyDescent="0.2">
      <c r="A696" s="4464"/>
      <c r="B696" s="4600"/>
      <c r="C696" s="4540"/>
      <c r="D696" s="2480">
        <v>19000000</v>
      </c>
      <c r="E696" s="2479">
        <v>5.5E-2</v>
      </c>
      <c r="F696" s="2480">
        <f t="shared" si="80"/>
        <v>1045000</v>
      </c>
      <c r="G696" s="4469" t="s">
        <v>4562</v>
      </c>
      <c r="H696" s="4470"/>
      <c r="I696" s="4470"/>
      <c r="J696" s="4471"/>
      <c r="K696" s="2351"/>
      <c r="L696" s="2488"/>
      <c r="M696" s="386"/>
      <c r="N696" s="386"/>
      <c r="O696" s="386"/>
      <c r="P696" s="386"/>
      <c r="Q696" s="386"/>
    </row>
    <row r="697" spans="1:17" ht="30" customHeight="1" x14ac:dyDescent="0.2">
      <c r="A697" s="4464"/>
      <c r="B697" s="4600"/>
      <c r="C697" s="4540"/>
      <c r="D697" s="2627">
        <v>9000000</v>
      </c>
      <c r="E697" s="2628">
        <v>5.5E-2</v>
      </c>
      <c r="F697" s="2627">
        <f t="shared" si="80"/>
        <v>495000</v>
      </c>
      <c r="G697" s="4469" t="s">
        <v>4654</v>
      </c>
      <c r="H697" s="4470"/>
      <c r="I697" s="4470"/>
      <c r="J697" s="4471"/>
      <c r="K697" s="2351"/>
      <c r="L697" s="2641"/>
      <c r="M697" s="386"/>
      <c r="N697" s="386"/>
      <c r="O697" s="386"/>
      <c r="P697" s="386"/>
      <c r="Q697" s="386"/>
    </row>
    <row r="698" spans="1:17" ht="30" customHeight="1" x14ac:dyDescent="0.2">
      <c r="A698" s="4464"/>
      <c r="B698" s="4600"/>
      <c r="C698" s="4540"/>
      <c r="D698" s="2682">
        <v>2000000</v>
      </c>
      <c r="E698" s="2683">
        <v>5.5E-2</v>
      </c>
      <c r="F698" s="2682">
        <f t="shared" si="80"/>
        <v>110000</v>
      </c>
      <c r="G698" s="4469" t="s">
        <v>4700</v>
      </c>
      <c r="H698" s="4470"/>
      <c r="I698" s="4470"/>
      <c r="J698" s="4471"/>
      <c r="K698" s="2351"/>
      <c r="L698" s="2690"/>
      <c r="M698" s="386"/>
      <c r="N698" s="386"/>
      <c r="O698" s="386"/>
      <c r="P698" s="386"/>
      <c r="Q698" s="386"/>
    </row>
    <row r="699" spans="1:17" ht="30" customHeight="1" x14ac:dyDescent="0.2">
      <c r="A699" s="4464"/>
      <c r="B699" s="4600"/>
      <c r="C699" s="4540"/>
      <c r="D699" s="294">
        <f>D695+D696+D697+D698</f>
        <v>230000000</v>
      </c>
      <c r="E699" s="2726">
        <v>5.5E-2</v>
      </c>
      <c r="F699" s="294">
        <f t="shared" si="80"/>
        <v>12650000</v>
      </c>
      <c r="G699" s="4956" t="s">
        <v>3217</v>
      </c>
      <c r="H699" s="4957"/>
      <c r="I699" s="4957"/>
      <c r="J699" s="4958"/>
      <c r="K699" s="2351"/>
      <c r="L699" s="2488"/>
      <c r="M699" s="386"/>
      <c r="N699" s="386"/>
      <c r="O699" s="386"/>
      <c r="P699" s="386"/>
      <c r="Q699" s="386"/>
    </row>
    <row r="700" spans="1:17" ht="30" customHeight="1" x14ac:dyDescent="0.2">
      <c r="A700" s="4460"/>
      <c r="B700" s="4607"/>
      <c r="C700" s="4538"/>
      <c r="D700" s="2682"/>
      <c r="E700" s="2683"/>
      <c r="F700" s="2682"/>
      <c r="G700" s="2686"/>
      <c r="H700" s="2687"/>
      <c r="I700" s="2687"/>
      <c r="J700" s="2688"/>
      <c r="K700" s="2351"/>
      <c r="L700" s="2641"/>
      <c r="M700" s="386"/>
      <c r="N700" s="386"/>
      <c r="O700" s="386"/>
      <c r="P700" s="386"/>
      <c r="Q700" s="386"/>
    </row>
    <row r="701" spans="1:17" ht="30" customHeight="1" x14ac:dyDescent="0.2">
      <c r="A701" s="2067"/>
      <c r="B701" s="2070" t="s">
        <v>2609</v>
      </c>
      <c r="C701" s="2086"/>
      <c r="D701" s="2081"/>
      <c r="E701" s="40"/>
      <c r="F701" s="2081"/>
      <c r="G701" s="2076">
        <v>300000</v>
      </c>
      <c r="H701" s="2076" t="s">
        <v>4451</v>
      </c>
      <c r="I701" s="473" t="s">
        <v>4462</v>
      </c>
      <c r="J701" s="2076">
        <f>G701</f>
        <v>300000</v>
      </c>
      <c r="K701" s="2102">
        <f>F701-J701</f>
        <v>-300000</v>
      </c>
      <c r="L701" s="2129"/>
      <c r="M701" s="386"/>
      <c r="N701" s="386"/>
      <c r="O701" s="386"/>
      <c r="P701" s="386"/>
      <c r="Q701" s="386"/>
    </row>
    <row r="702" spans="1:17" ht="30" customHeight="1" x14ac:dyDescent="0.2">
      <c r="A702" s="4459"/>
      <c r="B702" s="4457" t="s">
        <v>3818</v>
      </c>
      <c r="C702" s="4537" t="s">
        <v>5083</v>
      </c>
      <c r="D702" s="3238">
        <v>4215000000</v>
      </c>
      <c r="E702" s="3251">
        <v>0.05</v>
      </c>
      <c r="F702" s="3238">
        <f>D702*E702</f>
        <v>210750000</v>
      </c>
      <c r="G702" s="2181">
        <v>10000000</v>
      </c>
      <c r="H702" s="2181" t="s">
        <v>4301</v>
      </c>
      <c r="I702" s="1030" t="s">
        <v>3894</v>
      </c>
      <c r="J702" s="3145">
        <f>G702</f>
        <v>10000000</v>
      </c>
      <c r="K702" s="2180">
        <v>0</v>
      </c>
      <c r="L702" s="2192" t="s">
        <v>4310</v>
      </c>
      <c r="M702" s="386"/>
      <c r="N702" s="386"/>
      <c r="O702" s="386"/>
      <c r="P702" s="386"/>
      <c r="Q702" s="386"/>
    </row>
    <row r="703" spans="1:17" ht="30" customHeight="1" x14ac:dyDescent="0.2">
      <c r="A703" s="4464"/>
      <c r="B703" s="4488"/>
      <c r="C703" s="4540"/>
      <c r="D703" s="3238">
        <v>2000000000</v>
      </c>
      <c r="E703" s="3251">
        <v>7.0000000000000007E-2</v>
      </c>
      <c r="F703" s="3238">
        <f t="shared" ref="F703:F706" si="81">D703*E703</f>
        <v>140000000</v>
      </c>
      <c r="G703" s="3150">
        <v>100000000</v>
      </c>
      <c r="H703" s="3150" t="s">
        <v>4780</v>
      </c>
      <c r="I703" s="922" t="s">
        <v>4785</v>
      </c>
      <c r="J703" s="1383">
        <f>G703</f>
        <v>100000000</v>
      </c>
      <c r="K703" s="4966"/>
      <c r="L703" s="4788" t="s">
        <v>5081</v>
      </c>
      <c r="M703" s="386"/>
      <c r="N703" s="386"/>
      <c r="O703" s="386"/>
      <c r="P703" s="386"/>
      <c r="Q703" s="386"/>
    </row>
    <row r="704" spans="1:17" ht="30" customHeight="1" x14ac:dyDescent="0.2">
      <c r="A704" s="4464"/>
      <c r="B704" s="4488"/>
      <c r="C704" s="4540"/>
      <c r="D704" s="3238">
        <v>3785000000</v>
      </c>
      <c r="E704" s="3251">
        <v>0.06</v>
      </c>
      <c r="F704" s="3238">
        <f t="shared" si="81"/>
        <v>227100000</v>
      </c>
      <c r="G704" s="3150">
        <v>100000000</v>
      </c>
      <c r="H704" s="3150" t="s">
        <v>4661</v>
      </c>
      <c r="I704" s="922" t="s">
        <v>4785</v>
      </c>
      <c r="J704" s="1383">
        <f>G704</f>
        <v>100000000</v>
      </c>
      <c r="K704" s="4966"/>
      <c r="L704" s="4788"/>
      <c r="M704" s="386"/>
      <c r="N704" s="386"/>
      <c r="O704" s="386"/>
      <c r="P704" s="386"/>
      <c r="Q704" s="386"/>
    </row>
    <row r="705" spans="1:17" ht="30" customHeight="1" x14ac:dyDescent="0.2">
      <c r="A705" s="4464"/>
      <c r="B705" s="4488"/>
      <c r="C705" s="4540"/>
      <c r="D705" s="3246">
        <v>2915000000</v>
      </c>
      <c r="E705" s="3252">
        <v>0.08</v>
      </c>
      <c r="F705" s="3246">
        <f t="shared" si="81"/>
        <v>233200000</v>
      </c>
      <c r="G705" s="2181">
        <v>50000000</v>
      </c>
      <c r="H705" s="2181" t="s">
        <v>4788</v>
      </c>
      <c r="I705" s="2181" t="s">
        <v>3894</v>
      </c>
      <c r="J705" s="4322">
        <f>G705+G706</f>
        <v>100000000</v>
      </c>
      <c r="K705" s="4332">
        <f>F711-J705</f>
        <v>843150000</v>
      </c>
      <c r="L705" s="2118" t="s">
        <v>5082</v>
      </c>
      <c r="M705" s="386"/>
      <c r="N705" s="386"/>
      <c r="O705" s="386"/>
      <c r="P705" s="386"/>
      <c r="Q705" s="386"/>
    </row>
    <row r="706" spans="1:17" ht="30" customHeight="1" x14ac:dyDescent="0.2">
      <c r="A706" s="4464"/>
      <c r="B706" s="4488"/>
      <c r="C706" s="4540"/>
      <c r="D706" s="3246">
        <v>690000000</v>
      </c>
      <c r="E706" s="3252">
        <v>0.08</v>
      </c>
      <c r="F706" s="3246">
        <f t="shared" si="81"/>
        <v>55200000</v>
      </c>
      <c r="G706" s="2181">
        <v>50000000</v>
      </c>
      <c r="H706" s="2181" t="s">
        <v>4841</v>
      </c>
      <c r="I706" s="2181" t="s">
        <v>2686</v>
      </c>
      <c r="J706" s="4322"/>
      <c r="K706" s="4332"/>
      <c r="L706" s="2118" t="s">
        <v>5082</v>
      </c>
      <c r="M706" s="386"/>
      <c r="N706" s="386"/>
      <c r="O706" s="386"/>
      <c r="P706" s="386"/>
      <c r="Q706" s="386"/>
    </row>
    <row r="707" spans="1:17" ht="30" customHeight="1" x14ac:dyDescent="0.2">
      <c r="A707" s="4464"/>
      <c r="B707" s="4488"/>
      <c r="C707" s="4540"/>
      <c r="D707" s="3247">
        <v>925000000</v>
      </c>
      <c r="E707" s="3252">
        <v>0.08</v>
      </c>
      <c r="F707" s="3247">
        <f>D707*E707</f>
        <v>74000000</v>
      </c>
      <c r="G707" s="4469" t="s">
        <v>5173</v>
      </c>
      <c r="H707" s="4470"/>
      <c r="I707" s="4471"/>
      <c r="J707" s="2076"/>
      <c r="K707" s="2101"/>
      <c r="L707" s="2101"/>
      <c r="M707" s="386"/>
      <c r="N707" s="386"/>
      <c r="O707" s="386"/>
      <c r="P707" s="386"/>
      <c r="Q707" s="386"/>
    </row>
    <row r="708" spans="1:17" ht="30" customHeight="1" x14ac:dyDescent="0.2">
      <c r="A708" s="4464"/>
      <c r="B708" s="4488"/>
      <c r="C708" s="4540"/>
      <c r="D708" s="4822">
        <f>SUM(D702:D707)</f>
        <v>14530000000</v>
      </c>
      <c r="E708" s="4823"/>
      <c r="F708" s="3241">
        <f>SUM(F702:F707)</f>
        <v>940250000</v>
      </c>
      <c r="G708" s="4793" t="s">
        <v>5142</v>
      </c>
      <c r="H708" s="4794"/>
      <c r="I708" s="4794"/>
      <c r="J708" s="4795"/>
      <c r="K708" s="3230"/>
      <c r="L708" s="3228"/>
      <c r="M708" s="386"/>
      <c r="N708" s="386"/>
      <c r="O708" s="386"/>
      <c r="P708" s="386"/>
      <c r="Q708" s="386"/>
    </row>
    <row r="709" spans="1:17" ht="30" customHeight="1" x14ac:dyDescent="0.2">
      <c r="A709" s="4464"/>
      <c r="B709" s="4488"/>
      <c r="C709" s="4540"/>
      <c r="D709" s="4822" t="s">
        <v>5143</v>
      </c>
      <c r="E709" s="4823"/>
      <c r="F709" s="3241">
        <v>1600000</v>
      </c>
      <c r="G709" s="4796"/>
      <c r="H709" s="4797"/>
      <c r="I709" s="4797"/>
      <c r="J709" s="4798"/>
      <c r="K709" s="3230"/>
      <c r="L709" s="3228"/>
      <c r="M709" s="386"/>
      <c r="N709" s="386"/>
      <c r="O709" s="386"/>
      <c r="P709" s="386"/>
      <c r="Q709" s="386"/>
    </row>
    <row r="710" spans="1:17" ht="30" customHeight="1" x14ac:dyDescent="0.2">
      <c r="A710" s="4464"/>
      <c r="B710" s="4488"/>
      <c r="C710" s="4540"/>
      <c r="D710" s="4822" t="s">
        <v>5144</v>
      </c>
      <c r="E710" s="4823"/>
      <c r="F710" s="3241">
        <v>1300000</v>
      </c>
      <c r="G710" s="4796"/>
      <c r="H710" s="4797"/>
      <c r="I710" s="4797"/>
      <c r="J710" s="4798"/>
      <c r="K710" s="3230"/>
      <c r="L710" s="3228"/>
      <c r="M710" s="386"/>
      <c r="N710" s="386"/>
      <c r="O710" s="386"/>
      <c r="P710" s="386"/>
      <c r="Q710" s="386"/>
    </row>
    <row r="711" spans="1:17" ht="30" customHeight="1" x14ac:dyDescent="0.2">
      <c r="A711" s="4464"/>
      <c r="B711" s="4488"/>
      <c r="C711" s="4540"/>
      <c r="D711" s="4822" t="s">
        <v>5145</v>
      </c>
      <c r="E711" s="4823"/>
      <c r="F711" s="3241">
        <f>SUM(F708:F710)</f>
        <v>943150000</v>
      </c>
      <c r="G711" s="4796"/>
      <c r="H711" s="4797"/>
      <c r="I711" s="4797"/>
      <c r="J711" s="4798"/>
      <c r="K711" s="3230"/>
      <c r="L711" s="3228"/>
      <c r="M711" s="386"/>
      <c r="N711" s="386"/>
      <c r="O711" s="386"/>
      <c r="P711" s="386"/>
      <c r="Q711" s="386"/>
    </row>
    <row r="712" spans="1:17" ht="30" customHeight="1" x14ac:dyDescent="0.2">
      <c r="A712" s="4464"/>
      <c r="B712" s="4488"/>
      <c r="C712" s="4540"/>
      <c r="D712" s="4822" t="s">
        <v>5169</v>
      </c>
      <c r="E712" s="4823"/>
      <c r="F712" s="3285">
        <v>6850000</v>
      </c>
      <c r="G712" s="4796"/>
      <c r="H712" s="4797"/>
      <c r="I712" s="4797"/>
      <c r="J712" s="4798"/>
      <c r="K712" s="3279"/>
      <c r="L712" s="3278"/>
      <c r="M712" s="386"/>
      <c r="N712" s="386"/>
      <c r="O712" s="386"/>
      <c r="P712" s="386"/>
      <c r="Q712" s="386"/>
    </row>
    <row r="713" spans="1:17" ht="30" customHeight="1" x14ac:dyDescent="0.2">
      <c r="A713" s="4464"/>
      <c r="B713" s="4488"/>
      <c r="C713" s="4540"/>
      <c r="D713" s="4822" t="s">
        <v>5170</v>
      </c>
      <c r="E713" s="4823"/>
      <c r="F713" s="3285">
        <f>F711+F712</f>
        <v>950000000</v>
      </c>
      <c r="G713" s="4799"/>
      <c r="H713" s="4800"/>
      <c r="I713" s="4800"/>
      <c r="J713" s="4801"/>
      <c r="K713" s="3279"/>
      <c r="L713" s="3278"/>
      <c r="M713" s="386"/>
      <c r="N713" s="386"/>
      <c r="O713" s="386"/>
      <c r="P713" s="386"/>
      <c r="Q713" s="386"/>
    </row>
    <row r="714" spans="1:17" ht="30" customHeight="1" x14ac:dyDescent="0.2">
      <c r="A714" s="4464"/>
      <c r="B714" s="4488"/>
      <c r="C714" s="4540"/>
      <c r="D714" s="3145">
        <v>850000000</v>
      </c>
      <c r="E714" s="3153">
        <v>0.08</v>
      </c>
      <c r="F714" s="3145">
        <f>D714*E714</f>
        <v>68000000</v>
      </c>
      <c r="G714" s="4469" t="s">
        <v>5172</v>
      </c>
      <c r="H714" s="4470"/>
      <c r="I714" s="4470"/>
      <c r="J714" s="4471"/>
      <c r="K714" s="3156"/>
      <c r="L714" s="3147"/>
      <c r="M714" s="386"/>
      <c r="N714" s="386"/>
      <c r="O714" s="386"/>
      <c r="P714" s="386"/>
      <c r="Q714" s="386"/>
    </row>
    <row r="715" spans="1:17" ht="30" customHeight="1" x14ac:dyDescent="0.2">
      <c r="A715" s="4460"/>
      <c r="B715" s="4458"/>
      <c r="C715" s="4538"/>
      <c r="D715" s="4852">
        <f>D708+D714</f>
        <v>15380000000</v>
      </c>
      <c r="E715" s="4929"/>
      <c r="F715" s="2655">
        <f>F708+F714</f>
        <v>1008250000</v>
      </c>
      <c r="G715" s="4469" t="s">
        <v>5146</v>
      </c>
      <c r="H715" s="4470"/>
      <c r="I715" s="4470"/>
      <c r="J715" s="4471"/>
      <c r="K715" s="3156"/>
      <c r="L715" s="3147"/>
      <c r="M715" s="386"/>
      <c r="N715" s="386"/>
      <c r="O715" s="386"/>
      <c r="P715" s="386"/>
      <c r="Q715" s="386"/>
    </row>
    <row r="716" spans="1:17" ht="30" customHeight="1" x14ac:dyDescent="0.2">
      <c r="A716" s="4459"/>
      <c r="B716" s="4457" t="s">
        <v>2622</v>
      </c>
      <c r="C716" s="4537"/>
      <c r="D716" s="4413">
        <v>160000000</v>
      </c>
      <c r="E716" s="4476">
        <v>0.05</v>
      </c>
      <c r="F716" s="4413">
        <f>D716*E716</f>
        <v>8000000</v>
      </c>
      <c r="G716" s="4413">
        <v>7200000</v>
      </c>
      <c r="H716" s="4413" t="s">
        <v>4363</v>
      </c>
      <c r="I716" s="4789" t="s">
        <v>4366</v>
      </c>
      <c r="J716" s="4413">
        <f>G716+G718</f>
        <v>8000000</v>
      </c>
      <c r="K716" s="4603">
        <f>F716-J716</f>
        <v>0</v>
      </c>
      <c r="L716" s="2129"/>
      <c r="M716" s="386"/>
      <c r="N716" s="386"/>
      <c r="O716" s="386"/>
      <c r="P716" s="386"/>
      <c r="Q716" s="386"/>
    </row>
    <row r="717" spans="1:17" ht="30" customHeight="1" x14ac:dyDescent="0.2">
      <c r="A717" s="4464"/>
      <c r="B717" s="4488"/>
      <c r="C717" s="4540"/>
      <c r="D717" s="4414"/>
      <c r="E717" s="4516"/>
      <c r="F717" s="4414"/>
      <c r="G717" s="4415"/>
      <c r="H717" s="4415"/>
      <c r="I717" s="4790"/>
      <c r="J717" s="4414"/>
      <c r="K717" s="4609"/>
      <c r="L717" s="2129" t="s">
        <v>4005</v>
      </c>
      <c r="M717" s="386"/>
      <c r="N717" s="386"/>
      <c r="O717" s="386"/>
      <c r="P717" s="386"/>
      <c r="Q717" s="386"/>
    </row>
    <row r="718" spans="1:17" ht="30" customHeight="1" x14ac:dyDescent="0.2">
      <c r="A718" s="4460"/>
      <c r="B718" s="4458"/>
      <c r="C718" s="4538"/>
      <c r="D718" s="4415"/>
      <c r="E718" s="4477"/>
      <c r="F718" s="4415"/>
      <c r="G718" s="2302">
        <v>800000</v>
      </c>
      <c r="H718" s="2302" t="s">
        <v>4404</v>
      </c>
      <c r="I718" s="2302" t="s">
        <v>1728</v>
      </c>
      <c r="J718" s="4415"/>
      <c r="K718" s="4604"/>
      <c r="L718" s="2129" t="s">
        <v>4218</v>
      </c>
      <c r="M718" s="386"/>
      <c r="N718" s="386"/>
      <c r="O718" s="386"/>
      <c r="P718" s="386"/>
      <c r="Q718" s="386"/>
    </row>
    <row r="719" spans="1:17" ht="30" customHeight="1" x14ac:dyDescent="0.2">
      <c r="A719" s="2105"/>
      <c r="B719" s="2106" t="s">
        <v>2639</v>
      </c>
      <c r="C719" s="2086" t="s">
        <v>1172</v>
      </c>
      <c r="D719" s="2076">
        <v>80000000</v>
      </c>
      <c r="E719" s="2103">
        <v>0.05</v>
      </c>
      <c r="F719" s="2076">
        <f>D719*E719</f>
        <v>4000000</v>
      </c>
      <c r="G719" s="2076">
        <v>4000000</v>
      </c>
      <c r="H719" s="2076" t="s">
        <v>1193</v>
      </c>
      <c r="I719" s="473" t="s">
        <v>4021</v>
      </c>
      <c r="J719" s="2076">
        <f t="shared" ref="J719:J736" si="82">G719</f>
        <v>4000000</v>
      </c>
      <c r="K719" s="2101">
        <f t="shared" ref="K719:K737" si="83">F719-J719</f>
        <v>0</v>
      </c>
      <c r="L719" s="2129" t="s">
        <v>3688</v>
      </c>
      <c r="M719" s="386"/>
      <c r="N719" s="386"/>
      <c r="O719" s="386"/>
      <c r="P719" s="386"/>
      <c r="Q719" s="386"/>
    </row>
    <row r="720" spans="1:17" ht="30" customHeight="1" x14ac:dyDescent="0.2">
      <c r="A720" s="2105"/>
      <c r="B720" s="2106" t="s">
        <v>4022</v>
      </c>
      <c r="C720" s="2086" t="s">
        <v>1172</v>
      </c>
      <c r="D720" s="2076">
        <v>100000000</v>
      </c>
      <c r="E720" s="2103">
        <v>0.05</v>
      </c>
      <c r="F720" s="2076">
        <f>D720*E720</f>
        <v>5000000</v>
      </c>
      <c r="G720" s="2076">
        <v>5000000</v>
      </c>
      <c r="H720" s="2076" t="s">
        <v>1193</v>
      </c>
      <c r="I720" s="473" t="s">
        <v>4065</v>
      </c>
      <c r="J720" s="2076">
        <f>G720</f>
        <v>5000000</v>
      </c>
      <c r="K720" s="2101">
        <f>F720-J720</f>
        <v>0</v>
      </c>
      <c r="L720" s="2129"/>
      <c r="M720" s="386"/>
      <c r="N720" s="386"/>
      <c r="O720" s="386"/>
      <c r="P720" s="386"/>
      <c r="Q720" s="386"/>
    </row>
    <row r="721" spans="1:17" ht="30" customHeight="1" x14ac:dyDescent="0.2">
      <c r="A721" s="2105"/>
      <c r="B721" s="2106" t="s">
        <v>3998</v>
      </c>
      <c r="C721" s="2107" t="s">
        <v>1652</v>
      </c>
      <c r="D721" s="2064">
        <v>25000000</v>
      </c>
      <c r="E721" s="2103">
        <v>0.04</v>
      </c>
      <c r="F721" s="2064">
        <f>D721*E721</f>
        <v>1000000</v>
      </c>
      <c r="G721" s="2064"/>
      <c r="H721" s="2064"/>
      <c r="I721" s="1030" t="s">
        <v>3999</v>
      </c>
      <c r="J721" s="2064">
        <f t="shared" si="82"/>
        <v>0</v>
      </c>
      <c r="K721" s="2062">
        <f t="shared" si="83"/>
        <v>1000000</v>
      </c>
      <c r="L721" s="2129"/>
      <c r="M721" s="386"/>
      <c r="N721" s="386"/>
      <c r="O721" s="386"/>
      <c r="P721" s="386"/>
      <c r="Q721" s="386"/>
    </row>
    <row r="722" spans="1:17" ht="30" customHeight="1" x14ac:dyDescent="0.2">
      <c r="A722" s="4459"/>
      <c r="B722" s="4474" t="s">
        <v>2692</v>
      </c>
      <c r="C722" s="4537" t="s">
        <v>371</v>
      </c>
      <c r="D722" s="2526">
        <v>200000000</v>
      </c>
      <c r="E722" s="2541">
        <v>7.0000000000000007E-2</v>
      </c>
      <c r="F722" s="1857">
        <f>D722*E722</f>
        <v>14000000.000000002</v>
      </c>
      <c r="G722" s="4922"/>
      <c r="H722" s="4923"/>
      <c r="I722" s="4923"/>
      <c r="J722" s="4924"/>
      <c r="K722" s="4332"/>
      <c r="L722" s="2129"/>
      <c r="M722" s="386"/>
      <c r="N722" s="386"/>
      <c r="O722" s="386"/>
      <c r="P722" s="386"/>
      <c r="Q722" s="386"/>
    </row>
    <row r="723" spans="1:17" ht="30" customHeight="1" x14ac:dyDescent="0.2">
      <c r="A723" s="4464"/>
      <c r="B723" s="4487"/>
      <c r="C723" s="4540"/>
      <c r="D723" s="2706">
        <v>14000000</v>
      </c>
      <c r="E723" s="2715">
        <v>7.0000000000000007E-2</v>
      </c>
      <c r="F723" s="1857">
        <f t="shared" ref="F723:F727" si="84">D723*E723</f>
        <v>980000.00000000012</v>
      </c>
      <c r="G723" s="4922" t="s">
        <v>4286</v>
      </c>
      <c r="H723" s="4923"/>
      <c r="I723" s="4923"/>
      <c r="J723" s="4924"/>
      <c r="K723" s="4332"/>
      <c r="L723" s="2721"/>
      <c r="M723" s="386"/>
      <c r="N723" s="386"/>
      <c r="O723" s="386"/>
      <c r="P723" s="386"/>
      <c r="Q723" s="386"/>
    </row>
    <row r="724" spans="1:17" ht="30" customHeight="1" x14ac:dyDescent="0.2">
      <c r="A724" s="4464"/>
      <c r="B724" s="4487"/>
      <c r="C724" s="4540"/>
      <c r="D724" s="2706">
        <v>100000000</v>
      </c>
      <c r="E724" s="2715">
        <v>7.0000000000000007E-2</v>
      </c>
      <c r="F724" s="2703">
        <f t="shared" si="84"/>
        <v>7000000.0000000009</v>
      </c>
      <c r="G724" s="4922" t="s">
        <v>4715</v>
      </c>
      <c r="H724" s="4923"/>
      <c r="I724" s="4923"/>
      <c r="J724" s="4924"/>
      <c r="K724" s="4332"/>
      <c r="L724" s="2728" t="s">
        <v>4717</v>
      </c>
      <c r="M724" s="386"/>
      <c r="N724" s="386"/>
      <c r="O724" s="386"/>
      <c r="P724" s="386"/>
      <c r="Q724" s="386"/>
    </row>
    <row r="725" spans="1:17" ht="30" customHeight="1" x14ac:dyDescent="0.2">
      <c r="A725" s="4464"/>
      <c r="B725" s="4487"/>
      <c r="C725" s="4540"/>
      <c r="D725" s="2706">
        <v>145000000</v>
      </c>
      <c r="E725" s="2715">
        <v>7.0000000000000007E-2</v>
      </c>
      <c r="F725" s="2703">
        <f t="shared" si="84"/>
        <v>10150000.000000002</v>
      </c>
      <c r="G725" s="4922" t="s">
        <v>4800</v>
      </c>
      <c r="H725" s="4923"/>
      <c r="I725" s="4923"/>
      <c r="J725" s="4924"/>
      <c r="K725" s="4332"/>
      <c r="L725" s="1115"/>
      <c r="M725" s="386"/>
      <c r="N725" s="386"/>
      <c r="O725" s="386"/>
      <c r="P725" s="386"/>
      <c r="Q725" s="386"/>
    </row>
    <row r="726" spans="1:17" ht="30" customHeight="1" x14ac:dyDescent="0.2">
      <c r="A726" s="4464"/>
      <c r="B726" s="4487"/>
      <c r="C726" s="4540"/>
      <c r="D726" s="2706">
        <v>6000000</v>
      </c>
      <c r="E726" s="2715">
        <v>7.0000000000000007E-2</v>
      </c>
      <c r="F726" s="2703">
        <f t="shared" si="84"/>
        <v>420000.00000000006</v>
      </c>
      <c r="G726" s="4922" t="s">
        <v>4719</v>
      </c>
      <c r="H726" s="4923"/>
      <c r="I726" s="4923"/>
      <c r="J726" s="4924"/>
      <c r="K726" s="4332"/>
      <c r="L726" s="2728" t="s">
        <v>4720</v>
      </c>
      <c r="M726" s="386"/>
      <c r="N726" s="386"/>
      <c r="O726" s="386"/>
      <c r="P726" s="386"/>
      <c r="Q726" s="386"/>
    </row>
    <row r="727" spans="1:17" ht="30" customHeight="1" x14ac:dyDescent="0.2">
      <c r="A727" s="4464"/>
      <c r="B727" s="4487"/>
      <c r="C727" s="4540"/>
      <c r="D727" s="2706">
        <v>35000000</v>
      </c>
      <c r="E727" s="2715">
        <v>7.0000000000000007E-2</v>
      </c>
      <c r="F727" s="2703">
        <f t="shared" si="84"/>
        <v>2450000.0000000005</v>
      </c>
      <c r="G727" s="4922" t="s">
        <v>4801</v>
      </c>
      <c r="H727" s="4923"/>
      <c r="I727" s="4923"/>
      <c r="J727" s="4924"/>
      <c r="K727" s="4332"/>
      <c r="L727" s="1115"/>
      <c r="M727" s="386"/>
      <c r="N727" s="386"/>
      <c r="O727" s="386"/>
      <c r="P727" s="386"/>
      <c r="Q727" s="386"/>
    </row>
    <row r="728" spans="1:17" ht="30" customHeight="1" x14ac:dyDescent="0.2">
      <c r="A728" s="4464"/>
      <c r="B728" s="4487"/>
      <c r="C728" s="4540"/>
      <c r="D728" s="2706">
        <v>500000000</v>
      </c>
      <c r="E728" s="2708">
        <v>7.0000000000000007E-2</v>
      </c>
      <c r="F728" s="2723"/>
      <c r="G728" s="4959" t="s">
        <v>4716</v>
      </c>
      <c r="H728" s="4960"/>
      <c r="I728" s="4960"/>
      <c r="J728" s="4961"/>
      <c r="K728" s="4332"/>
      <c r="L728" s="2721"/>
      <c r="M728" s="386"/>
      <c r="N728" s="386"/>
      <c r="O728" s="386"/>
      <c r="P728" s="386"/>
      <c r="Q728" s="386"/>
    </row>
    <row r="729" spans="1:17" ht="30" customHeight="1" x14ac:dyDescent="0.2">
      <c r="A729" s="4464"/>
      <c r="B729" s="4487"/>
      <c r="C729" s="4540"/>
      <c r="D729" s="2724">
        <v>500000000</v>
      </c>
      <c r="E729" s="2725">
        <v>7.0000000000000007E-2</v>
      </c>
      <c r="F729" s="2724">
        <f>D729*E729</f>
        <v>35000000</v>
      </c>
      <c r="G729" s="4967" t="s">
        <v>4718</v>
      </c>
      <c r="H729" s="4968"/>
      <c r="I729" s="4968"/>
      <c r="J729" s="4969"/>
      <c r="K729" s="4332"/>
      <c r="L729" s="387"/>
      <c r="M729" s="386"/>
      <c r="N729" s="386"/>
      <c r="O729" s="386"/>
      <c r="P729" s="386"/>
      <c r="Q729" s="386"/>
    </row>
    <row r="730" spans="1:17" ht="30" customHeight="1" x14ac:dyDescent="0.2">
      <c r="A730" s="4459"/>
      <c r="B730" s="4474" t="s">
        <v>4701</v>
      </c>
      <c r="C730" s="4537" t="s">
        <v>371</v>
      </c>
      <c r="D730" s="4413">
        <v>400000000</v>
      </c>
      <c r="E730" s="4476">
        <v>7.0000000000000007E-2</v>
      </c>
      <c r="F730" s="4413">
        <f>D730*E730</f>
        <v>28000000.000000004</v>
      </c>
      <c r="G730" s="5019" t="s">
        <v>4704</v>
      </c>
      <c r="H730" s="5020"/>
      <c r="I730" s="5020"/>
      <c r="J730" s="5021"/>
      <c r="K730" s="2692"/>
      <c r="L730" s="2691" t="s">
        <v>4702</v>
      </c>
      <c r="M730" s="386"/>
      <c r="N730" s="386"/>
      <c r="O730" s="386"/>
      <c r="P730" s="386"/>
      <c r="Q730" s="386"/>
    </row>
    <row r="731" spans="1:17" ht="30" customHeight="1" x14ac:dyDescent="0.2">
      <c r="A731" s="4460"/>
      <c r="B731" s="4475"/>
      <c r="C731" s="4538"/>
      <c r="D731" s="4415"/>
      <c r="E731" s="4477"/>
      <c r="F731" s="4415"/>
      <c r="G731" s="4922" t="s">
        <v>4705</v>
      </c>
      <c r="H731" s="4923"/>
      <c r="I731" s="4923"/>
      <c r="J731" s="4924"/>
      <c r="K731" s="2692"/>
      <c r="L731" s="2691" t="s">
        <v>4703</v>
      </c>
      <c r="M731" s="386"/>
      <c r="N731" s="386"/>
      <c r="O731" s="386"/>
      <c r="P731" s="386"/>
      <c r="Q731" s="386"/>
    </row>
    <row r="732" spans="1:17" ht="30" customHeight="1" x14ac:dyDescent="0.2">
      <c r="A732" s="2105"/>
      <c r="B732" s="2106" t="s">
        <v>2702</v>
      </c>
      <c r="C732" s="2086" t="s">
        <v>262</v>
      </c>
      <c r="D732" s="2076">
        <v>30000000</v>
      </c>
      <c r="E732" s="2103">
        <v>0.05</v>
      </c>
      <c r="F732" s="2076">
        <f t="shared" ref="F732:F737" si="85">D732*E732</f>
        <v>1500000</v>
      </c>
      <c r="G732" s="2064">
        <v>1500000</v>
      </c>
      <c r="H732" s="2064" t="s">
        <v>4404</v>
      </c>
      <c r="I732" s="2064" t="s">
        <v>3536</v>
      </c>
      <c r="J732" s="2064">
        <f t="shared" si="82"/>
        <v>1500000</v>
      </c>
      <c r="K732" s="2101">
        <f t="shared" si="83"/>
        <v>0</v>
      </c>
      <c r="L732" s="2129"/>
      <c r="M732" s="386"/>
      <c r="N732" s="386"/>
      <c r="O732" s="386"/>
      <c r="P732" s="386"/>
      <c r="Q732" s="386"/>
    </row>
    <row r="733" spans="1:17" ht="30" customHeight="1" x14ac:dyDescent="0.2">
      <c r="A733" s="2105"/>
      <c r="B733" s="2106" t="s">
        <v>2727</v>
      </c>
      <c r="C733" s="2086" t="s">
        <v>392</v>
      </c>
      <c r="D733" s="2076">
        <v>140000000</v>
      </c>
      <c r="E733" s="2103">
        <v>7.0000000000000007E-2</v>
      </c>
      <c r="F733" s="2076">
        <f t="shared" si="85"/>
        <v>9800000.0000000019</v>
      </c>
      <c r="G733" s="2064">
        <v>9800000</v>
      </c>
      <c r="H733" s="2064" t="s">
        <v>1193</v>
      </c>
      <c r="I733" s="2064" t="s">
        <v>4382</v>
      </c>
      <c r="J733" s="2064">
        <f t="shared" si="82"/>
        <v>9800000</v>
      </c>
      <c r="K733" s="2101">
        <f t="shared" si="83"/>
        <v>0</v>
      </c>
      <c r="L733" s="2129" t="s">
        <v>3392</v>
      </c>
      <c r="M733" s="386"/>
      <c r="N733" s="386"/>
      <c r="O733" s="386"/>
      <c r="P733" s="386"/>
      <c r="Q733" s="386"/>
    </row>
    <row r="734" spans="1:17" ht="30" customHeight="1" x14ac:dyDescent="0.2">
      <c r="A734" s="2105"/>
      <c r="B734" s="2106" t="s">
        <v>2735</v>
      </c>
      <c r="C734" s="2086" t="s">
        <v>889</v>
      </c>
      <c r="D734" s="2076">
        <v>85000000</v>
      </c>
      <c r="E734" s="2103">
        <v>0.05</v>
      </c>
      <c r="F734" s="2076">
        <f t="shared" si="85"/>
        <v>4250000</v>
      </c>
      <c r="G734" s="2064">
        <v>4250000</v>
      </c>
      <c r="H734" s="2064" t="s">
        <v>4333</v>
      </c>
      <c r="I734" s="1030" t="s">
        <v>3529</v>
      </c>
      <c r="J734" s="2064">
        <f t="shared" si="82"/>
        <v>4250000</v>
      </c>
      <c r="K734" s="2101">
        <f t="shared" si="83"/>
        <v>0</v>
      </c>
      <c r="L734" s="2129"/>
      <c r="M734" s="386"/>
      <c r="N734" s="386"/>
      <c r="O734" s="386"/>
      <c r="P734" s="386"/>
      <c r="Q734" s="386"/>
    </row>
    <row r="735" spans="1:17" ht="30" customHeight="1" x14ac:dyDescent="0.2">
      <c r="A735" s="2105"/>
      <c r="B735" s="2106" t="s">
        <v>3534</v>
      </c>
      <c r="C735" s="2086" t="s">
        <v>372</v>
      </c>
      <c r="D735" s="2076">
        <v>50000000</v>
      </c>
      <c r="E735" s="2103">
        <v>0.05</v>
      </c>
      <c r="F735" s="2076">
        <f t="shared" si="85"/>
        <v>2500000</v>
      </c>
      <c r="G735" s="2064">
        <v>2500000</v>
      </c>
      <c r="H735" s="2064" t="s">
        <v>4451</v>
      </c>
      <c r="I735" s="2064" t="s">
        <v>4093</v>
      </c>
      <c r="J735" s="2064">
        <f t="shared" si="82"/>
        <v>2500000</v>
      </c>
      <c r="K735" s="2101">
        <f t="shared" si="83"/>
        <v>0</v>
      </c>
      <c r="L735" s="2129"/>
      <c r="M735" s="386"/>
      <c r="N735" s="386"/>
      <c r="O735" s="386"/>
      <c r="P735" s="386"/>
      <c r="Q735" s="386"/>
    </row>
    <row r="736" spans="1:17" ht="30" customHeight="1" x14ac:dyDescent="0.2">
      <c r="A736" s="2105"/>
      <c r="B736" s="2106" t="s">
        <v>2738</v>
      </c>
      <c r="C736" s="2086" t="s">
        <v>372</v>
      </c>
      <c r="D736" s="2076">
        <v>25000000</v>
      </c>
      <c r="E736" s="2103">
        <v>0.05</v>
      </c>
      <c r="F736" s="2076">
        <f t="shared" si="85"/>
        <v>1250000</v>
      </c>
      <c r="G736" s="2064">
        <v>1250000</v>
      </c>
      <c r="H736" s="2064" t="s">
        <v>4428</v>
      </c>
      <c r="I736" s="2064" t="s">
        <v>4018</v>
      </c>
      <c r="J736" s="2064">
        <f t="shared" si="82"/>
        <v>1250000</v>
      </c>
      <c r="K736" s="2101">
        <f t="shared" si="83"/>
        <v>0</v>
      </c>
      <c r="L736" s="2129"/>
      <c r="M736" s="386"/>
      <c r="N736" s="386"/>
      <c r="O736" s="386"/>
      <c r="P736" s="386"/>
      <c r="Q736" s="386"/>
    </row>
    <row r="737" spans="1:17" ht="30" customHeight="1" x14ac:dyDescent="0.2">
      <c r="A737" s="4459"/>
      <c r="B737" s="4457" t="s">
        <v>2767</v>
      </c>
      <c r="C737" s="4537"/>
      <c r="D737" s="4413">
        <v>300000000</v>
      </c>
      <c r="E737" s="4476">
        <v>5.5E-2</v>
      </c>
      <c r="F737" s="4413">
        <f t="shared" si="85"/>
        <v>16500000</v>
      </c>
      <c r="G737" s="4413">
        <v>16500000</v>
      </c>
      <c r="H737" s="4413" t="s">
        <v>4387</v>
      </c>
      <c r="I737" s="4413" t="s">
        <v>3477</v>
      </c>
      <c r="J737" s="4413">
        <f>G737+G738</f>
        <v>16500000</v>
      </c>
      <c r="K737" s="4603">
        <f t="shared" si="83"/>
        <v>0</v>
      </c>
      <c r="L737" s="4675" t="s">
        <v>2768</v>
      </c>
      <c r="M737" s="386"/>
      <c r="N737" s="386"/>
      <c r="O737" s="386"/>
      <c r="P737" s="386"/>
      <c r="Q737" s="386"/>
    </row>
    <row r="738" spans="1:17" ht="30" customHeight="1" x14ac:dyDescent="0.2">
      <c r="A738" s="4460"/>
      <c r="B738" s="4458"/>
      <c r="C738" s="4538"/>
      <c r="D738" s="4415"/>
      <c r="E738" s="4477"/>
      <c r="F738" s="4415"/>
      <c r="G738" s="4415"/>
      <c r="H738" s="4415"/>
      <c r="I738" s="4415"/>
      <c r="J738" s="4415"/>
      <c r="K738" s="4604"/>
      <c r="L738" s="4676"/>
      <c r="M738" s="386"/>
      <c r="N738" s="386"/>
      <c r="O738" s="386"/>
      <c r="P738" s="386"/>
      <c r="Q738" s="386"/>
    </row>
    <row r="739" spans="1:17" ht="30" customHeight="1" x14ac:dyDescent="0.2">
      <c r="A739" s="2105"/>
      <c r="B739" s="2106" t="s">
        <v>2799</v>
      </c>
      <c r="C739" s="2086"/>
      <c r="D739" s="2076">
        <v>85000000</v>
      </c>
      <c r="E739" s="2103"/>
      <c r="F739" s="2076"/>
      <c r="G739" s="2064"/>
      <c r="H739" s="2064"/>
      <c r="I739" s="2064"/>
      <c r="J739" s="2064"/>
      <c r="K739" s="2101"/>
      <c r="L739" s="2129" t="s">
        <v>2800</v>
      </c>
      <c r="M739" s="386"/>
      <c r="N739" s="386"/>
      <c r="O739" s="386"/>
      <c r="P739" s="386"/>
      <c r="Q739" s="386"/>
    </row>
    <row r="740" spans="1:17" ht="30" customHeight="1" x14ac:dyDescent="0.2">
      <c r="A740" s="2105"/>
      <c r="B740" s="2106" t="s">
        <v>2802</v>
      </c>
      <c r="C740" s="2086" t="s">
        <v>359</v>
      </c>
      <c r="D740" s="2076">
        <v>20000000</v>
      </c>
      <c r="E740" s="2103">
        <v>0.05</v>
      </c>
      <c r="F740" s="2076">
        <f>D740*E740</f>
        <v>1000000</v>
      </c>
      <c r="G740" s="2064">
        <v>1000000</v>
      </c>
      <c r="H740" s="2064" t="s">
        <v>4451</v>
      </c>
      <c r="I740" s="2064" t="s">
        <v>3556</v>
      </c>
      <c r="J740" s="2064">
        <f>G740</f>
        <v>1000000</v>
      </c>
      <c r="K740" s="2101">
        <f>F740-J740</f>
        <v>0</v>
      </c>
      <c r="L740" s="2129"/>
      <c r="M740" s="386"/>
      <c r="N740" s="386"/>
      <c r="O740" s="386"/>
      <c r="P740" s="386"/>
      <c r="Q740" s="386"/>
    </row>
    <row r="741" spans="1:17" ht="30" customHeight="1" x14ac:dyDescent="0.2">
      <c r="A741" s="2065"/>
      <c r="B741" s="2108" t="s">
        <v>2904</v>
      </c>
      <c r="C741" s="2107" t="s">
        <v>1081</v>
      </c>
      <c r="D741" s="2064">
        <v>40000000</v>
      </c>
      <c r="E741" s="2103">
        <v>0.04</v>
      </c>
      <c r="F741" s="2064">
        <f>D741*E741</f>
        <v>1600000</v>
      </c>
      <c r="G741" s="2064">
        <v>1600000</v>
      </c>
      <c r="H741" s="2064" t="s">
        <v>4312</v>
      </c>
      <c r="I741" s="2064" t="s">
        <v>4316</v>
      </c>
      <c r="J741" s="2064">
        <f>G741</f>
        <v>1600000</v>
      </c>
      <c r="K741" s="2101">
        <f>F741-J741</f>
        <v>0</v>
      </c>
      <c r="L741" s="2129" t="s">
        <v>3953</v>
      </c>
      <c r="M741" s="386"/>
      <c r="N741" s="386"/>
      <c r="O741" s="386"/>
      <c r="P741" s="386"/>
      <c r="Q741" s="386"/>
    </row>
    <row r="742" spans="1:17" ht="30" customHeight="1" x14ac:dyDescent="0.2">
      <c r="A742" s="2105"/>
      <c r="B742" s="2106" t="s">
        <v>2834</v>
      </c>
      <c r="C742" s="2086" t="s">
        <v>2849</v>
      </c>
      <c r="D742" s="2076">
        <v>20000000</v>
      </c>
      <c r="E742" s="2079">
        <v>0.05</v>
      </c>
      <c r="F742" s="2076">
        <f>D742*E742</f>
        <v>1000000</v>
      </c>
      <c r="G742" s="2064">
        <v>1000000</v>
      </c>
      <c r="H742" s="2064" t="s">
        <v>3865</v>
      </c>
      <c r="I742" s="2064" t="s">
        <v>4474</v>
      </c>
      <c r="J742" s="2064">
        <f>G742</f>
        <v>1000000</v>
      </c>
      <c r="K742" s="2101">
        <f>G742-J742</f>
        <v>0</v>
      </c>
      <c r="L742" s="2129" t="s">
        <v>2835</v>
      </c>
      <c r="M742" s="386"/>
      <c r="N742" s="386"/>
      <c r="O742" s="386"/>
      <c r="P742" s="386"/>
      <c r="Q742" s="386"/>
    </row>
    <row r="743" spans="1:17" ht="30" customHeight="1" x14ac:dyDescent="0.2">
      <c r="A743" s="4459"/>
      <c r="B743" s="1548" t="s">
        <v>2867</v>
      </c>
      <c r="C743" s="4695" t="s">
        <v>2898</v>
      </c>
      <c r="D743" s="4885">
        <v>70000000</v>
      </c>
      <c r="E743" s="4878">
        <v>0.05</v>
      </c>
      <c r="F743" s="4881">
        <f>D743*E743</f>
        <v>3500000</v>
      </c>
      <c r="G743" s="4322" t="s">
        <v>4523</v>
      </c>
      <c r="H743" s="4322"/>
      <c r="I743" s="4322"/>
      <c r="J743" s="4413"/>
      <c r="K743" s="4603">
        <f>(F743+F746+F747+1800000)-J743-12000000</f>
        <v>7300000</v>
      </c>
      <c r="L743" s="2117"/>
      <c r="M743" s="386"/>
      <c r="N743" s="386"/>
      <c r="O743" s="386"/>
      <c r="P743" s="386"/>
      <c r="Q743" s="386"/>
    </row>
    <row r="744" spans="1:17" ht="30" customHeight="1" x14ac:dyDescent="0.2">
      <c r="A744" s="4464"/>
      <c r="B744" s="1549"/>
      <c r="C744" s="4698"/>
      <c r="D744" s="4886"/>
      <c r="E744" s="4879"/>
      <c r="F744" s="4881"/>
      <c r="G744" s="4322"/>
      <c r="H744" s="4322"/>
      <c r="I744" s="4322"/>
      <c r="J744" s="4414"/>
      <c r="K744" s="4609"/>
      <c r="L744" s="2128" t="s">
        <v>2901</v>
      </c>
      <c r="M744" s="386"/>
      <c r="N744" s="386"/>
      <c r="O744" s="386"/>
      <c r="P744" s="386"/>
      <c r="Q744" s="386"/>
    </row>
    <row r="745" spans="1:17" ht="30" customHeight="1" x14ac:dyDescent="0.2">
      <c r="A745" s="4460"/>
      <c r="B745" s="1550"/>
      <c r="C745" s="4696"/>
      <c r="D745" s="4887"/>
      <c r="E745" s="4880"/>
      <c r="F745" s="4881"/>
      <c r="G745" s="4322"/>
      <c r="H745" s="4322"/>
      <c r="I745" s="4322"/>
      <c r="J745" s="4414"/>
      <c r="K745" s="4609"/>
      <c r="L745" s="2128" t="s">
        <v>2900</v>
      </c>
      <c r="M745" s="386"/>
      <c r="N745" s="386"/>
      <c r="O745" s="386"/>
      <c r="P745" s="386"/>
      <c r="Q745" s="386"/>
    </row>
    <row r="746" spans="1:17" ht="30" customHeight="1" x14ac:dyDescent="0.2">
      <c r="A746" s="4459"/>
      <c r="B746" s="4693" t="s">
        <v>2899</v>
      </c>
      <c r="C746" s="4695" t="s">
        <v>402</v>
      </c>
      <c r="D746" s="2139">
        <v>190000000</v>
      </c>
      <c r="E746" s="1217">
        <v>4.4999999999999998E-2</v>
      </c>
      <c r="F746" s="2139">
        <v>8600000</v>
      </c>
      <c r="G746" s="178"/>
      <c r="H746" s="178"/>
      <c r="I746" s="178"/>
      <c r="J746" s="4414"/>
      <c r="K746" s="4609"/>
      <c r="L746" s="2128"/>
      <c r="M746" s="386"/>
      <c r="N746" s="386"/>
      <c r="O746" s="386"/>
      <c r="P746" s="386"/>
      <c r="Q746" s="386"/>
    </row>
    <row r="747" spans="1:17" ht="30" customHeight="1" x14ac:dyDescent="0.2">
      <c r="A747" s="4460"/>
      <c r="B747" s="4694"/>
      <c r="C747" s="4696"/>
      <c r="D747" s="2139">
        <v>90000000</v>
      </c>
      <c r="E747" s="1217">
        <v>0.06</v>
      </c>
      <c r="F747" s="2139">
        <f>D747*E747</f>
        <v>5400000</v>
      </c>
      <c r="G747" s="7"/>
      <c r="H747" s="7"/>
      <c r="I747" s="7"/>
      <c r="J747" s="4415"/>
      <c r="K747" s="4604"/>
      <c r="L747" s="2128"/>
      <c r="M747" s="386"/>
      <c r="N747" s="386"/>
      <c r="O747" s="386"/>
      <c r="P747" s="386"/>
      <c r="Q747" s="386"/>
    </row>
    <row r="748" spans="1:17" ht="30" customHeight="1" x14ac:dyDescent="0.2">
      <c r="A748" s="2657"/>
      <c r="B748" s="2672" t="s">
        <v>2899</v>
      </c>
      <c r="C748" s="2673" t="s">
        <v>1718</v>
      </c>
      <c r="D748" s="2677">
        <v>400000000</v>
      </c>
      <c r="E748" s="1217">
        <v>7.0000000000000007E-2</v>
      </c>
      <c r="F748" s="2677">
        <f>D748*E748</f>
        <v>28000000.000000004</v>
      </c>
      <c r="G748" s="7"/>
      <c r="H748" s="7"/>
      <c r="I748" s="1967"/>
      <c r="J748" s="2658"/>
      <c r="K748" s="2664"/>
      <c r="L748" s="2674" t="s">
        <v>4696</v>
      </c>
      <c r="M748" s="386"/>
      <c r="N748" s="386"/>
      <c r="O748" s="386"/>
      <c r="P748" s="386"/>
      <c r="Q748" s="386"/>
    </row>
    <row r="749" spans="1:17" ht="30" customHeight="1" x14ac:dyDescent="0.2">
      <c r="A749" s="2657"/>
      <c r="B749" s="2672" t="s">
        <v>4694</v>
      </c>
      <c r="C749" s="2673" t="s">
        <v>2278</v>
      </c>
      <c r="D749" s="2677">
        <v>100000000</v>
      </c>
      <c r="E749" s="1217">
        <v>7.0000000000000007E-2</v>
      </c>
      <c r="F749" s="2677">
        <f>D749*E749</f>
        <v>7000000.0000000009</v>
      </c>
      <c r="G749" s="7"/>
      <c r="H749" s="7"/>
      <c r="I749" s="1967"/>
      <c r="J749" s="2658"/>
      <c r="K749" s="2664"/>
      <c r="L749" s="2674" t="s">
        <v>4695</v>
      </c>
      <c r="M749" s="386"/>
      <c r="N749" s="386"/>
      <c r="O749" s="386"/>
      <c r="P749" s="386"/>
      <c r="Q749" s="386"/>
    </row>
    <row r="750" spans="1:17" ht="30" customHeight="1" x14ac:dyDescent="0.2">
      <c r="A750" s="2105"/>
      <c r="B750" s="2124" t="s">
        <v>2206</v>
      </c>
      <c r="C750" s="2125" t="s">
        <v>1306</v>
      </c>
      <c r="D750" s="2139">
        <v>150000000</v>
      </c>
      <c r="E750" s="1217">
        <v>0.05</v>
      </c>
      <c r="F750" s="2139">
        <f>D750*E750</f>
        <v>7500000</v>
      </c>
      <c r="G750" s="2076">
        <v>7500000</v>
      </c>
      <c r="H750" s="2076" t="s">
        <v>2125</v>
      </c>
      <c r="I750" s="2091" t="s">
        <v>4541</v>
      </c>
      <c r="J750" s="2076">
        <f>G750</f>
        <v>7500000</v>
      </c>
      <c r="K750" s="2101">
        <f>F750-J750</f>
        <v>0</v>
      </c>
      <c r="L750" s="2118"/>
      <c r="M750" s="386"/>
      <c r="N750" s="386"/>
      <c r="O750" s="386"/>
      <c r="P750" s="386"/>
      <c r="Q750" s="386"/>
    </row>
    <row r="751" spans="1:17" ht="30" customHeight="1" x14ac:dyDescent="0.2">
      <c r="A751" s="2105"/>
      <c r="B751" s="2106"/>
      <c r="C751" s="2086"/>
      <c r="D751" s="2076"/>
      <c r="E751" s="2103"/>
      <c r="F751" s="2076"/>
      <c r="G751" s="2076"/>
      <c r="H751" s="2076"/>
      <c r="I751" s="2091"/>
      <c r="J751" s="2076"/>
      <c r="K751" s="2101"/>
      <c r="L751" s="2129"/>
      <c r="M751" s="386"/>
      <c r="N751" s="386"/>
      <c r="O751" s="386"/>
      <c r="P751" s="386"/>
      <c r="Q751" s="386"/>
    </row>
    <row r="752" spans="1:17" ht="30" customHeight="1" x14ac:dyDescent="0.2">
      <c r="A752" s="2105"/>
      <c r="B752" s="19" t="s">
        <v>180</v>
      </c>
      <c r="C752" s="2086" t="s">
        <v>2849</v>
      </c>
      <c r="D752" s="2076">
        <v>100000000</v>
      </c>
      <c r="E752" s="2103"/>
      <c r="F752" s="2076"/>
      <c r="G752" s="2064">
        <v>4000000</v>
      </c>
      <c r="H752" s="2064" t="s">
        <v>4397</v>
      </c>
      <c r="I752" s="2064" t="s">
        <v>930</v>
      </c>
      <c r="J752" s="2064">
        <f>G752</f>
        <v>4000000</v>
      </c>
      <c r="K752" s="2101">
        <f t="shared" ref="K752:K759" si="86">F752-J752</f>
        <v>-4000000</v>
      </c>
      <c r="L752" s="2129"/>
      <c r="M752" s="386"/>
      <c r="N752" s="386"/>
      <c r="O752" s="386"/>
      <c r="P752" s="386"/>
      <c r="Q752" s="386"/>
    </row>
    <row r="753" spans="1:17" ht="30" customHeight="1" x14ac:dyDescent="0.2">
      <c r="A753" s="2666"/>
      <c r="B753" s="19" t="s">
        <v>4697</v>
      </c>
      <c r="C753" s="2661" t="s">
        <v>989</v>
      </c>
      <c r="D753" s="2658">
        <v>50000000</v>
      </c>
      <c r="E753" s="2665">
        <v>0.05</v>
      </c>
      <c r="F753" s="2658">
        <f>D753*E753</f>
        <v>2500000</v>
      </c>
      <c r="G753" s="2658">
        <v>2500000</v>
      </c>
      <c r="H753" s="2658" t="s">
        <v>4763</v>
      </c>
      <c r="I753" s="2662" t="s">
        <v>4766</v>
      </c>
      <c r="J753" s="2658">
        <f>G753</f>
        <v>2500000</v>
      </c>
      <c r="K753" s="2664">
        <f>F753-J753</f>
        <v>0</v>
      </c>
      <c r="L753" s="2702" t="s">
        <v>4698</v>
      </c>
      <c r="M753" s="386"/>
      <c r="N753" s="386"/>
      <c r="O753" s="386"/>
      <c r="P753" s="386"/>
      <c r="Q753" s="386"/>
    </row>
    <row r="754" spans="1:17" ht="30" customHeight="1" x14ac:dyDescent="0.2">
      <c r="A754" s="2105"/>
      <c r="B754" s="2106" t="s">
        <v>2873</v>
      </c>
      <c r="C754" s="2086" t="s">
        <v>1172</v>
      </c>
      <c r="D754" s="2076">
        <v>40000000</v>
      </c>
      <c r="E754" s="2103">
        <v>0.05</v>
      </c>
      <c r="F754" s="2076">
        <f>D754*E754</f>
        <v>2000000</v>
      </c>
      <c r="G754" s="2076">
        <v>2000000</v>
      </c>
      <c r="H754" s="2076" t="s">
        <v>1193</v>
      </c>
      <c r="I754" s="2091" t="s">
        <v>4080</v>
      </c>
      <c r="J754" s="2076">
        <f>G754</f>
        <v>2000000</v>
      </c>
      <c r="K754" s="2101">
        <f t="shared" si="86"/>
        <v>0</v>
      </c>
      <c r="L754" s="2129"/>
      <c r="M754" s="386"/>
      <c r="N754" s="386"/>
      <c r="O754" s="386"/>
      <c r="P754" s="386"/>
      <c r="Q754" s="386"/>
    </row>
    <row r="755" spans="1:17" ht="30" customHeight="1" x14ac:dyDescent="0.2">
      <c r="A755" s="2105"/>
      <c r="B755" s="2106" t="s">
        <v>2878</v>
      </c>
      <c r="C755" s="2086" t="s">
        <v>1718</v>
      </c>
      <c r="D755" s="2076">
        <v>25000000</v>
      </c>
      <c r="E755" s="2103">
        <v>0.04</v>
      </c>
      <c r="F755" s="2076">
        <f>D755*E755</f>
        <v>1000000</v>
      </c>
      <c r="G755" s="2076">
        <v>1000000</v>
      </c>
      <c r="H755" s="2076" t="s">
        <v>4428</v>
      </c>
      <c r="I755" s="2091" t="s">
        <v>4064</v>
      </c>
      <c r="J755" s="2076">
        <f>G755</f>
        <v>1000000</v>
      </c>
      <c r="K755" s="2101">
        <f t="shared" si="86"/>
        <v>0</v>
      </c>
      <c r="L755" s="2129"/>
      <c r="M755" s="386"/>
      <c r="N755" s="386"/>
      <c r="O755" s="386"/>
      <c r="P755" s="386"/>
      <c r="Q755" s="386"/>
    </row>
    <row r="756" spans="1:17" ht="30" customHeight="1" x14ac:dyDescent="0.2">
      <c r="A756" s="2105"/>
      <c r="B756" s="2106" t="s">
        <v>2932</v>
      </c>
      <c r="C756" s="2086"/>
      <c r="D756" s="2076">
        <v>50000000</v>
      </c>
      <c r="E756" s="2103">
        <v>0.05</v>
      </c>
      <c r="F756" s="2076">
        <f>D756*E756</f>
        <v>2500000</v>
      </c>
      <c r="G756" s="2076">
        <v>2500000</v>
      </c>
      <c r="H756" s="2076" t="s">
        <v>4404</v>
      </c>
      <c r="I756" s="2091" t="s">
        <v>4094</v>
      </c>
      <c r="J756" s="2076">
        <f t="shared" ref="J756:J759" si="87">G756</f>
        <v>2500000</v>
      </c>
      <c r="K756" s="2101">
        <f t="shared" si="86"/>
        <v>0</v>
      </c>
      <c r="L756" s="2129"/>
      <c r="M756" s="386"/>
      <c r="N756" s="386"/>
      <c r="O756" s="386"/>
      <c r="P756" s="386"/>
      <c r="Q756" s="386"/>
    </row>
    <row r="757" spans="1:17" ht="30" customHeight="1" x14ac:dyDescent="0.2">
      <c r="A757" s="2303"/>
      <c r="B757" s="19" t="s">
        <v>2938</v>
      </c>
      <c r="C757" s="2791" t="s">
        <v>1138</v>
      </c>
      <c r="D757" s="2785">
        <v>10000000</v>
      </c>
      <c r="E757" s="2790">
        <v>0.05</v>
      </c>
      <c r="F757" s="2785">
        <f>D757*E757</f>
        <v>500000</v>
      </c>
      <c r="G757" s="2785">
        <v>500000</v>
      </c>
      <c r="H757" s="2785" t="s">
        <v>1193</v>
      </c>
      <c r="I757" s="2785" t="s">
        <v>3430</v>
      </c>
      <c r="J757" s="2785">
        <f t="shared" si="87"/>
        <v>500000</v>
      </c>
      <c r="K757" s="2789">
        <f t="shared" si="86"/>
        <v>0</v>
      </c>
      <c r="L757" s="2129" t="s">
        <v>3953</v>
      </c>
      <c r="M757" s="386"/>
      <c r="N757" s="386"/>
      <c r="O757" s="386"/>
      <c r="P757" s="386"/>
      <c r="Q757" s="386"/>
    </row>
    <row r="758" spans="1:17" ht="30" customHeight="1" x14ac:dyDescent="0.2">
      <c r="A758" s="2105"/>
      <c r="B758" s="2305" t="s">
        <v>2943</v>
      </c>
      <c r="C758" s="2086"/>
      <c r="D758" s="2081"/>
      <c r="E758" s="2314"/>
      <c r="F758" s="2081"/>
      <c r="G758" s="2076"/>
      <c r="H758" s="2076"/>
      <c r="I758" s="2091"/>
      <c r="J758" s="2076">
        <f t="shared" si="87"/>
        <v>0</v>
      </c>
      <c r="K758" s="2102">
        <f t="shared" si="86"/>
        <v>0</v>
      </c>
      <c r="L758" s="2129"/>
      <c r="M758" s="386"/>
      <c r="N758" s="386"/>
      <c r="O758" s="386"/>
      <c r="P758" s="386"/>
      <c r="Q758" s="386"/>
    </row>
    <row r="759" spans="1:17" ht="30" customHeight="1" x14ac:dyDescent="0.2">
      <c r="A759" s="4459"/>
      <c r="B759" s="4457" t="s">
        <v>3037</v>
      </c>
      <c r="C759" s="4537" t="s">
        <v>1306</v>
      </c>
      <c r="D759" s="2076">
        <v>30000000</v>
      </c>
      <c r="E759" s="2103">
        <v>0.05</v>
      </c>
      <c r="F759" s="2076">
        <f t="shared" ref="F759:F764" si="88">D759*E759</f>
        <v>1500000</v>
      </c>
      <c r="G759" s="2064">
        <v>1500000</v>
      </c>
      <c r="H759" s="2064" t="s">
        <v>4598</v>
      </c>
      <c r="I759" s="2064" t="s">
        <v>3719</v>
      </c>
      <c r="J759" s="2064">
        <f t="shared" si="87"/>
        <v>1500000</v>
      </c>
      <c r="K759" s="2101">
        <f t="shared" si="86"/>
        <v>0</v>
      </c>
      <c r="L759" s="2129" t="s">
        <v>3393</v>
      </c>
      <c r="M759" s="386"/>
      <c r="N759" s="386"/>
      <c r="O759" s="386"/>
      <c r="P759" s="386"/>
      <c r="Q759" s="386"/>
    </row>
    <row r="760" spans="1:17" ht="30" customHeight="1" x14ac:dyDescent="0.2">
      <c r="A760" s="4464"/>
      <c r="B760" s="4488"/>
      <c r="C760" s="4540"/>
      <c r="D760" s="2406">
        <v>15000000</v>
      </c>
      <c r="E760" s="2409">
        <v>0.05</v>
      </c>
      <c r="F760" s="2406">
        <f t="shared" si="88"/>
        <v>750000</v>
      </c>
      <c r="G760" s="4303" t="s">
        <v>4494</v>
      </c>
      <c r="H760" s="4324"/>
      <c r="I760" s="4324"/>
      <c r="J760" s="4355"/>
      <c r="K760" s="2408"/>
      <c r="L760" s="2410"/>
      <c r="M760" s="386"/>
      <c r="N760" s="386"/>
      <c r="O760" s="386"/>
      <c r="P760" s="386"/>
      <c r="Q760" s="386"/>
    </row>
    <row r="761" spans="1:17" ht="30" customHeight="1" x14ac:dyDescent="0.2">
      <c r="A761" s="4460"/>
      <c r="B761" s="4458"/>
      <c r="C761" s="4538"/>
      <c r="D761" s="2406">
        <v>15000000</v>
      </c>
      <c r="E761" s="2409">
        <v>0.05</v>
      </c>
      <c r="F761" s="2406">
        <f t="shared" si="88"/>
        <v>750000</v>
      </c>
      <c r="G761" s="4303" t="s">
        <v>4495</v>
      </c>
      <c r="H761" s="4324"/>
      <c r="I761" s="4324"/>
      <c r="J761" s="4355"/>
      <c r="K761" s="2408"/>
      <c r="L761" s="2410" t="s">
        <v>4685</v>
      </c>
      <c r="M761" s="386"/>
      <c r="N761" s="386"/>
      <c r="O761" s="386"/>
      <c r="P761" s="386"/>
      <c r="Q761" s="386"/>
    </row>
    <row r="762" spans="1:17" ht="30" customHeight="1" x14ac:dyDescent="0.2">
      <c r="A762" s="2105"/>
      <c r="B762" s="2106" t="s">
        <v>3040</v>
      </c>
      <c r="C762" s="2086"/>
      <c r="D762" s="2076">
        <f>1000000000+19000000</f>
        <v>1019000000</v>
      </c>
      <c r="E762" s="2103">
        <v>7.0000000000000007E-2</v>
      </c>
      <c r="F762" s="2076">
        <f t="shared" si="88"/>
        <v>71330000</v>
      </c>
      <c r="G762" s="2076"/>
      <c r="H762" s="2076"/>
      <c r="I762" s="2091" t="s">
        <v>4090</v>
      </c>
      <c r="J762" s="2076">
        <f>G762</f>
        <v>0</v>
      </c>
      <c r="K762" s="2101">
        <v>0</v>
      </c>
      <c r="L762" s="2129" t="s">
        <v>4091</v>
      </c>
      <c r="M762" s="386"/>
      <c r="N762" s="386"/>
      <c r="O762" s="386"/>
      <c r="P762" s="386"/>
      <c r="Q762" s="386"/>
    </row>
    <row r="763" spans="1:17" ht="30" customHeight="1" x14ac:dyDescent="0.2">
      <c r="A763" s="2105"/>
      <c r="B763" s="2106" t="s">
        <v>3071</v>
      </c>
      <c r="C763" s="2086" t="s">
        <v>889</v>
      </c>
      <c r="D763" s="2076">
        <v>100000000</v>
      </c>
      <c r="E763" s="2103">
        <v>0.05</v>
      </c>
      <c r="F763" s="2076">
        <f t="shared" si="88"/>
        <v>5000000</v>
      </c>
      <c r="G763" s="2076">
        <v>5000000</v>
      </c>
      <c r="H763" s="2076" t="s">
        <v>4333</v>
      </c>
      <c r="I763" s="2091" t="s">
        <v>3967</v>
      </c>
      <c r="J763" s="2076">
        <f>G763</f>
        <v>5000000</v>
      </c>
      <c r="K763" s="2101">
        <f>F763-J763</f>
        <v>0</v>
      </c>
      <c r="L763" s="4623"/>
      <c r="M763" s="4624"/>
      <c r="N763" s="4624"/>
      <c r="O763" s="4624"/>
      <c r="P763" s="4625"/>
      <c r="Q763" s="386"/>
    </row>
    <row r="764" spans="1:17" ht="30" customHeight="1" x14ac:dyDescent="0.2">
      <c r="A764" s="4459"/>
      <c r="B764" s="4457" t="s">
        <v>3764</v>
      </c>
      <c r="C764" s="4537"/>
      <c r="D764" s="4413">
        <v>30000000</v>
      </c>
      <c r="E764" s="4476">
        <v>7.0000000000000007E-2</v>
      </c>
      <c r="F764" s="4413">
        <f t="shared" si="88"/>
        <v>2100000</v>
      </c>
      <c r="G764" s="4413">
        <v>2100000</v>
      </c>
      <c r="H764" s="4413" t="s">
        <v>4763</v>
      </c>
      <c r="I764" s="4413" t="s">
        <v>4143</v>
      </c>
      <c r="J764" s="4413">
        <f>G764</f>
        <v>2100000</v>
      </c>
      <c r="K764" s="4603">
        <f>F764-J764</f>
        <v>0</v>
      </c>
      <c r="L764" s="4675"/>
      <c r="M764" s="386"/>
      <c r="N764" s="386"/>
      <c r="O764" s="386"/>
      <c r="P764" s="386"/>
      <c r="Q764" s="386"/>
    </row>
    <row r="765" spans="1:17" ht="30" customHeight="1" x14ac:dyDescent="0.2">
      <c r="A765" s="4460"/>
      <c r="B765" s="4458"/>
      <c r="C765" s="4538"/>
      <c r="D765" s="4415"/>
      <c r="E765" s="4477"/>
      <c r="F765" s="4415"/>
      <c r="G765" s="4415"/>
      <c r="H765" s="4415"/>
      <c r="I765" s="4415"/>
      <c r="J765" s="4415"/>
      <c r="K765" s="4604"/>
      <c r="L765" s="4676"/>
      <c r="M765" s="386"/>
      <c r="N765" s="386"/>
      <c r="O765" s="386"/>
      <c r="P765" s="386"/>
      <c r="Q765" s="386"/>
    </row>
    <row r="766" spans="1:17" ht="30" customHeight="1" x14ac:dyDescent="0.2">
      <c r="A766" s="4459"/>
      <c r="B766" s="4457" t="s">
        <v>3955</v>
      </c>
      <c r="C766" s="4537"/>
      <c r="D766" s="2076">
        <v>200000000</v>
      </c>
      <c r="E766" s="2079">
        <v>0.05</v>
      </c>
      <c r="F766" s="2076">
        <f>D766*E766</f>
        <v>10000000</v>
      </c>
      <c r="G766" s="2064">
        <v>10000000</v>
      </c>
      <c r="H766" s="2064" t="s">
        <v>4763</v>
      </c>
      <c r="I766" s="2064" t="s">
        <v>4149</v>
      </c>
      <c r="J766" s="2064">
        <f>G766</f>
        <v>10000000</v>
      </c>
      <c r="K766" s="2101">
        <f>F766-J766</f>
        <v>0</v>
      </c>
      <c r="L766" s="2118"/>
      <c r="M766" s="386"/>
      <c r="N766" s="386"/>
      <c r="O766" s="386"/>
      <c r="P766" s="386"/>
      <c r="Q766" s="386"/>
    </row>
    <row r="767" spans="1:17" ht="30" customHeight="1" x14ac:dyDescent="0.2">
      <c r="A767" s="4460"/>
      <c r="B767" s="4458"/>
      <c r="C767" s="4538"/>
      <c r="D767" s="2764">
        <v>100000000</v>
      </c>
      <c r="E767" s="2765"/>
      <c r="F767" s="2764"/>
      <c r="G767" s="2763"/>
      <c r="H767" s="2763"/>
      <c r="I767" s="2763"/>
      <c r="J767" s="2763"/>
      <c r="K767" s="2769"/>
      <c r="L767" s="2770" t="s">
        <v>4765</v>
      </c>
      <c r="M767" s="386"/>
      <c r="N767" s="386"/>
      <c r="O767" s="386"/>
      <c r="P767" s="386"/>
      <c r="Q767" s="386"/>
    </row>
    <row r="768" spans="1:17" ht="30" customHeight="1" x14ac:dyDescent="0.2">
      <c r="A768" s="4459"/>
      <c r="B768" s="4457" t="s">
        <v>3159</v>
      </c>
      <c r="C768" s="4537" t="s">
        <v>989</v>
      </c>
      <c r="D768" s="2076">
        <v>50000000</v>
      </c>
      <c r="E768" s="2079">
        <v>0.05</v>
      </c>
      <c r="F768" s="2076">
        <f>D768*E768</f>
        <v>2500000</v>
      </c>
      <c r="G768" s="2064">
        <v>2500000</v>
      </c>
      <c r="H768" s="2064" t="s">
        <v>1193</v>
      </c>
      <c r="I768" s="2064" t="s">
        <v>4381</v>
      </c>
      <c r="J768" s="2064">
        <f>G768</f>
        <v>2500000</v>
      </c>
      <c r="K768" s="2101">
        <f>F768-J768</f>
        <v>0</v>
      </c>
      <c r="L768" s="2118" t="s">
        <v>4781</v>
      </c>
      <c r="M768" s="386"/>
      <c r="N768" s="386"/>
      <c r="O768" s="386"/>
      <c r="P768" s="386"/>
      <c r="Q768" s="386"/>
    </row>
    <row r="769" spans="1:17" ht="30" customHeight="1" x14ac:dyDescent="0.2">
      <c r="A769" s="4460"/>
      <c r="B769" s="4458"/>
      <c r="C769" s="4538"/>
      <c r="D769" s="2764">
        <v>50000000</v>
      </c>
      <c r="E769" s="2765">
        <v>0.05</v>
      </c>
      <c r="F769" s="2764">
        <f>D769*E769</f>
        <v>2500000</v>
      </c>
      <c r="G769" s="2763">
        <v>2500000</v>
      </c>
      <c r="H769" s="2763" t="s">
        <v>4780</v>
      </c>
      <c r="I769" s="2763" t="s">
        <v>4381</v>
      </c>
      <c r="J769" s="2763">
        <f>G769</f>
        <v>2500000</v>
      </c>
      <c r="K769" s="2769">
        <f>F769-J769</f>
        <v>0</v>
      </c>
      <c r="L769" s="2770" t="s">
        <v>4782</v>
      </c>
      <c r="M769" s="386"/>
      <c r="N769" s="386"/>
      <c r="O769" s="386"/>
      <c r="P769" s="386"/>
      <c r="Q769" s="386"/>
    </row>
    <row r="770" spans="1:17" ht="30" customHeight="1" x14ac:dyDescent="0.2">
      <c r="A770" s="146"/>
      <c r="B770" s="2089" t="s">
        <v>3164</v>
      </c>
      <c r="C770" s="2661" t="s">
        <v>3323</v>
      </c>
      <c r="D770" s="2076">
        <v>400000000</v>
      </c>
      <c r="E770" s="2103">
        <v>0.04</v>
      </c>
      <c r="F770" s="2076">
        <f>D770*E770</f>
        <v>16000000</v>
      </c>
      <c r="G770" s="2064"/>
      <c r="H770" s="2064"/>
      <c r="I770" s="2064"/>
      <c r="J770" s="2064"/>
      <c r="K770" s="2101"/>
      <c r="L770" s="2129"/>
      <c r="M770" s="386"/>
      <c r="N770" s="386"/>
      <c r="O770" s="386"/>
      <c r="P770" s="386"/>
      <c r="Q770" s="386"/>
    </row>
    <row r="771" spans="1:17" ht="30" customHeight="1" x14ac:dyDescent="0.2">
      <c r="A771" s="4459"/>
      <c r="B771" s="4474" t="s">
        <v>825</v>
      </c>
      <c r="C771" s="4599"/>
      <c r="D771" s="2266"/>
      <c r="E771" s="2201"/>
      <c r="F771" s="2265"/>
      <c r="G771" s="2201">
        <v>20000000</v>
      </c>
      <c r="H771" s="2201" t="s">
        <v>4333</v>
      </c>
      <c r="I771" s="2201" t="s">
        <v>855</v>
      </c>
      <c r="J771" s="2201">
        <f t="shared" ref="J771:J781" si="89">G771</f>
        <v>20000000</v>
      </c>
      <c r="K771" s="2198"/>
      <c r="L771" s="2129" t="s">
        <v>3867</v>
      </c>
      <c r="M771" s="386"/>
      <c r="N771" s="386"/>
      <c r="O771" s="386"/>
      <c r="P771" s="386"/>
      <c r="Q771" s="386"/>
    </row>
    <row r="772" spans="1:17" ht="30" customHeight="1" x14ac:dyDescent="0.2">
      <c r="A772" s="4460"/>
      <c r="B772" s="4475"/>
      <c r="C772" s="4607"/>
      <c r="D772" s="2574"/>
      <c r="E772" s="2571"/>
      <c r="F772" s="2572"/>
      <c r="G772" s="2571"/>
      <c r="H772" s="2571"/>
      <c r="I772" s="2571"/>
      <c r="J772" s="2571"/>
      <c r="K772" s="2575"/>
      <c r="L772" s="2577" t="s">
        <v>4630</v>
      </c>
      <c r="M772" s="386"/>
      <c r="N772" s="386"/>
      <c r="O772" s="386"/>
      <c r="P772" s="386"/>
      <c r="Q772" s="386"/>
    </row>
    <row r="773" spans="1:17" ht="30" customHeight="1" x14ac:dyDescent="0.2">
      <c r="A773" s="399"/>
      <c r="B773" s="2089" t="s">
        <v>3215</v>
      </c>
      <c r="C773" s="2086" t="s">
        <v>3216</v>
      </c>
      <c r="D773" s="2076">
        <v>120000000</v>
      </c>
      <c r="E773" s="2210">
        <v>0.04</v>
      </c>
      <c r="F773" s="2076">
        <f>D773*E773</f>
        <v>4800000</v>
      </c>
      <c r="G773" s="2213">
        <v>4800000</v>
      </c>
      <c r="H773" s="2213" t="s">
        <v>4598</v>
      </c>
      <c r="I773" s="2213" t="s">
        <v>1946</v>
      </c>
      <c r="J773" s="2213">
        <f t="shared" si="89"/>
        <v>4800000</v>
      </c>
      <c r="K773" s="2101">
        <f t="shared" ref="K773:K781" si="90">F773-J773</f>
        <v>0</v>
      </c>
      <c r="L773" s="2129"/>
      <c r="M773" s="386"/>
      <c r="N773" s="386"/>
      <c r="O773" s="386"/>
      <c r="P773" s="386"/>
      <c r="Q773" s="386"/>
    </row>
    <row r="774" spans="1:17" ht="30" customHeight="1" x14ac:dyDescent="0.2">
      <c r="A774" s="146"/>
      <c r="B774" s="2089" t="s">
        <v>3218</v>
      </c>
      <c r="C774" s="2086" t="s">
        <v>3219</v>
      </c>
      <c r="D774" s="2076">
        <v>100000000</v>
      </c>
      <c r="E774" s="2103">
        <v>0.05</v>
      </c>
      <c r="F774" s="2076">
        <f>D774*E774</f>
        <v>5000000</v>
      </c>
      <c r="G774" s="2064">
        <v>5000000</v>
      </c>
      <c r="H774" s="2064" t="s">
        <v>4312</v>
      </c>
      <c r="I774" s="2064" t="s">
        <v>3520</v>
      </c>
      <c r="J774" s="2064">
        <f t="shared" si="89"/>
        <v>5000000</v>
      </c>
      <c r="K774" s="2101">
        <f t="shared" si="90"/>
        <v>0</v>
      </c>
      <c r="L774" s="2129"/>
      <c r="M774" s="386"/>
      <c r="N774" s="386"/>
      <c r="O774" s="386"/>
      <c r="P774" s="386"/>
      <c r="Q774" s="386"/>
    </row>
    <row r="775" spans="1:17" ht="30" customHeight="1" x14ac:dyDescent="0.2">
      <c r="A775" s="146"/>
      <c r="B775" s="2089" t="s">
        <v>3221</v>
      </c>
      <c r="C775" s="2086" t="s">
        <v>1796</v>
      </c>
      <c r="D775" s="2076">
        <v>50000000</v>
      </c>
      <c r="E775" s="2103">
        <v>0.05</v>
      </c>
      <c r="F775" s="2076">
        <f>D775*E775</f>
        <v>2500000</v>
      </c>
      <c r="G775" s="2064">
        <v>2500000</v>
      </c>
      <c r="H775" s="2064" t="s">
        <v>4777</v>
      </c>
      <c r="I775" s="2064" t="s">
        <v>4779</v>
      </c>
      <c r="J775" s="2064">
        <f t="shared" si="89"/>
        <v>2500000</v>
      </c>
      <c r="K775" s="2101">
        <f t="shared" si="90"/>
        <v>0</v>
      </c>
      <c r="L775" s="2129"/>
      <c r="M775" s="386"/>
      <c r="N775" s="386"/>
      <c r="O775" s="386"/>
      <c r="P775" s="386"/>
      <c r="Q775" s="386"/>
    </row>
    <row r="776" spans="1:17" ht="30" customHeight="1" x14ac:dyDescent="0.2">
      <c r="A776" s="146"/>
      <c r="B776" s="2156" t="s">
        <v>3224</v>
      </c>
      <c r="C776" s="2168"/>
      <c r="D776" s="2168"/>
      <c r="E776" s="40"/>
      <c r="F776" s="2153"/>
      <c r="G776" s="2158">
        <v>5000000</v>
      </c>
      <c r="H776" s="2158" t="s">
        <v>4438</v>
      </c>
      <c r="I776" s="2158" t="s">
        <v>3226</v>
      </c>
      <c r="J776" s="2158">
        <f t="shared" si="89"/>
        <v>5000000</v>
      </c>
      <c r="K776" s="2160">
        <f t="shared" si="90"/>
        <v>-5000000</v>
      </c>
      <c r="L776" s="2179" t="s">
        <v>3230</v>
      </c>
      <c r="M776" s="386"/>
      <c r="N776" s="386"/>
      <c r="O776" s="386"/>
      <c r="P776" s="386"/>
      <c r="Q776" s="386"/>
    </row>
    <row r="777" spans="1:17" ht="30" customHeight="1" x14ac:dyDescent="0.2">
      <c r="A777" s="146"/>
      <c r="B777" s="2089" t="s">
        <v>3257</v>
      </c>
      <c r="C777" s="2086" t="s">
        <v>402</v>
      </c>
      <c r="D777" s="2076">
        <v>40000000</v>
      </c>
      <c r="E777" s="2103">
        <v>0.05</v>
      </c>
      <c r="F777" s="2076">
        <f>D777*E777</f>
        <v>2000000</v>
      </c>
      <c r="G777" s="2334">
        <v>2000000</v>
      </c>
      <c r="H777" s="2334" t="s">
        <v>4404</v>
      </c>
      <c r="I777" s="54" t="s">
        <v>4420</v>
      </c>
      <c r="J777" s="2334">
        <f t="shared" si="89"/>
        <v>2000000</v>
      </c>
      <c r="K777" s="2354">
        <f t="shared" si="90"/>
        <v>0</v>
      </c>
      <c r="L777" s="2129"/>
      <c r="M777" s="386"/>
      <c r="N777" s="386"/>
      <c r="O777" s="386"/>
      <c r="P777" s="386"/>
      <c r="Q777" s="386"/>
    </row>
    <row r="778" spans="1:17" ht="30" customHeight="1" x14ac:dyDescent="0.2">
      <c r="A778" s="146"/>
      <c r="B778" s="2089" t="s">
        <v>3293</v>
      </c>
      <c r="C778" s="2089"/>
      <c r="D778" s="2076">
        <v>15000000</v>
      </c>
      <c r="E778" s="2103">
        <v>0.05</v>
      </c>
      <c r="F778" s="2076">
        <f>D778*E778</f>
        <v>750000</v>
      </c>
      <c r="G778" s="2064">
        <v>750000</v>
      </c>
      <c r="H778" s="2064" t="s">
        <v>4777</v>
      </c>
      <c r="I778" s="2064" t="s">
        <v>3950</v>
      </c>
      <c r="J778" s="2064">
        <f t="shared" si="89"/>
        <v>750000</v>
      </c>
      <c r="K778" s="2101">
        <f t="shared" si="90"/>
        <v>0</v>
      </c>
      <c r="L778" s="2129" t="s">
        <v>3868</v>
      </c>
      <c r="M778" s="386"/>
      <c r="N778" s="386"/>
      <c r="O778" s="386"/>
      <c r="P778" s="386"/>
      <c r="Q778" s="386"/>
    </row>
    <row r="779" spans="1:17" ht="30" customHeight="1" x14ac:dyDescent="0.2">
      <c r="A779" s="2105"/>
      <c r="B779" s="3" t="s">
        <v>3296</v>
      </c>
      <c r="C779" s="2086" t="s">
        <v>942</v>
      </c>
      <c r="D779" s="2076">
        <v>150000000</v>
      </c>
      <c r="E779" s="2103">
        <v>0.05</v>
      </c>
      <c r="F779" s="2076">
        <f>D779*E779</f>
        <v>7500000</v>
      </c>
      <c r="G779" s="2064">
        <v>7500000</v>
      </c>
      <c r="H779" s="2064" t="s">
        <v>4312</v>
      </c>
      <c r="I779" s="2064" t="s">
        <v>3887</v>
      </c>
      <c r="J779" s="2064">
        <f t="shared" si="89"/>
        <v>7500000</v>
      </c>
      <c r="K779" s="2101">
        <f t="shared" si="90"/>
        <v>0</v>
      </c>
      <c r="L779" s="2129"/>
      <c r="M779" s="386"/>
      <c r="N779" s="386"/>
      <c r="O779" s="386"/>
      <c r="P779" s="386"/>
      <c r="Q779" s="386"/>
    </row>
    <row r="780" spans="1:17" ht="30" customHeight="1" x14ac:dyDescent="0.2">
      <c r="A780" s="2105"/>
      <c r="B780" s="3" t="s">
        <v>3308</v>
      </c>
      <c r="C780" s="2086" t="s">
        <v>3323</v>
      </c>
      <c r="D780" s="2076">
        <v>20000000</v>
      </c>
      <c r="E780" s="2103">
        <v>0.05</v>
      </c>
      <c r="F780" s="2076">
        <f>D780*E780</f>
        <v>1000000</v>
      </c>
      <c r="G780" s="2064">
        <v>1000000</v>
      </c>
      <c r="H780" s="2064" t="s">
        <v>4301</v>
      </c>
      <c r="I780" s="2064" t="s">
        <v>3901</v>
      </c>
      <c r="J780" s="2064">
        <f t="shared" si="89"/>
        <v>1000000</v>
      </c>
      <c r="K780" s="2101">
        <f t="shared" si="90"/>
        <v>0</v>
      </c>
      <c r="L780" s="2129" t="s">
        <v>3309</v>
      </c>
      <c r="M780" s="386"/>
      <c r="N780" s="386"/>
      <c r="O780" s="386"/>
      <c r="P780" s="386"/>
      <c r="Q780" s="386"/>
    </row>
    <row r="781" spans="1:17" ht="30" customHeight="1" x14ac:dyDescent="0.2">
      <c r="A781" s="2105"/>
      <c r="B781" s="3" t="s">
        <v>4307</v>
      </c>
      <c r="C781" s="2086" t="s">
        <v>889</v>
      </c>
      <c r="D781" s="2076">
        <v>200000000</v>
      </c>
      <c r="E781" s="2103">
        <v>0.05</v>
      </c>
      <c r="F781" s="2076">
        <f>D781*E781</f>
        <v>10000000</v>
      </c>
      <c r="G781" s="2064">
        <v>10000000</v>
      </c>
      <c r="H781" s="2064" t="s">
        <v>4301</v>
      </c>
      <c r="I781" s="2064" t="s">
        <v>4308</v>
      </c>
      <c r="J781" s="2064">
        <f t="shared" si="89"/>
        <v>10000000</v>
      </c>
      <c r="K781" s="2187">
        <f t="shared" si="90"/>
        <v>0</v>
      </c>
      <c r="L781" s="2129"/>
      <c r="M781" s="386"/>
      <c r="N781" s="386"/>
      <c r="O781" s="386"/>
      <c r="P781" s="386"/>
      <c r="Q781" s="386"/>
    </row>
    <row r="782" spans="1:17" ht="30" customHeight="1" x14ac:dyDescent="0.2">
      <c r="A782" s="2105"/>
      <c r="B782" s="3" t="s">
        <v>3332</v>
      </c>
      <c r="C782" s="2089"/>
      <c r="D782" s="2119"/>
      <c r="E782" s="40"/>
      <c r="F782" s="2081"/>
      <c r="G782" s="2064"/>
      <c r="H782" s="2064"/>
      <c r="I782" s="2064"/>
      <c r="J782" s="2064">
        <f t="shared" ref="J782:J789" si="91">G782</f>
        <v>0</v>
      </c>
      <c r="K782" s="2102"/>
      <c r="L782" s="2129"/>
      <c r="M782" s="386"/>
      <c r="N782" s="386"/>
      <c r="O782" s="386"/>
      <c r="P782" s="386"/>
      <c r="Q782" s="386"/>
    </row>
    <row r="783" spans="1:17" ht="30" customHeight="1" x14ac:dyDescent="0.2">
      <c r="A783" s="4459"/>
      <c r="B783" s="4474" t="s">
        <v>3395</v>
      </c>
      <c r="C783" s="2086" t="s">
        <v>889</v>
      </c>
      <c r="D783" s="2076">
        <v>1000000000</v>
      </c>
      <c r="E783" s="2103">
        <v>0.06</v>
      </c>
      <c r="F783" s="2076">
        <f>D783*E783</f>
        <v>60000000</v>
      </c>
      <c r="G783" s="2076"/>
      <c r="H783" s="2076"/>
      <c r="I783" s="2091" t="s">
        <v>3941</v>
      </c>
      <c r="J783" s="2076">
        <f t="shared" si="91"/>
        <v>0</v>
      </c>
      <c r="K783" s="2101">
        <v>0</v>
      </c>
      <c r="L783" s="2129" t="s">
        <v>3722</v>
      </c>
      <c r="M783" s="386"/>
      <c r="N783" s="386"/>
      <c r="O783" s="386"/>
      <c r="P783" s="386"/>
      <c r="Q783" s="386"/>
    </row>
    <row r="784" spans="1:17" ht="30" customHeight="1" x14ac:dyDescent="0.2">
      <c r="A784" s="4460"/>
      <c r="B784" s="4475"/>
      <c r="C784" s="2086" t="s">
        <v>1298</v>
      </c>
      <c r="D784" s="2076">
        <v>500000000</v>
      </c>
      <c r="E784" s="2103">
        <v>6.5000000000000002E-2</v>
      </c>
      <c r="F784" s="2076">
        <f>D784*E784</f>
        <v>32500000</v>
      </c>
      <c r="G784" s="2076">
        <v>32500000</v>
      </c>
      <c r="H784" s="2076" t="s">
        <v>2125</v>
      </c>
      <c r="I784" s="2091" t="s">
        <v>3941</v>
      </c>
      <c r="J784" s="2076">
        <f t="shared" si="91"/>
        <v>32500000</v>
      </c>
      <c r="K784" s="2101">
        <f>F784-J784</f>
        <v>0</v>
      </c>
      <c r="L784" s="2129"/>
      <c r="M784" s="386"/>
      <c r="N784" s="386"/>
      <c r="O784" s="386"/>
      <c r="P784" s="386"/>
      <c r="Q784" s="386"/>
    </row>
    <row r="785" spans="1:17" ht="30" customHeight="1" x14ac:dyDescent="0.2">
      <c r="A785" s="2105"/>
      <c r="B785" s="3" t="s">
        <v>3514</v>
      </c>
      <c r="C785" s="2086"/>
      <c r="D785" s="2318">
        <v>120000000</v>
      </c>
      <c r="E785" s="2350">
        <v>0.05</v>
      </c>
      <c r="F785" s="2318">
        <f>D785*E785</f>
        <v>6000000</v>
      </c>
      <c r="G785" s="2318">
        <v>6000000</v>
      </c>
      <c r="H785" s="2318" t="s">
        <v>4363</v>
      </c>
      <c r="I785" s="2319" t="s">
        <v>678</v>
      </c>
      <c r="J785" s="2318">
        <f t="shared" si="91"/>
        <v>6000000</v>
      </c>
      <c r="K785" s="2351">
        <f>F785-J785</f>
        <v>0</v>
      </c>
      <c r="L785" s="2129"/>
      <c r="M785" s="386"/>
      <c r="N785" s="386"/>
      <c r="O785" s="386"/>
      <c r="P785" s="386"/>
      <c r="Q785" s="386"/>
    </row>
    <row r="786" spans="1:17" ht="30" customHeight="1" x14ac:dyDescent="0.2">
      <c r="A786" s="2065"/>
      <c r="B786" s="2088" t="s">
        <v>3424</v>
      </c>
      <c r="C786" s="2094"/>
      <c r="D786" s="2082"/>
      <c r="E786" s="2083"/>
      <c r="F786" s="2082"/>
      <c r="G786" s="2080"/>
      <c r="H786" s="2080"/>
      <c r="I786" s="2104" t="s">
        <v>3425</v>
      </c>
      <c r="J786" s="2080">
        <f t="shared" si="91"/>
        <v>0</v>
      </c>
      <c r="K786" s="1114"/>
      <c r="L786" s="2117"/>
      <c r="M786" s="386"/>
      <c r="N786" s="386"/>
      <c r="O786" s="386"/>
      <c r="P786" s="386"/>
      <c r="Q786" s="386"/>
    </row>
    <row r="787" spans="1:17" s="1540" customFormat="1" ht="30" customHeight="1" x14ac:dyDescent="0.2">
      <c r="A787" s="2105"/>
      <c r="B787" s="3" t="s">
        <v>3455</v>
      </c>
      <c r="C787" s="2107" t="s">
        <v>3483</v>
      </c>
      <c r="D787" s="2064">
        <v>25000000</v>
      </c>
      <c r="E787" s="2103">
        <v>0.05</v>
      </c>
      <c r="F787" s="2064">
        <f t="shared" ref="F787:F794" si="92">D787*E787</f>
        <v>1250000</v>
      </c>
      <c r="G787" s="2064">
        <v>1250000</v>
      </c>
      <c r="H787" s="2064" t="s">
        <v>4404</v>
      </c>
      <c r="I787" s="2064" t="s">
        <v>3993</v>
      </c>
      <c r="J787" s="2064">
        <f t="shared" si="91"/>
        <v>1250000</v>
      </c>
      <c r="K787" s="2062">
        <f>F787-J787</f>
        <v>0</v>
      </c>
      <c r="L787" s="2129" t="s">
        <v>3456</v>
      </c>
      <c r="M787" s="387"/>
      <c r="N787" s="387"/>
      <c r="O787" s="387"/>
      <c r="P787" s="387"/>
      <c r="Q787" s="387"/>
    </row>
    <row r="788" spans="1:17" s="184" customFormat="1" ht="30" customHeight="1" x14ac:dyDescent="0.2">
      <c r="A788" s="2105"/>
      <c r="B788" s="3" t="s">
        <v>3459</v>
      </c>
      <c r="C788" s="2107"/>
      <c r="D788" s="2090">
        <v>600000000</v>
      </c>
      <c r="E788" s="40">
        <v>0.06</v>
      </c>
      <c r="F788" s="2090">
        <f t="shared" si="92"/>
        <v>36000000</v>
      </c>
      <c r="G788" s="2090"/>
      <c r="H788" s="2090"/>
      <c r="I788" s="2090" t="s">
        <v>1401</v>
      </c>
      <c r="J788" s="2090">
        <f t="shared" si="91"/>
        <v>0</v>
      </c>
      <c r="K788" s="1031">
        <f>F788-J788</f>
        <v>36000000</v>
      </c>
      <c r="L788" s="2129"/>
      <c r="M788" s="386"/>
      <c r="N788" s="386"/>
      <c r="O788" s="386"/>
      <c r="P788" s="386"/>
      <c r="Q788" s="386"/>
    </row>
    <row r="789" spans="1:17" s="184" customFormat="1" ht="30" customHeight="1" x14ac:dyDescent="0.2">
      <c r="A789" s="4459"/>
      <c r="B789" s="4962" t="s">
        <v>3460</v>
      </c>
      <c r="C789" s="4964"/>
      <c r="D789" s="2550">
        <v>140000000</v>
      </c>
      <c r="E789" s="2551">
        <v>0.04</v>
      </c>
      <c r="F789" s="2550">
        <f t="shared" si="92"/>
        <v>5600000</v>
      </c>
      <c r="G789" s="4951">
        <v>7600000</v>
      </c>
      <c r="H789" s="4951" t="s">
        <v>4404</v>
      </c>
      <c r="I789" s="4951" t="s">
        <v>4852</v>
      </c>
      <c r="J789" s="4951">
        <f t="shared" si="91"/>
        <v>7600000</v>
      </c>
      <c r="K789" s="4953">
        <f>(F789+F790)-J789</f>
        <v>1200000</v>
      </c>
      <c r="L789" s="2118" t="s">
        <v>4077</v>
      </c>
      <c r="M789" s="386"/>
      <c r="N789" s="386"/>
      <c r="O789" s="386"/>
      <c r="P789" s="386"/>
      <c r="Q789" s="386"/>
    </row>
    <row r="790" spans="1:17" s="184" customFormat="1" ht="30" customHeight="1" x14ac:dyDescent="0.2">
      <c r="A790" s="4460"/>
      <c r="B790" s="4963"/>
      <c r="C790" s="4965"/>
      <c r="D790" s="2550">
        <v>80000000</v>
      </c>
      <c r="E790" s="2551">
        <v>0.04</v>
      </c>
      <c r="F790" s="2550">
        <f t="shared" si="92"/>
        <v>3200000</v>
      </c>
      <c r="G790" s="4952"/>
      <c r="H790" s="4952"/>
      <c r="I790" s="4952"/>
      <c r="J790" s="4952"/>
      <c r="K790" s="4954"/>
      <c r="L790" s="2118" t="s">
        <v>4418</v>
      </c>
      <c r="M790" s="386"/>
      <c r="N790" s="386"/>
      <c r="O790" s="386"/>
      <c r="P790" s="386"/>
      <c r="Q790" s="386"/>
    </row>
    <row r="791" spans="1:17" s="184" customFormat="1" ht="30" customHeight="1" x14ac:dyDescent="0.2">
      <c r="A791" s="2105"/>
      <c r="B791" s="3" t="s">
        <v>3480</v>
      </c>
      <c r="C791" s="2107" t="s">
        <v>372</v>
      </c>
      <c r="D791" s="2064">
        <v>85000000</v>
      </c>
      <c r="E791" s="2103">
        <v>7.0000000000000007E-2</v>
      </c>
      <c r="F791" s="2064">
        <f t="shared" si="92"/>
        <v>5950000.0000000009</v>
      </c>
      <c r="G791" s="2064">
        <v>5950000</v>
      </c>
      <c r="H791" s="2064" t="s">
        <v>4438</v>
      </c>
      <c r="I791" s="2064" t="s">
        <v>4450</v>
      </c>
      <c r="J791" s="2064">
        <f>G791</f>
        <v>5950000</v>
      </c>
      <c r="K791" s="2062">
        <f>F791-J791</f>
        <v>0</v>
      </c>
      <c r="L791" s="2129"/>
      <c r="M791" s="386"/>
      <c r="N791" s="386"/>
      <c r="O791" s="386"/>
      <c r="P791" s="386"/>
      <c r="Q791" s="386"/>
    </row>
    <row r="792" spans="1:17" s="184" customFormat="1" ht="30" customHeight="1" x14ac:dyDescent="0.2">
      <c r="A792" s="2105"/>
      <c r="B792" s="3" t="s">
        <v>3482</v>
      </c>
      <c r="C792" s="2107" t="s">
        <v>3483</v>
      </c>
      <c r="D792" s="2064">
        <v>70000000</v>
      </c>
      <c r="E792" s="2103">
        <v>0.05</v>
      </c>
      <c r="F792" s="2064">
        <f t="shared" si="92"/>
        <v>3500000</v>
      </c>
      <c r="G792" s="2064">
        <v>3500000</v>
      </c>
      <c r="H792" s="2064" t="s">
        <v>4428</v>
      </c>
      <c r="I792" s="2064" t="s">
        <v>4430</v>
      </c>
      <c r="J792" s="2064">
        <f>G792</f>
        <v>3500000</v>
      </c>
      <c r="K792" s="2062">
        <f>F792-J792</f>
        <v>0</v>
      </c>
      <c r="L792" s="2129" t="s">
        <v>3484</v>
      </c>
      <c r="M792" s="386"/>
      <c r="N792" s="386"/>
      <c r="O792" s="386"/>
      <c r="P792" s="386"/>
      <c r="Q792" s="386"/>
    </row>
    <row r="793" spans="1:17" s="184" customFormat="1" ht="30" customHeight="1" x14ac:dyDescent="0.2">
      <c r="A793" s="2105"/>
      <c r="B793" s="3" t="s">
        <v>3980</v>
      </c>
      <c r="C793" s="2107" t="s">
        <v>889</v>
      </c>
      <c r="D793" s="2064">
        <v>20000000</v>
      </c>
      <c r="E793" s="2103">
        <v>0.05</v>
      </c>
      <c r="F793" s="2064">
        <f t="shared" si="92"/>
        <v>1000000</v>
      </c>
      <c r="G793" s="2064"/>
      <c r="H793" s="2064"/>
      <c r="I793" s="2064" t="s">
        <v>3981</v>
      </c>
      <c r="J793" s="2064">
        <f>G793</f>
        <v>0</v>
      </c>
      <c r="K793" s="2062">
        <f>F793-J793</f>
        <v>1000000</v>
      </c>
      <c r="L793" s="2129" t="s">
        <v>3982</v>
      </c>
      <c r="M793" s="386"/>
      <c r="N793" s="386"/>
      <c r="O793" s="386"/>
      <c r="P793" s="386"/>
      <c r="Q793" s="386"/>
    </row>
    <row r="794" spans="1:17" s="184" customFormat="1" ht="30" customHeight="1" x14ac:dyDescent="0.2">
      <c r="A794" s="2105"/>
      <c r="B794" s="3" t="s">
        <v>2952</v>
      </c>
      <c r="C794" s="2107" t="s">
        <v>402</v>
      </c>
      <c r="D794" s="2064">
        <v>150000000</v>
      </c>
      <c r="E794" s="2103">
        <v>0.06</v>
      </c>
      <c r="F794" s="2064">
        <f t="shared" si="92"/>
        <v>9000000</v>
      </c>
      <c r="G794" s="2064">
        <v>9000000</v>
      </c>
      <c r="H794" s="2064" t="s">
        <v>1193</v>
      </c>
      <c r="I794" s="2064" t="s">
        <v>3964</v>
      </c>
      <c r="J794" s="2064">
        <f>G794</f>
        <v>9000000</v>
      </c>
      <c r="K794" s="2064">
        <f>F794-J794</f>
        <v>0</v>
      </c>
      <c r="L794" s="2129"/>
      <c r="M794" s="386"/>
      <c r="N794" s="386"/>
      <c r="O794" s="386"/>
      <c r="P794" s="386"/>
      <c r="Q794" s="386"/>
    </row>
    <row r="795" spans="1:17" s="9" customFormat="1" ht="30" customHeight="1" x14ac:dyDescent="0.2">
      <c r="A795" s="2123"/>
      <c r="B795" s="2106" t="s">
        <v>153</v>
      </c>
      <c r="C795" s="2107"/>
      <c r="D795" s="2064">
        <v>10000000</v>
      </c>
      <c r="E795" s="2103">
        <v>0.05</v>
      </c>
      <c r="F795" s="2064">
        <f>D795*E795</f>
        <v>500000</v>
      </c>
      <c r="G795" s="2064"/>
      <c r="H795" s="2064"/>
      <c r="I795" s="2064"/>
      <c r="J795" s="2064"/>
      <c r="K795" s="2064"/>
      <c r="L795" s="2129" t="s">
        <v>3545</v>
      </c>
      <c r="M795" s="387"/>
      <c r="N795" s="387"/>
      <c r="O795" s="387"/>
      <c r="P795" s="387"/>
      <c r="Q795" s="387"/>
    </row>
    <row r="796" spans="1:17" s="1660" customFormat="1" ht="30" customHeight="1" x14ac:dyDescent="0.2">
      <c r="A796" s="2123"/>
      <c r="B796" s="2106" t="s">
        <v>3554</v>
      </c>
      <c r="C796" s="2086" t="s">
        <v>372</v>
      </c>
      <c r="D796" s="2064">
        <v>10000000</v>
      </c>
      <c r="E796" s="2103">
        <v>0.05</v>
      </c>
      <c r="F796" s="2064">
        <f>D796*E796</f>
        <v>500000</v>
      </c>
      <c r="G796" s="2076">
        <v>500000</v>
      </c>
      <c r="H796" s="2076" t="s">
        <v>4451</v>
      </c>
      <c r="I796" s="2091" t="s">
        <v>3555</v>
      </c>
      <c r="J796" s="2076">
        <f>G796</f>
        <v>500000</v>
      </c>
      <c r="K796" s="2076">
        <f>F796-J796</f>
        <v>0</v>
      </c>
      <c r="L796" s="2118"/>
      <c r="M796" s="386"/>
      <c r="N796" s="386"/>
      <c r="O796" s="386"/>
      <c r="P796" s="386"/>
      <c r="Q796" s="386"/>
    </row>
    <row r="797" spans="1:17" s="1660" customFormat="1" ht="30" customHeight="1" x14ac:dyDescent="0.2">
      <c r="A797" s="2364"/>
      <c r="B797" s="2370" t="s">
        <v>4444</v>
      </c>
      <c r="C797" s="2362" t="s">
        <v>4225</v>
      </c>
      <c r="D797" s="2357">
        <v>100000000</v>
      </c>
      <c r="E797" s="2977">
        <v>0.05</v>
      </c>
      <c r="F797" s="2357">
        <f>D797*E797</f>
        <v>5000000</v>
      </c>
      <c r="G797" s="2357">
        <v>5000000</v>
      </c>
      <c r="H797" s="2357" t="s">
        <v>4464</v>
      </c>
      <c r="I797" s="2357" t="s">
        <v>2788</v>
      </c>
      <c r="J797" s="2359">
        <f>G797</f>
        <v>5000000</v>
      </c>
      <c r="K797" s="2359">
        <f>F797-J797</f>
        <v>0</v>
      </c>
      <c r="L797" s="848"/>
      <c r="M797" s="386"/>
      <c r="N797" s="386"/>
      <c r="O797" s="386"/>
      <c r="P797" s="386"/>
      <c r="Q797" s="386"/>
    </row>
    <row r="798" spans="1:17" s="1660" customFormat="1" ht="30" customHeight="1" x14ac:dyDescent="0.2">
      <c r="A798" s="2123"/>
      <c r="B798" s="2106" t="s">
        <v>3566</v>
      </c>
      <c r="C798" s="2107"/>
      <c r="D798" s="2064">
        <v>6000000</v>
      </c>
      <c r="E798" s="2103">
        <f>F798/D798</f>
        <v>0.05</v>
      </c>
      <c r="F798" s="2064">
        <v>300000</v>
      </c>
      <c r="G798" s="2064"/>
      <c r="H798" s="2064"/>
      <c r="I798" s="2064" t="s">
        <v>3567</v>
      </c>
      <c r="J798" s="2064">
        <f>G798</f>
        <v>0</v>
      </c>
      <c r="K798" s="2064">
        <f>F798-J798</f>
        <v>300000</v>
      </c>
      <c r="L798" s="1661" t="s">
        <v>3568</v>
      </c>
      <c r="M798" s="386"/>
      <c r="N798" s="386"/>
      <c r="O798" s="386"/>
      <c r="P798" s="386"/>
      <c r="Q798" s="386"/>
    </row>
    <row r="799" spans="1:17" s="1660" customFormat="1" ht="30" customHeight="1" x14ac:dyDescent="0.2">
      <c r="A799" s="4599"/>
      <c r="B799" s="4457" t="s">
        <v>3590</v>
      </c>
      <c r="C799" s="4537" t="s">
        <v>2278</v>
      </c>
      <c r="D799" s="4413">
        <v>870000000</v>
      </c>
      <c r="E799" s="4476">
        <v>7.0999999999999994E-2</v>
      </c>
      <c r="F799" s="4413">
        <v>62000000</v>
      </c>
      <c r="G799" s="2064">
        <v>50000000</v>
      </c>
      <c r="H799" s="2452" t="s">
        <v>4477</v>
      </c>
      <c r="I799" s="2452" t="s">
        <v>3441</v>
      </c>
      <c r="J799" s="4413">
        <f>G799+G800</f>
        <v>62000000</v>
      </c>
      <c r="K799" s="4413">
        <f>F799-J799</f>
        <v>0</v>
      </c>
      <c r="L799" s="2118"/>
      <c r="M799" s="386"/>
      <c r="N799" s="386"/>
      <c r="O799" s="386"/>
      <c r="P799" s="386"/>
      <c r="Q799" s="386"/>
    </row>
    <row r="800" spans="1:17" s="1660" customFormat="1" ht="30" customHeight="1" x14ac:dyDescent="0.2">
      <c r="A800" s="4600"/>
      <c r="B800" s="4488"/>
      <c r="C800" s="4540"/>
      <c r="D800" s="4414"/>
      <c r="E800" s="4516"/>
      <c r="F800" s="4414"/>
      <c r="G800" s="2413">
        <v>12000000</v>
      </c>
      <c r="H800" s="2413" t="s">
        <v>4477</v>
      </c>
      <c r="I800" s="2411" t="s">
        <v>3441</v>
      </c>
      <c r="J800" s="4415"/>
      <c r="K800" s="4415"/>
      <c r="L800" s="2423"/>
      <c r="M800" s="386"/>
      <c r="N800" s="386"/>
      <c r="O800" s="386"/>
      <c r="P800" s="386"/>
      <c r="Q800" s="386"/>
    </row>
    <row r="801" spans="1:17" s="1660" customFormat="1" ht="30" customHeight="1" x14ac:dyDescent="0.2">
      <c r="A801" s="4600"/>
      <c r="B801" s="4488"/>
      <c r="C801" s="4540"/>
      <c r="D801" s="2337">
        <v>150000000</v>
      </c>
      <c r="E801" s="2335">
        <v>7.0999999999999994E-2</v>
      </c>
      <c r="F801" s="2334">
        <f>D801*E801</f>
        <v>10649999.999999998</v>
      </c>
      <c r="G801" s="2337"/>
      <c r="H801" s="2337"/>
      <c r="I801" s="2337"/>
      <c r="J801" s="2337"/>
      <c r="K801" s="2337"/>
      <c r="L801" s="2342" t="s">
        <v>4421</v>
      </c>
      <c r="M801" s="386"/>
      <c r="N801" s="386"/>
      <c r="O801" s="386"/>
      <c r="P801" s="386"/>
      <c r="Q801" s="386"/>
    </row>
    <row r="802" spans="1:17" s="1660" customFormat="1" ht="30" customHeight="1" x14ac:dyDescent="0.2">
      <c r="A802" s="4607"/>
      <c r="B802" s="4458"/>
      <c r="C802" s="4538"/>
      <c r="D802" s="2047">
        <f>D799+D801+1000000</f>
        <v>1021000000</v>
      </c>
      <c r="E802" s="2048">
        <v>7.0999999999999994E-2</v>
      </c>
      <c r="F802" s="1856">
        <v>72500000</v>
      </c>
      <c r="G802" s="2337"/>
      <c r="H802" s="2337"/>
      <c r="I802" s="2337"/>
      <c r="J802" s="2337"/>
      <c r="K802" s="2337"/>
      <c r="L802" s="2342" t="s">
        <v>4419</v>
      </c>
      <c r="M802" s="386"/>
      <c r="N802" s="386"/>
      <c r="O802" s="386"/>
      <c r="P802" s="386"/>
      <c r="Q802" s="386"/>
    </row>
    <row r="803" spans="1:17" s="1660" customFormat="1" ht="30" customHeight="1" x14ac:dyDescent="0.2">
      <c r="A803" s="4599"/>
      <c r="B803" s="4457" t="s">
        <v>3597</v>
      </c>
      <c r="C803" s="4537" t="s">
        <v>889</v>
      </c>
      <c r="D803" s="4413">
        <v>200000000</v>
      </c>
      <c r="E803" s="4476">
        <v>0.05</v>
      </c>
      <c r="F803" s="4413">
        <f>D803*E803</f>
        <v>10000000</v>
      </c>
      <c r="G803" s="4413">
        <v>10000000</v>
      </c>
      <c r="H803" s="4413" t="s">
        <v>4363</v>
      </c>
      <c r="I803" s="4413" t="s">
        <v>3598</v>
      </c>
      <c r="J803" s="4413">
        <f>G803</f>
        <v>10000000</v>
      </c>
      <c r="K803" s="4413">
        <f>F803-J803</f>
        <v>0</v>
      </c>
      <c r="L803" s="2118"/>
      <c r="M803" s="386"/>
      <c r="N803" s="386"/>
      <c r="O803" s="386"/>
      <c r="P803" s="386"/>
      <c r="Q803" s="386"/>
    </row>
    <row r="804" spans="1:17" s="1660" customFormat="1" ht="30" customHeight="1" x14ac:dyDescent="0.2">
      <c r="A804" s="4607"/>
      <c r="B804" s="4458"/>
      <c r="C804" s="4538"/>
      <c r="D804" s="4415"/>
      <c r="E804" s="4477"/>
      <c r="F804" s="4415"/>
      <c r="G804" s="4415"/>
      <c r="H804" s="4415"/>
      <c r="I804" s="4415"/>
      <c r="J804" s="4415"/>
      <c r="K804" s="4415"/>
      <c r="L804" s="2118"/>
      <c r="M804" s="386"/>
      <c r="N804" s="386"/>
      <c r="O804" s="386"/>
      <c r="P804" s="386"/>
      <c r="Q804" s="386"/>
    </row>
    <row r="805" spans="1:17" s="1660" customFormat="1" ht="30" customHeight="1" x14ac:dyDescent="0.2">
      <c r="A805" s="2123"/>
      <c r="B805" s="2106" t="s">
        <v>3612</v>
      </c>
      <c r="C805" s="2107" t="s">
        <v>2278</v>
      </c>
      <c r="D805" s="2064">
        <v>100000000</v>
      </c>
      <c r="E805" s="2103">
        <v>0.05</v>
      </c>
      <c r="F805" s="2064">
        <f t="shared" ref="F805:F811" si="93">D805*E805</f>
        <v>5000000</v>
      </c>
      <c r="G805" s="2064">
        <v>5000000</v>
      </c>
      <c r="H805" s="2064" t="s">
        <v>1017</v>
      </c>
      <c r="I805" s="2064" t="s">
        <v>4127</v>
      </c>
      <c r="J805" s="2064">
        <f>G805</f>
        <v>5000000</v>
      </c>
      <c r="K805" s="2064">
        <f>F805-J805</f>
        <v>0</v>
      </c>
      <c r="L805" s="2118"/>
      <c r="M805" s="386"/>
      <c r="N805" s="386"/>
      <c r="O805" s="386"/>
      <c r="P805" s="386"/>
      <c r="Q805" s="386"/>
    </row>
    <row r="806" spans="1:17" s="1660" customFormat="1" ht="30" customHeight="1" x14ac:dyDescent="0.2">
      <c r="A806" s="4599"/>
      <c r="B806" s="4457" t="s">
        <v>4057</v>
      </c>
      <c r="C806" s="4537" t="s">
        <v>2278</v>
      </c>
      <c r="D806" s="2064">
        <v>130000000</v>
      </c>
      <c r="E806" s="2103">
        <v>0.05</v>
      </c>
      <c r="F806" s="2064">
        <f t="shared" si="93"/>
        <v>6500000</v>
      </c>
      <c r="G806" s="2064">
        <v>6500000</v>
      </c>
      <c r="H806" s="2064" t="s">
        <v>2473</v>
      </c>
      <c r="I806" s="2064" t="s">
        <v>3776</v>
      </c>
      <c r="J806" s="2064">
        <f>G806</f>
        <v>6500000</v>
      </c>
      <c r="K806" s="2064">
        <f>F806-J806</f>
        <v>0</v>
      </c>
      <c r="L806" s="2118" t="s">
        <v>4522</v>
      </c>
      <c r="M806" s="386"/>
      <c r="N806" s="386"/>
      <c r="O806" s="386"/>
      <c r="P806" s="386"/>
      <c r="Q806" s="386"/>
    </row>
    <row r="807" spans="1:17" s="1660" customFormat="1" ht="30" customHeight="1" x14ac:dyDescent="0.2">
      <c r="A807" s="4600"/>
      <c r="B807" s="4488"/>
      <c r="C807" s="4540"/>
      <c r="D807" s="2429">
        <v>70000000</v>
      </c>
      <c r="E807" s="2434">
        <v>0.05</v>
      </c>
      <c r="F807" s="2429">
        <f t="shared" si="93"/>
        <v>3500000</v>
      </c>
      <c r="G807" s="4303" t="s">
        <v>4699</v>
      </c>
      <c r="H807" s="4324"/>
      <c r="I807" s="4324"/>
      <c r="J807" s="4324"/>
      <c r="K807" s="4355"/>
      <c r="L807" s="2433" t="s">
        <v>4521</v>
      </c>
      <c r="M807" s="386"/>
      <c r="N807" s="386"/>
      <c r="O807" s="386"/>
      <c r="P807" s="386"/>
      <c r="Q807" s="386"/>
    </row>
    <row r="808" spans="1:17" s="1660" customFormat="1" ht="30" customHeight="1" x14ac:dyDescent="0.2">
      <c r="A808" s="4607"/>
      <c r="B808" s="4458"/>
      <c r="C808" s="4538"/>
      <c r="D808" s="1856">
        <v>200000000</v>
      </c>
      <c r="E808" s="897">
        <v>0.05</v>
      </c>
      <c r="F808" s="1856">
        <f t="shared" si="93"/>
        <v>10000000</v>
      </c>
      <c r="G808" s="2429"/>
      <c r="H808" s="2429"/>
      <c r="I808" s="2429"/>
      <c r="J808" s="2431"/>
      <c r="K808" s="2431"/>
      <c r="L808" s="2433" t="s">
        <v>2685</v>
      </c>
      <c r="M808" s="386"/>
      <c r="N808" s="386"/>
      <c r="O808" s="386"/>
      <c r="P808" s="386"/>
      <c r="Q808" s="386"/>
    </row>
    <row r="809" spans="1:17" s="1660" customFormat="1" ht="30" customHeight="1" x14ac:dyDescent="0.2">
      <c r="A809" s="4599"/>
      <c r="B809" s="4457" t="s">
        <v>3674</v>
      </c>
      <c r="C809" s="4537"/>
      <c r="D809" s="2064">
        <v>1140000000</v>
      </c>
      <c r="E809" s="2103">
        <v>7.0000000000000007E-2</v>
      </c>
      <c r="F809" s="2064">
        <f t="shared" si="93"/>
        <v>79800000.000000015</v>
      </c>
      <c r="G809" s="2064"/>
      <c r="H809" s="2064"/>
      <c r="I809" s="2064" t="s">
        <v>1613</v>
      </c>
      <c r="J809" s="4413">
        <f>G809+G810</f>
        <v>0</v>
      </c>
      <c r="K809" s="4413">
        <f>F810-J809</f>
        <v>91000000.000000015</v>
      </c>
      <c r="L809" s="2118" t="s">
        <v>3919</v>
      </c>
      <c r="M809" s="386"/>
      <c r="N809" s="386"/>
      <c r="O809" s="386"/>
      <c r="P809" s="386"/>
      <c r="Q809" s="386"/>
    </row>
    <row r="810" spans="1:17" s="1660" customFormat="1" ht="30" customHeight="1" x14ac:dyDescent="0.2">
      <c r="A810" s="4607"/>
      <c r="B810" s="4458"/>
      <c r="C810" s="4538"/>
      <c r="D810" s="1856">
        <v>1300000000</v>
      </c>
      <c r="E810" s="897">
        <v>7.0000000000000007E-2</v>
      </c>
      <c r="F810" s="1856">
        <f t="shared" si="93"/>
        <v>91000000.000000015</v>
      </c>
      <c r="G810" s="2064"/>
      <c r="H810" s="2064"/>
      <c r="I810" s="2064" t="s">
        <v>1613</v>
      </c>
      <c r="J810" s="4415"/>
      <c r="K810" s="4415"/>
      <c r="L810" s="2118" t="s">
        <v>3709</v>
      </c>
      <c r="M810" s="386"/>
      <c r="N810" s="386"/>
      <c r="O810" s="386"/>
      <c r="P810" s="386"/>
      <c r="Q810" s="386"/>
    </row>
    <row r="811" spans="1:17" s="1660" customFormat="1" ht="30" customHeight="1" x14ac:dyDescent="0.2">
      <c r="A811" s="2123"/>
      <c r="B811" s="2106" t="s">
        <v>3707</v>
      </c>
      <c r="C811" s="2107" t="s">
        <v>3390</v>
      </c>
      <c r="D811" s="2064">
        <v>10000000</v>
      </c>
      <c r="E811" s="2103">
        <v>0.05</v>
      </c>
      <c r="F811" s="2064">
        <f t="shared" si="93"/>
        <v>500000</v>
      </c>
      <c r="G811" s="2064">
        <v>500000</v>
      </c>
      <c r="H811" s="2064" t="s">
        <v>2125</v>
      </c>
      <c r="I811" s="2064" t="s">
        <v>4156</v>
      </c>
      <c r="J811" s="2064">
        <f>G811</f>
        <v>500000</v>
      </c>
      <c r="K811" s="2064">
        <f>F811-J811</f>
        <v>0</v>
      </c>
      <c r="L811" s="2118"/>
      <c r="M811" s="386"/>
      <c r="N811" s="386"/>
      <c r="O811" s="386"/>
      <c r="P811" s="386"/>
      <c r="Q811" s="386"/>
    </row>
    <row r="812" spans="1:17" s="1660" customFormat="1" ht="30" customHeight="1" x14ac:dyDescent="0.2">
      <c r="A812" s="2123"/>
      <c r="B812" s="2106" t="s">
        <v>3710</v>
      </c>
      <c r="C812" s="2107" t="s">
        <v>1652</v>
      </c>
      <c r="D812" s="2064">
        <v>58000000</v>
      </c>
      <c r="E812" s="2103"/>
      <c r="F812" s="2064"/>
      <c r="G812" s="2064"/>
      <c r="H812" s="2064"/>
      <c r="I812" s="2064"/>
      <c r="J812" s="2064"/>
      <c r="K812" s="2064"/>
      <c r="L812" s="2118"/>
      <c r="M812" s="386"/>
      <c r="N812" s="386"/>
      <c r="O812" s="386"/>
      <c r="P812" s="386"/>
      <c r="Q812" s="386"/>
    </row>
    <row r="813" spans="1:17" s="1660" customFormat="1" ht="30" customHeight="1" x14ac:dyDescent="0.2">
      <c r="A813" s="2123"/>
      <c r="B813" s="2106" t="s">
        <v>3742</v>
      </c>
      <c r="C813" s="2107" t="s">
        <v>1300</v>
      </c>
      <c r="D813" s="2064">
        <v>100000000</v>
      </c>
      <c r="E813" s="2103">
        <v>0.05</v>
      </c>
      <c r="F813" s="2064">
        <f>D813*E813</f>
        <v>5000000</v>
      </c>
      <c r="G813" s="2064">
        <v>3870000</v>
      </c>
      <c r="H813" s="2064" t="s">
        <v>4477</v>
      </c>
      <c r="I813" s="2064" t="s">
        <v>4054</v>
      </c>
      <c r="J813" s="2064">
        <f>G813</f>
        <v>3870000</v>
      </c>
      <c r="K813" s="2064">
        <f>F813-J813</f>
        <v>1130000</v>
      </c>
      <c r="L813" s="2118" t="s">
        <v>4056</v>
      </c>
      <c r="M813" s="386"/>
      <c r="N813" s="386"/>
      <c r="O813" s="386"/>
      <c r="P813" s="386"/>
      <c r="Q813" s="386"/>
    </row>
    <row r="814" spans="1:17" s="1660" customFormat="1" ht="30" customHeight="1" x14ac:dyDescent="0.2">
      <c r="A814" s="2123"/>
      <c r="B814" s="2106" t="s">
        <v>3743</v>
      </c>
      <c r="C814" s="2377" t="s">
        <v>4449</v>
      </c>
      <c r="D814" s="2076">
        <v>96000000</v>
      </c>
      <c r="E814" s="2079">
        <v>0.05</v>
      </c>
      <c r="F814" s="2076">
        <v>5000000</v>
      </c>
      <c r="G814" s="2064">
        <v>3870000</v>
      </c>
      <c r="H814" s="2064" t="s">
        <v>4477</v>
      </c>
      <c r="I814" s="2064" t="s">
        <v>4055</v>
      </c>
      <c r="J814" s="2064">
        <f>G814</f>
        <v>3870000</v>
      </c>
      <c r="K814" s="2064">
        <f>F814-J814</f>
        <v>1130000</v>
      </c>
      <c r="L814" s="2118" t="s">
        <v>4056</v>
      </c>
      <c r="M814" s="386"/>
      <c r="N814" s="386"/>
      <c r="O814" s="386"/>
      <c r="P814" s="386"/>
      <c r="Q814" s="386"/>
    </row>
    <row r="815" spans="1:17" s="1660" customFormat="1" ht="30" customHeight="1" x14ac:dyDescent="0.2">
      <c r="A815" s="2123"/>
      <c r="B815" s="2106" t="s">
        <v>3869</v>
      </c>
      <c r="C815" s="2107" t="s">
        <v>3219</v>
      </c>
      <c r="D815" s="2076">
        <v>100000000</v>
      </c>
      <c r="E815" s="2079">
        <v>0.06</v>
      </c>
      <c r="F815" s="2076">
        <f>D815*E815</f>
        <v>6000000</v>
      </c>
      <c r="G815" s="2076"/>
      <c r="H815" s="2076"/>
      <c r="I815" s="2091"/>
      <c r="J815" s="2076"/>
      <c r="K815" s="2076"/>
      <c r="L815" s="2118" t="s">
        <v>3872</v>
      </c>
      <c r="M815" s="386"/>
      <c r="N815" s="386"/>
      <c r="O815" s="386"/>
      <c r="P815" s="386"/>
      <c r="Q815" s="386"/>
    </row>
    <row r="816" spans="1:17" s="1660" customFormat="1" ht="30" customHeight="1" x14ac:dyDescent="0.2">
      <c r="A816" s="2123"/>
      <c r="B816" s="2106" t="s">
        <v>3871</v>
      </c>
      <c r="C816" s="2107" t="s">
        <v>3390</v>
      </c>
      <c r="D816" s="2064">
        <v>50000000</v>
      </c>
      <c r="E816" s="2079">
        <v>0.05</v>
      </c>
      <c r="F816" s="2076">
        <f>D816*E816</f>
        <v>2500000</v>
      </c>
      <c r="G816" s="2076"/>
      <c r="H816" s="2076"/>
      <c r="I816" s="2091"/>
      <c r="J816" s="2076"/>
      <c r="K816" s="2076"/>
      <c r="L816" s="2118"/>
      <c r="M816" s="386"/>
      <c r="N816" s="386"/>
      <c r="O816" s="386"/>
      <c r="P816" s="386"/>
      <c r="Q816" s="386"/>
    </row>
    <row r="817" spans="1:17" s="1660" customFormat="1" ht="30" customHeight="1" x14ac:dyDescent="0.2">
      <c r="A817" s="2123"/>
      <c r="B817" s="2106" t="s">
        <v>3890</v>
      </c>
      <c r="C817" s="2107"/>
      <c r="D817" s="2090"/>
      <c r="E817" s="2090"/>
      <c r="F817" s="2090"/>
      <c r="G817" s="2076"/>
      <c r="H817" s="2076"/>
      <c r="I817" s="2091" t="s">
        <v>3891</v>
      </c>
      <c r="J817" s="2076">
        <f>G817</f>
        <v>0</v>
      </c>
      <c r="K817" s="2076">
        <f>F817-J817</f>
        <v>0</v>
      </c>
      <c r="L817" s="2118"/>
      <c r="M817" s="386"/>
      <c r="N817" s="386"/>
      <c r="O817" s="386"/>
      <c r="P817" s="386"/>
      <c r="Q817" s="386"/>
    </row>
    <row r="818" spans="1:17" s="1660" customFormat="1" ht="30" customHeight="1" x14ac:dyDescent="0.2">
      <c r="A818" s="4599"/>
      <c r="B818" s="4457" t="s">
        <v>3895</v>
      </c>
      <c r="C818" s="4537" t="s">
        <v>4107</v>
      </c>
      <c r="D818" s="2064">
        <v>120000000</v>
      </c>
      <c r="E818" s="2079">
        <v>0.05</v>
      </c>
      <c r="F818" s="2076">
        <f>D818*E818</f>
        <v>6000000</v>
      </c>
      <c r="G818" s="2181">
        <v>6000000</v>
      </c>
      <c r="H818" s="2181" t="s">
        <v>4312</v>
      </c>
      <c r="I818" s="2181" t="s">
        <v>4315</v>
      </c>
      <c r="J818" s="2181">
        <f>G818</f>
        <v>6000000</v>
      </c>
      <c r="K818" s="2076">
        <f>F818-J818</f>
        <v>0</v>
      </c>
      <c r="L818" s="2118" t="s">
        <v>3897</v>
      </c>
      <c r="M818" s="386"/>
      <c r="N818" s="386"/>
      <c r="O818" s="386"/>
      <c r="P818" s="386"/>
      <c r="Q818" s="386"/>
    </row>
    <row r="819" spans="1:17" s="1660" customFormat="1" ht="30" customHeight="1" x14ac:dyDescent="0.2">
      <c r="A819" s="4607"/>
      <c r="B819" s="4458"/>
      <c r="C819" s="4538"/>
      <c r="D819" s="2076">
        <v>30000000</v>
      </c>
      <c r="E819" s="2079">
        <v>7.0000000000000007E-2</v>
      </c>
      <c r="F819" s="2076">
        <f>D819*E819</f>
        <v>2100000</v>
      </c>
      <c r="G819" s="7"/>
      <c r="H819" s="7"/>
      <c r="I819" s="1967"/>
      <c r="J819" s="7"/>
      <c r="K819" s="2076"/>
      <c r="L819" s="2024" t="s">
        <v>4217</v>
      </c>
      <c r="M819" s="386"/>
      <c r="N819" s="386"/>
      <c r="O819" s="386"/>
      <c r="P819" s="386"/>
      <c r="Q819" s="386"/>
    </row>
    <row r="820" spans="1:17" s="1660" customFormat="1" ht="30" customHeight="1" x14ac:dyDescent="0.2">
      <c r="A820" s="2123"/>
      <c r="B820" s="110" t="s">
        <v>3931</v>
      </c>
      <c r="C820" s="2086"/>
      <c r="D820" s="2081"/>
      <c r="E820" s="2084"/>
      <c r="F820" s="2081"/>
      <c r="G820" s="2076"/>
      <c r="H820" s="2076"/>
      <c r="I820" s="2091" t="s">
        <v>3933</v>
      </c>
      <c r="J820" s="2076">
        <f>G820</f>
        <v>0</v>
      </c>
      <c r="K820" s="2076"/>
      <c r="L820" s="2118"/>
      <c r="M820" s="386"/>
      <c r="N820" s="386"/>
      <c r="O820" s="386"/>
      <c r="P820" s="386"/>
      <c r="Q820" s="386"/>
    </row>
    <row r="821" spans="1:17" s="1660" customFormat="1" ht="30" customHeight="1" x14ac:dyDescent="0.2">
      <c r="A821" s="2123"/>
      <c r="B821" s="110" t="s">
        <v>3935</v>
      </c>
      <c r="C821" s="2086"/>
      <c r="D821" s="2081"/>
      <c r="E821" s="2084"/>
      <c r="F821" s="2081"/>
      <c r="G821" s="2076"/>
      <c r="H821" s="2076"/>
      <c r="I821" s="2091" t="s">
        <v>3936</v>
      </c>
      <c r="J821" s="2076">
        <f>G821</f>
        <v>0</v>
      </c>
      <c r="K821" s="2076"/>
      <c r="L821" s="2118"/>
      <c r="M821" s="386"/>
      <c r="N821" s="386"/>
      <c r="O821" s="386"/>
      <c r="P821" s="386"/>
      <c r="Q821" s="386"/>
    </row>
    <row r="822" spans="1:17" s="1660" customFormat="1" ht="30" customHeight="1" x14ac:dyDescent="0.2">
      <c r="A822" s="2123"/>
      <c r="B822" s="2106" t="s">
        <v>3957</v>
      </c>
      <c r="C822" s="2086" t="s">
        <v>3390</v>
      </c>
      <c r="D822" s="2076">
        <v>50000000</v>
      </c>
      <c r="E822" s="2079">
        <v>0.05</v>
      </c>
      <c r="F822" s="2076">
        <f>D822*E822</f>
        <v>2500000</v>
      </c>
      <c r="G822" s="2076">
        <v>2500000</v>
      </c>
      <c r="H822" s="2076" t="s">
        <v>4598</v>
      </c>
      <c r="I822" s="2091" t="s">
        <v>4602</v>
      </c>
      <c r="J822" s="2076">
        <f>G822</f>
        <v>2500000</v>
      </c>
      <c r="K822" s="2076">
        <f>F822-J822</f>
        <v>0</v>
      </c>
      <c r="L822" s="2118"/>
      <c r="M822" s="386"/>
      <c r="N822" s="386"/>
      <c r="O822" s="386"/>
      <c r="P822" s="386"/>
      <c r="Q822" s="386"/>
    </row>
    <row r="823" spans="1:17" s="1660" customFormat="1" ht="30" customHeight="1" x14ac:dyDescent="0.2">
      <c r="A823" s="2123"/>
      <c r="B823" s="2106" t="s">
        <v>3962</v>
      </c>
      <c r="C823" s="2086"/>
      <c r="D823" s="2076">
        <f>25000000+10000000+10000000+250000+2500000+1500000+500000</f>
        <v>49750000</v>
      </c>
      <c r="E823" s="2079"/>
      <c r="F823" s="2076"/>
      <c r="G823" s="2076"/>
      <c r="H823" s="2076"/>
      <c r="I823" s="2091"/>
      <c r="J823" s="2076"/>
      <c r="K823" s="2076"/>
      <c r="L823" s="2118" t="s">
        <v>3963</v>
      </c>
      <c r="M823" s="386"/>
      <c r="N823" s="386"/>
      <c r="O823" s="386"/>
      <c r="P823" s="386"/>
      <c r="Q823" s="386"/>
    </row>
    <row r="824" spans="1:17" s="1660" customFormat="1" ht="30" customHeight="1" x14ac:dyDescent="0.2">
      <c r="A824" s="2123"/>
      <c r="B824" s="2106" t="s">
        <v>3965</v>
      </c>
      <c r="C824" s="2086" t="s">
        <v>1652</v>
      </c>
      <c r="D824" s="2076">
        <v>58000000</v>
      </c>
      <c r="E824" s="2079">
        <v>0.05</v>
      </c>
      <c r="F824" s="2076">
        <f>D824*E824</f>
        <v>2900000</v>
      </c>
      <c r="G824" s="2076">
        <v>2900000</v>
      </c>
      <c r="H824" s="2076" t="s">
        <v>4404</v>
      </c>
      <c r="I824" s="2091" t="s">
        <v>4409</v>
      </c>
      <c r="J824" s="2076">
        <f>G824</f>
        <v>2900000</v>
      </c>
      <c r="K824" s="2076">
        <f>F824-J824</f>
        <v>0</v>
      </c>
      <c r="L824" s="2118"/>
      <c r="M824" s="386"/>
      <c r="N824" s="386"/>
      <c r="O824" s="386"/>
      <c r="P824" s="386"/>
      <c r="Q824" s="386"/>
    </row>
    <row r="825" spans="1:17" s="1660" customFormat="1" ht="30" customHeight="1" x14ac:dyDescent="0.2">
      <c r="A825" s="2123"/>
      <c r="B825" s="2106" t="s">
        <v>896</v>
      </c>
      <c r="C825" s="2086"/>
      <c r="D825" s="2076">
        <v>130000000</v>
      </c>
      <c r="E825" s="2079">
        <v>0.05</v>
      </c>
      <c r="F825" s="2076">
        <f>D825*E825</f>
        <v>6500000</v>
      </c>
      <c r="G825" s="2076">
        <v>6500000</v>
      </c>
      <c r="H825" s="2076" t="s">
        <v>1193</v>
      </c>
      <c r="I825" s="2091" t="s">
        <v>3988</v>
      </c>
      <c r="J825" s="2076">
        <f>G825</f>
        <v>6500000</v>
      </c>
      <c r="K825" s="2076">
        <f>F825-J825</f>
        <v>0</v>
      </c>
      <c r="L825" s="2118"/>
      <c r="M825" s="386"/>
      <c r="N825" s="386"/>
      <c r="O825" s="386"/>
      <c r="P825" s="386"/>
      <c r="Q825" s="386"/>
    </row>
    <row r="826" spans="1:17" s="1660" customFormat="1" ht="30" customHeight="1" x14ac:dyDescent="0.2">
      <c r="A826" s="2123"/>
      <c r="B826" s="2106" t="s">
        <v>2305</v>
      </c>
      <c r="C826" s="2086"/>
      <c r="D826" s="2081"/>
      <c r="E826" s="2084"/>
      <c r="F826" s="2081"/>
      <c r="G826" s="2076"/>
      <c r="H826" s="2076"/>
      <c r="I826" s="2091" t="s">
        <v>3995</v>
      </c>
      <c r="J826" s="2076">
        <f>G826</f>
        <v>0</v>
      </c>
      <c r="K826" s="2076"/>
      <c r="L826" s="2118"/>
      <c r="M826" s="386"/>
      <c r="N826" s="386"/>
      <c r="O826" s="386"/>
      <c r="P826" s="386"/>
      <c r="Q826" s="386"/>
    </row>
    <row r="827" spans="1:17" s="1660" customFormat="1" ht="30" customHeight="1" x14ac:dyDescent="0.2">
      <c r="A827" s="2123"/>
      <c r="B827" s="2419" t="s">
        <v>4015</v>
      </c>
      <c r="C827" s="2416"/>
      <c r="D827" s="2414">
        <v>100000000</v>
      </c>
      <c r="E827" s="2415">
        <v>0.06</v>
      </c>
      <c r="F827" s="2414">
        <f>D827*E827</f>
        <v>6000000</v>
      </c>
      <c r="G827" s="233">
        <v>6000000</v>
      </c>
      <c r="H827" s="2411" t="s">
        <v>4477</v>
      </c>
      <c r="I827" s="2411" t="s">
        <v>4514</v>
      </c>
      <c r="J827" s="2411">
        <f>G827</f>
        <v>6000000</v>
      </c>
      <c r="K827" s="2414">
        <f>F827-J827</f>
        <v>0</v>
      </c>
      <c r="L827" s="2167" t="s">
        <v>4016</v>
      </c>
      <c r="M827" s="386"/>
      <c r="N827" s="386"/>
      <c r="O827" s="386"/>
      <c r="P827" s="386"/>
      <c r="Q827" s="386"/>
    </row>
    <row r="828" spans="1:17" s="1660" customFormat="1" ht="30" customHeight="1" x14ac:dyDescent="0.2">
      <c r="A828" s="2123"/>
      <c r="B828" s="2106" t="s">
        <v>4026</v>
      </c>
      <c r="C828" s="2086"/>
      <c r="D828" s="2076">
        <v>110000000</v>
      </c>
      <c r="E828" s="2079">
        <v>0.04</v>
      </c>
      <c r="F828" s="2076">
        <f>D828*E828</f>
        <v>4400000</v>
      </c>
      <c r="G828" s="2076">
        <v>4400000</v>
      </c>
      <c r="H828" s="2076" t="s">
        <v>4404</v>
      </c>
      <c r="I828" s="2091" t="s">
        <v>3469</v>
      </c>
      <c r="J828" s="2076">
        <f>G828</f>
        <v>4400000</v>
      </c>
      <c r="K828" s="2076">
        <f>F828-J828</f>
        <v>0</v>
      </c>
      <c r="L828" s="2118" t="s">
        <v>4027</v>
      </c>
      <c r="M828" s="386"/>
      <c r="N828" s="386"/>
      <c r="O828" s="386"/>
      <c r="P828" s="386"/>
      <c r="Q828" s="386"/>
    </row>
    <row r="829" spans="1:17" s="1660" customFormat="1" ht="30" customHeight="1" x14ac:dyDescent="0.2">
      <c r="A829" s="2123"/>
      <c r="B829" s="2106" t="s">
        <v>1455</v>
      </c>
      <c r="C829" s="2086"/>
      <c r="D829" s="2076">
        <v>50000000</v>
      </c>
      <c r="E829" s="2079">
        <v>0.05</v>
      </c>
      <c r="F829" s="2076">
        <f>D829*E829</f>
        <v>2500000</v>
      </c>
      <c r="G829" s="233"/>
      <c r="H829" s="233"/>
      <c r="I829" s="233"/>
      <c r="J829" s="233"/>
      <c r="K829" s="2076"/>
      <c r="L829" s="2118" t="s">
        <v>4034</v>
      </c>
      <c r="M829" s="386"/>
      <c r="N829" s="386"/>
      <c r="O829" s="386"/>
      <c r="P829" s="386"/>
      <c r="Q829" s="386"/>
    </row>
    <row r="830" spans="1:17" s="1660" customFormat="1" ht="30" customHeight="1" x14ac:dyDescent="0.2">
      <c r="A830" s="2157"/>
      <c r="B830" s="2164" t="s">
        <v>4039</v>
      </c>
      <c r="C830" s="2155"/>
      <c r="D830" s="2152">
        <v>21000000</v>
      </c>
      <c r="E830" s="2766"/>
      <c r="F830" s="2152"/>
      <c r="G830" s="2152"/>
      <c r="H830" s="2152"/>
      <c r="I830" s="2152"/>
      <c r="J830" s="2152"/>
      <c r="K830" s="2154"/>
      <c r="L830" s="2025" t="s">
        <v>4221</v>
      </c>
      <c r="M830" s="386"/>
      <c r="N830" s="386"/>
      <c r="O830" s="386"/>
      <c r="P830" s="386"/>
      <c r="Q830" s="386"/>
    </row>
    <row r="831" spans="1:17" s="1660" customFormat="1" ht="30" customHeight="1" x14ac:dyDescent="0.2">
      <c r="A831" s="4599"/>
      <c r="B831" s="4457" t="s">
        <v>4048</v>
      </c>
      <c r="C831" s="2586" t="s">
        <v>2644</v>
      </c>
      <c r="D831" s="2143">
        <v>47000000</v>
      </c>
      <c r="E831" s="2581">
        <v>0.05</v>
      </c>
      <c r="F831" s="2143">
        <f>D831*E831</f>
        <v>2350000</v>
      </c>
      <c r="G831" s="2143">
        <v>2350000</v>
      </c>
      <c r="H831" s="2143" t="s">
        <v>4363</v>
      </c>
      <c r="I831" s="2143" t="s">
        <v>4049</v>
      </c>
      <c r="J831" s="2143">
        <f t="shared" ref="J831:J836" si="94">G831</f>
        <v>2350000</v>
      </c>
      <c r="K831" s="2143">
        <f>F831-J831</f>
        <v>0</v>
      </c>
      <c r="L831" s="2169"/>
      <c r="M831" s="386"/>
      <c r="N831" s="386"/>
      <c r="O831" s="386"/>
      <c r="P831" s="386"/>
      <c r="Q831" s="386"/>
    </row>
    <row r="832" spans="1:17" s="1660" customFormat="1" ht="30" customHeight="1" x14ac:dyDescent="0.2">
      <c r="A832" s="4607"/>
      <c r="B832" s="4458"/>
      <c r="C832" s="2582" t="s">
        <v>990</v>
      </c>
      <c r="D832" s="2583">
        <v>90000000</v>
      </c>
      <c r="E832" s="2581">
        <v>0.05</v>
      </c>
      <c r="F832" s="2584">
        <f>D832*E832</f>
        <v>4500000</v>
      </c>
      <c r="G832" s="2580">
        <v>4500000</v>
      </c>
      <c r="H832" s="2580" t="s">
        <v>4763</v>
      </c>
      <c r="I832" s="2583" t="s">
        <v>4768</v>
      </c>
      <c r="J832" s="2580">
        <f t="shared" si="94"/>
        <v>4500000</v>
      </c>
      <c r="K832" s="2580">
        <f>F832-J832</f>
        <v>0</v>
      </c>
      <c r="L832" s="2587"/>
      <c r="M832" s="386"/>
      <c r="N832" s="386"/>
      <c r="O832" s="386"/>
      <c r="P832" s="386"/>
      <c r="Q832" s="386"/>
    </row>
    <row r="833" spans="1:17" s="1660" customFormat="1" ht="30" customHeight="1" x14ac:dyDescent="0.2">
      <c r="A833" s="2123"/>
      <c r="B833" s="2146" t="s">
        <v>4081</v>
      </c>
      <c r="C833" s="2086" t="s">
        <v>1652</v>
      </c>
      <c r="D833" s="2091">
        <v>100000000</v>
      </c>
      <c r="E833" s="2149">
        <v>0.05</v>
      </c>
      <c r="F833" s="2092">
        <f>D833*E833</f>
        <v>5000000</v>
      </c>
      <c r="G833" s="2076"/>
      <c r="H833" s="2076"/>
      <c r="I833" s="2091" t="s">
        <v>4082</v>
      </c>
      <c r="J833" s="2076">
        <f t="shared" si="94"/>
        <v>0</v>
      </c>
      <c r="K833" s="2076">
        <f>F833-J833</f>
        <v>5000000</v>
      </c>
      <c r="L833" s="2118"/>
      <c r="M833" s="386"/>
      <c r="N833" s="386"/>
      <c r="O833" s="386"/>
      <c r="P833" s="386"/>
      <c r="Q833" s="386"/>
    </row>
    <row r="834" spans="1:17" s="1660" customFormat="1" ht="30" customHeight="1" x14ac:dyDescent="0.2">
      <c r="A834" s="2123"/>
      <c r="B834" s="2106" t="s">
        <v>4085</v>
      </c>
      <c r="C834" s="2086"/>
      <c r="D834" s="453"/>
      <c r="E834" s="2084"/>
      <c r="F834" s="598"/>
      <c r="G834" s="2076"/>
      <c r="H834" s="2076"/>
      <c r="I834" s="938">
        <v>5423044873</v>
      </c>
      <c r="J834" s="2076">
        <f t="shared" si="94"/>
        <v>0</v>
      </c>
      <c r="K834" s="2081"/>
      <c r="L834" s="2118"/>
      <c r="M834" s="386"/>
      <c r="N834" s="386"/>
      <c r="O834" s="386"/>
      <c r="P834" s="386"/>
      <c r="Q834" s="386"/>
    </row>
    <row r="835" spans="1:17" s="1660" customFormat="1" ht="30" customHeight="1" x14ac:dyDescent="0.2">
      <c r="A835" s="4599"/>
      <c r="B835" s="4457" t="s">
        <v>4102</v>
      </c>
      <c r="C835" s="4537" t="s">
        <v>1796</v>
      </c>
      <c r="D835" s="2091">
        <v>11000000</v>
      </c>
      <c r="E835" s="2079">
        <v>0.05</v>
      </c>
      <c r="F835" s="2092">
        <f>D835*E835</f>
        <v>550000</v>
      </c>
      <c r="G835" s="2076">
        <v>550000</v>
      </c>
      <c r="H835" s="2076" t="s">
        <v>4404</v>
      </c>
      <c r="I835" s="2767" t="s">
        <v>4772</v>
      </c>
      <c r="J835" s="2076">
        <f t="shared" si="94"/>
        <v>550000</v>
      </c>
      <c r="K835" s="2076">
        <f>F835-J835</f>
        <v>0</v>
      </c>
      <c r="L835" s="2118" t="s">
        <v>4774</v>
      </c>
      <c r="M835" s="386"/>
      <c r="N835" s="386"/>
      <c r="O835" s="386"/>
      <c r="P835" s="386"/>
      <c r="Q835" s="386"/>
    </row>
    <row r="836" spans="1:17" s="1660" customFormat="1" ht="30" customHeight="1" x14ac:dyDescent="0.2">
      <c r="A836" s="4607"/>
      <c r="B836" s="4458"/>
      <c r="C836" s="4538"/>
      <c r="D836" s="2767">
        <v>11000000</v>
      </c>
      <c r="E836" s="2765">
        <v>0.05</v>
      </c>
      <c r="F836" s="2768">
        <f>D836*E836</f>
        <v>550000</v>
      </c>
      <c r="G836" s="2764">
        <v>550000</v>
      </c>
      <c r="H836" s="2764" t="s">
        <v>4771</v>
      </c>
      <c r="I836" s="2767" t="s">
        <v>4772</v>
      </c>
      <c r="J836" s="2764">
        <f t="shared" si="94"/>
        <v>550000</v>
      </c>
      <c r="K836" s="2764">
        <f>F836-J836</f>
        <v>0</v>
      </c>
      <c r="L836" s="2770" t="s">
        <v>4773</v>
      </c>
      <c r="M836" s="386"/>
      <c r="N836" s="386"/>
      <c r="O836" s="386"/>
      <c r="P836" s="386"/>
      <c r="Q836" s="386"/>
    </row>
    <row r="837" spans="1:17" s="1660" customFormat="1" ht="30" customHeight="1" x14ac:dyDescent="0.2">
      <c r="A837" s="2123"/>
      <c r="B837" s="2106" t="s">
        <v>4116</v>
      </c>
      <c r="C837" s="2086" t="s">
        <v>1172</v>
      </c>
      <c r="D837" s="2091">
        <v>50000000</v>
      </c>
      <c r="E837" s="2079">
        <v>0.05</v>
      </c>
      <c r="F837" s="2092">
        <f>D837*E837</f>
        <v>2500000</v>
      </c>
      <c r="G837" s="2076"/>
      <c r="H837" s="2076"/>
      <c r="I837" s="2091"/>
      <c r="J837" s="2076"/>
      <c r="K837" s="2076"/>
      <c r="L837" s="2118"/>
      <c r="M837" s="386"/>
      <c r="N837" s="386"/>
      <c r="O837" s="386"/>
      <c r="P837" s="386"/>
      <c r="Q837" s="386"/>
    </row>
    <row r="838" spans="1:17" s="1660" customFormat="1" ht="30" customHeight="1" x14ac:dyDescent="0.2">
      <c r="A838" s="2123"/>
      <c r="B838" s="2106" t="s">
        <v>4117</v>
      </c>
      <c r="C838" s="2086"/>
      <c r="D838" s="2091">
        <v>5000000</v>
      </c>
      <c r="E838" s="2079"/>
      <c r="F838" s="2092"/>
      <c r="G838" s="2076"/>
      <c r="H838" s="2076"/>
      <c r="I838" s="2091"/>
      <c r="J838" s="2076"/>
      <c r="K838" s="2076"/>
      <c r="L838" s="2118"/>
      <c r="M838" s="386"/>
      <c r="N838" s="386"/>
      <c r="O838" s="386"/>
      <c r="P838" s="386"/>
      <c r="Q838" s="386"/>
    </row>
    <row r="839" spans="1:17" s="1660" customFormat="1" ht="30" customHeight="1" x14ac:dyDescent="0.2">
      <c r="A839" s="2123"/>
      <c r="B839" s="2106" t="s">
        <v>4118</v>
      </c>
      <c r="C839" s="2086" t="s">
        <v>1172</v>
      </c>
      <c r="D839" s="2091">
        <v>70000000</v>
      </c>
      <c r="E839" s="2079">
        <v>0.06</v>
      </c>
      <c r="F839" s="2092">
        <f>D839*E839</f>
        <v>4200000</v>
      </c>
      <c r="G839" s="2076"/>
      <c r="H839" s="2076"/>
      <c r="I839" s="2091"/>
      <c r="J839" s="2076"/>
      <c r="K839" s="2076"/>
      <c r="L839" s="2118"/>
      <c r="M839" s="386"/>
      <c r="N839" s="386"/>
      <c r="O839" s="386"/>
      <c r="P839" s="386"/>
      <c r="Q839" s="386"/>
    </row>
    <row r="840" spans="1:17" s="1660" customFormat="1" ht="30" customHeight="1" x14ac:dyDescent="0.2">
      <c r="A840" s="2123"/>
      <c r="B840" s="2106" t="s">
        <v>4133</v>
      </c>
      <c r="C840" s="2086"/>
      <c r="D840" s="2091">
        <v>45000000</v>
      </c>
      <c r="E840" s="2079">
        <v>0.05</v>
      </c>
      <c r="F840" s="2092">
        <f>D840*E840</f>
        <v>2250000</v>
      </c>
      <c r="G840" s="233"/>
      <c r="H840" s="233"/>
      <c r="I840" s="233"/>
      <c r="J840" s="233"/>
      <c r="K840" s="2076"/>
      <c r="L840" s="2167" t="s">
        <v>4134</v>
      </c>
      <c r="M840" s="386"/>
      <c r="N840" s="386"/>
      <c r="O840" s="386"/>
      <c r="P840" s="386"/>
      <c r="Q840" s="386"/>
    </row>
    <row r="841" spans="1:17" s="1660" customFormat="1" ht="30" customHeight="1" x14ac:dyDescent="0.2">
      <c r="A841" s="2123"/>
      <c r="B841" s="2106" t="s">
        <v>4244</v>
      </c>
      <c r="C841" s="2086"/>
      <c r="D841" s="2091">
        <v>60000000</v>
      </c>
      <c r="E841" s="2079">
        <v>0.05</v>
      </c>
      <c r="F841" s="2092">
        <f>D841*E841</f>
        <v>3000000</v>
      </c>
      <c r="G841" s="2076">
        <v>3000000</v>
      </c>
      <c r="H841" s="2076" t="s">
        <v>3003</v>
      </c>
      <c r="I841" s="2091" t="s">
        <v>4557</v>
      </c>
      <c r="J841" s="2076">
        <f>G841</f>
        <v>3000000</v>
      </c>
      <c r="K841" s="2076">
        <f>F841-J841</f>
        <v>0</v>
      </c>
      <c r="L841" s="2118" t="s">
        <v>4135</v>
      </c>
      <c r="M841" s="386"/>
      <c r="N841" s="386"/>
      <c r="O841" s="386"/>
      <c r="P841" s="386"/>
      <c r="Q841" s="386"/>
    </row>
    <row r="842" spans="1:17" s="1660" customFormat="1" ht="30" customHeight="1" x14ac:dyDescent="0.2">
      <c r="A842" s="2123"/>
      <c r="B842" s="2106" t="s">
        <v>4245</v>
      </c>
      <c r="C842" s="2086"/>
      <c r="D842" s="2091">
        <v>10000000</v>
      </c>
      <c r="E842" s="2079"/>
      <c r="F842" s="2092"/>
      <c r="G842" s="2076"/>
      <c r="H842" s="2076"/>
      <c r="I842" s="2091"/>
      <c r="J842" s="2076"/>
      <c r="K842" s="2076"/>
      <c r="L842" s="2118" t="s">
        <v>4246</v>
      </c>
      <c r="M842" s="386"/>
      <c r="N842" s="386"/>
      <c r="O842" s="386"/>
      <c r="P842" s="386"/>
      <c r="Q842" s="386"/>
    </row>
    <row r="843" spans="1:17" s="1660" customFormat="1" ht="30" customHeight="1" x14ac:dyDescent="0.2">
      <c r="A843" s="2123"/>
      <c r="B843" s="2106" t="s">
        <v>4141</v>
      </c>
      <c r="C843" s="2086"/>
      <c r="D843" s="2091">
        <v>10000000</v>
      </c>
      <c r="E843" s="2079"/>
      <c r="F843" s="2092"/>
      <c r="G843" s="2076"/>
      <c r="H843" s="2076"/>
      <c r="I843" s="2091"/>
      <c r="J843" s="2076"/>
      <c r="K843" s="2076"/>
      <c r="L843" s="4469" t="s">
        <v>4142</v>
      </c>
      <c r="M843" s="4470"/>
      <c r="N843" s="4470"/>
      <c r="O843" s="4471"/>
      <c r="P843" s="386"/>
      <c r="Q843" s="386"/>
    </row>
    <row r="844" spans="1:17" s="1660" customFormat="1" ht="30" customHeight="1" x14ac:dyDescent="0.2">
      <c r="A844" s="2123"/>
      <c r="B844" s="2106" t="s">
        <v>4144</v>
      </c>
      <c r="C844" s="2086"/>
      <c r="D844" s="2091">
        <v>200000000</v>
      </c>
      <c r="E844" s="2079">
        <v>7.0000000000000007E-2</v>
      </c>
      <c r="F844" s="2092">
        <f>D844*E844</f>
        <v>14000000.000000002</v>
      </c>
      <c r="G844" s="2091"/>
      <c r="H844" s="2079"/>
      <c r="I844" s="2092"/>
      <c r="J844" s="2091"/>
      <c r="K844" s="2079"/>
      <c r="L844" s="4469" t="s">
        <v>4145</v>
      </c>
      <c r="M844" s="4470"/>
      <c r="N844" s="4470"/>
      <c r="O844" s="4471"/>
      <c r="P844" s="386"/>
      <c r="Q844" s="386"/>
    </row>
    <row r="845" spans="1:17" s="1660" customFormat="1" ht="30" customHeight="1" x14ac:dyDescent="0.2">
      <c r="A845" s="2123"/>
      <c r="B845" s="110" t="s">
        <v>4157</v>
      </c>
      <c r="C845" s="2086"/>
      <c r="D845" s="453"/>
      <c r="E845" s="2084"/>
      <c r="F845" s="598"/>
      <c r="G845" s="2076"/>
      <c r="H845" s="2076"/>
      <c r="I845" s="2091" t="s">
        <v>4158</v>
      </c>
      <c r="J845" s="2076">
        <f>G845</f>
        <v>0</v>
      </c>
      <c r="K845" s="2076"/>
      <c r="L845" s="2118"/>
      <c r="M845" s="2131"/>
      <c r="N845" s="2131"/>
      <c r="O845" s="2131"/>
      <c r="P845" s="386"/>
      <c r="Q845" s="386"/>
    </row>
    <row r="846" spans="1:17" s="1660" customFormat="1" ht="30" customHeight="1" x14ac:dyDescent="0.2">
      <c r="A846" s="2123"/>
      <c r="B846" s="110" t="s">
        <v>4159</v>
      </c>
      <c r="C846" s="2086"/>
      <c r="D846" s="453"/>
      <c r="E846" s="2084"/>
      <c r="F846" s="598"/>
      <c r="G846" s="2076"/>
      <c r="H846" s="2076"/>
      <c r="I846" s="2091" t="s">
        <v>4160</v>
      </c>
      <c r="J846" s="2076">
        <f>G846</f>
        <v>0</v>
      </c>
      <c r="K846" s="2076"/>
      <c r="L846" s="2118"/>
      <c r="M846" s="2131"/>
      <c r="N846" s="2131"/>
      <c r="O846" s="2131"/>
      <c r="P846" s="386"/>
      <c r="Q846" s="386"/>
    </row>
    <row r="847" spans="1:17" s="1660" customFormat="1" ht="30" customHeight="1" x14ac:dyDescent="0.2">
      <c r="A847" s="2123"/>
      <c r="B847" s="110" t="s">
        <v>4162</v>
      </c>
      <c r="C847" s="2086"/>
      <c r="D847" s="453"/>
      <c r="E847" s="2084"/>
      <c r="F847" s="598"/>
      <c r="G847" s="2076"/>
      <c r="H847" s="2076"/>
      <c r="I847" s="2091" t="s">
        <v>4163</v>
      </c>
      <c r="J847" s="2076">
        <f>G847</f>
        <v>0</v>
      </c>
      <c r="K847" s="2076"/>
      <c r="L847" s="2118"/>
      <c r="M847" s="2131"/>
      <c r="N847" s="2131"/>
      <c r="O847" s="2131"/>
      <c r="P847" s="386"/>
      <c r="Q847" s="386"/>
    </row>
    <row r="848" spans="1:17" s="1660" customFormat="1" ht="30" customHeight="1" x14ac:dyDescent="0.2">
      <c r="A848" s="4599"/>
      <c r="B848" s="4457" t="s">
        <v>4164</v>
      </c>
      <c r="C848" s="4537" t="s">
        <v>392</v>
      </c>
      <c r="D848" s="4413">
        <v>70000000</v>
      </c>
      <c r="E848" s="4476">
        <v>0.05</v>
      </c>
      <c r="F848" s="4413">
        <f>D848*E848</f>
        <v>3500000</v>
      </c>
      <c r="G848" s="4793" t="s">
        <v>4676</v>
      </c>
      <c r="H848" s="4794"/>
      <c r="I848" s="4794"/>
      <c r="J848" s="4795"/>
      <c r="K848" s="4322"/>
      <c r="L848" s="2120" t="s">
        <v>4210</v>
      </c>
      <c r="M848" s="2131"/>
      <c r="N848" s="2131"/>
      <c r="O848" s="2131"/>
      <c r="P848" s="386"/>
      <c r="Q848" s="386"/>
    </row>
    <row r="849" spans="1:17" s="1660" customFormat="1" ht="30" customHeight="1" x14ac:dyDescent="0.2">
      <c r="A849" s="4600"/>
      <c r="B849" s="4488"/>
      <c r="C849" s="4540"/>
      <c r="D849" s="4415"/>
      <c r="E849" s="4477"/>
      <c r="F849" s="4415"/>
      <c r="G849" s="4796"/>
      <c r="H849" s="4797"/>
      <c r="I849" s="4797"/>
      <c r="J849" s="4798"/>
      <c r="K849" s="4322"/>
      <c r="L849" s="2118" t="s">
        <v>4211</v>
      </c>
      <c r="M849" s="2131"/>
      <c r="N849" s="2131"/>
      <c r="O849" s="2131"/>
      <c r="P849" s="386"/>
      <c r="Q849" s="386"/>
    </row>
    <row r="850" spans="1:17" s="1660" customFormat="1" ht="30" customHeight="1" x14ac:dyDescent="0.2">
      <c r="A850" s="4607"/>
      <c r="B850" s="4488"/>
      <c r="C850" s="4540"/>
      <c r="D850" s="2080">
        <v>10000000</v>
      </c>
      <c r="E850" s="2078">
        <v>0.05</v>
      </c>
      <c r="F850" s="2080">
        <f>D850*E850</f>
        <v>500000</v>
      </c>
      <c r="G850" s="4799"/>
      <c r="H850" s="4800"/>
      <c r="I850" s="4800"/>
      <c r="J850" s="4801"/>
      <c r="K850" s="4322"/>
      <c r="L850" s="2128" t="s">
        <v>4272</v>
      </c>
      <c r="M850" s="2131"/>
      <c r="N850" s="2131"/>
      <c r="O850" s="2131"/>
      <c r="P850" s="386"/>
      <c r="Q850" s="386"/>
    </row>
    <row r="851" spans="1:17" s="1660" customFormat="1" ht="30" customHeight="1" x14ac:dyDescent="0.2">
      <c r="A851" s="2663"/>
      <c r="B851" s="4488"/>
      <c r="C851" s="4540"/>
      <c r="D851" s="2656">
        <v>84000000</v>
      </c>
      <c r="E851" s="2665">
        <v>0.05</v>
      </c>
      <c r="F851" s="2656">
        <f>D851*E851</f>
        <v>4200000</v>
      </c>
      <c r="G851" s="4838" t="s">
        <v>4591</v>
      </c>
      <c r="H851" s="4838"/>
      <c r="I851" s="4838"/>
      <c r="J851" s="4838"/>
      <c r="K851" s="2660"/>
      <c r="L851" s="2674"/>
      <c r="M851" s="2676"/>
      <c r="N851" s="2676"/>
      <c r="O851" s="2676"/>
      <c r="P851" s="386"/>
      <c r="Q851" s="386"/>
    </row>
    <row r="852" spans="1:17" s="1660" customFormat="1" ht="30" customHeight="1" x14ac:dyDescent="0.2">
      <c r="A852" s="2323"/>
      <c r="B852" s="4458"/>
      <c r="C852" s="4538"/>
      <c r="D852" s="1856">
        <v>100000000</v>
      </c>
      <c r="E852" s="897">
        <v>0.06</v>
      </c>
      <c r="F852" s="1856">
        <f>D852*E852</f>
        <v>6000000</v>
      </c>
      <c r="G852" s="2308"/>
      <c r="H852" s="2308"/>
      <c r="I852" s="2320"/>
      <c r="J852" s="2310"/>
      <c r="K852" s="2310"/>
      <c r="L852" s="2331" t="s">
        <v>4373</v>
      </c>
      <c r="M852" s="2332"/>
      <c r="N852" s="2332"/>
      <c r="O852" s="2332"/>
      <c r="P852" s="386"/>
      <c r="Q852" s="386"/>
    </row>
    <row r="853" spans="1:17" s="1660" customFormat="1" ht="30" customHeight="1" x14ac:dyDescent="0.2">
      <c r="A853" s="4599"/>
      <c r="B853" s="4461" t="s">
        <v>4168</v>
      </c>
      <c r="C853" s="4537"/>
      <c r="D853" s="4506"/>
      <c r="E853" s="4512"/>
      <c r="F853" s="4506"/>
      <c r="G853" s="2076"/>
      <c r="H853" s="2076"/>
      <c r="I853" s="2091" t="s">
        <v>4169</v>
      </c>
      <c r="J853" s="4413">
        <f>G853+G854</f>
        <v>0</v>
      </c>
      <c r="K853" s="4413"/>
      <c r="L853" s="2117"/>
      <c r="M853" s="2131"/>
      <c r="N853" s="2131"/>
      <c r="O853" s="2131"/>
      <c r="P853" s="386"/>
      <c r="Q853" s="386"/>
    </row>
    <row r="854" spans="1:17" s="1660" customFormat="1" ht="30" customHeight="1" x14ac:dyDescent="0.2">
      <c r="A854" s="4607"/>
      <c r="B854" s="4463"/>
      <c r="C854" s="4538"/>
      <c r="D854" s="4508"/>
      <c r="E854" s="4514"/>
      <c r="F854" s="4508"/>
      <c r="G854" s="2076"/>
      <c r="H854" s="2076"/>
      <c r="I854" s="2091" t="s">
        <v>4169</v>
      </c>
      <c r="J854" s="4415"/>
      <c r="K854" s="4415"/>
      <c r="L854" s="2118"/>
      <c r="M854" s="2131"/>
      <c r="N854" s="2131"/>
      <c r="O854" s="2131"/>
      <c r="P854" s="386"/>
      <c r="Q854" s="386"/>
    </row>
    <row r="855" spans="1:17" s="1660" customFormat="1" ht="30" customHeight="1" x14ac:dyDescent="0.2">
      <c r="A855" s="2123"/>
      <c r="B855" s="2106" t="s">
        <v>4188</v>
      </c>
      <c r="C855" s="2107"/>
      <c r="D855" s="2064">
        <v>120000000</v>
      </c>
      <c r="E855" s="2103">
        <v>0.05</v>
      </c>
      <c r="F855" s="2064">
        <f>D855*E855</f>
        <v>6000000</v>
      </c>
      <c r="G855" s="2076"/>
      <c r="H855" s="2076"/>
      <c r="I855" s="2091"/>
      <c r="J855" s="2076"/>
      <c r="K855" s="2076"/>
      <c r="L855" s="2118" t="s">
        <v>4952</v>
      </c>
      <c r="M855" s="2131"/>
      <c r="N855" s="2131"/>
      <c r="O855" s="2131"/>
      <c r="P855" s="386"/>
      <c r="Q855" s="386"/>
    </row>
    <row r="856" spans="1:17" s="1660" customFormat="1" ht="30" customHeight="1" x14ac:dyDescent="0.2">
      <c r="A856" s="2123"/>
      <c r="B856" s="2106" t="s">
        <v>4198</v>
      </c>
      <c r="C856" s="2107"/>
      <c r="D856" s="2064">
        <v>100000000</v>
      </c>
      <c r="E856" s="2103">
        <v>0.05</v>
      </c>
      <c r="F856" s="2064">
        <f>D856*E856</f>
        <v>5000000</v>
      </c>
      <c r="G856" s="2076">
        <v>5000000</v>
      </c>
      <c r="H856" s="2076" t="s">
        <v>4763</v>
      </c>
      <c r="I856" s="2091" t="s">
        <v>4767</v>
      </c>
      <c r="J856" s="2076">
        <f>G856</f>
        <v>5000000</v>
      </c>
      <c r="K856" s="2076">
        <f>F856-J856</f>
        <v>0</v>
      </c>
      <c r="L856" s="2118" t="s">
        <v>4199</v>
      </c>
      <c r="M856" s="2131"/>
      <c r="N856" s="2131"/>
      <c r="O856" s="2131"/>
      <c r="P856" s="386"/>
      <c r="Q856" s="386"/>
    </row>
    <row r="857" spans="1:17" s="1660" customFormat="1" ht="30" customHeight="1" x14ac:dyDescent="0.2">
      <c r="A857" s="2123"/>
      <c r="B857" s="2106" t="s">
        <v>4215</v>
      </c>
      <c r="C857" s="2107"/>
      <c r="D857" s="2064">
        <v>100000000</v>
      </c>
      <c r="E857" s="2103"/>
      <c r="F857" s="2064"/>
      <c r="G857" s="2076"/>
      <c r="H857" s="2076"/>
      <c r="I857" s="2091"/>
      <c r="J857" s="2076"/>
      <c r="K857" s="2076"/>
      <c r="L857" s="2023" t="s">
        <v>4216</v>
      </c>
      <c r="M857" s="2131"/>
      <c r="N857" s="2131"/>
      <c r="O857" s="2131"/>
      <c r="P857" s="386"/>
      <c r="Q857" s="386"/>
    </row>
    <row r="858" spans="1:17" s="1660" customFormat="1" ht="30" customHeight="1" x14ac:dyDescent="0.2">
      <c r="A858" s="2193"/>
      <c r="B858" s="2189" t="s">
        <v>4294</v>
      </c>
      <c r="C858" s="2190"/>
      <c r="D858" s="2181"/>
      <c r="E858" s="2185"/>
      <c r="F858" s="2184"/>
      <c r="G858" s="2184"/>
      <c r="H858" s="2184"/>
      <c r="I858" s="2186"/>
      <c r="J858" s="2184"/>
      <c r="K858" s="2184"/>
      <c r="L858" s="2023" t="s">
        <v>4295</v>
      </c>
      <c r="M858" s="2195"/>
      <c r="N858" s="2195"/>
      <c r="O858" s="2195"/>
      <c r="P858" s="386"/>
      <c r="Q858" s="386"/>
    </row>
    <row r="859" spans="1:17" s="1660" customFormat="1" ht="30" customHeight="1" x14ac:dyDescent="0.2">
      <c r="A859" s="2193"/>
      <c r="B859" s="2189" t="s">
        <v>4297</v>
      </c>
      <c r="C859" s="2190" t="s">
        <v>4298</v>
      </c>
      <c r="D859" s="2181">
        <v>80000000</v>
      </c>
      <c r="E859" s="2185">
        <v>0.05</v>
      </c>
      <c r="F859" s="2184">
        <f>D859*E859</f>
        <v>4000000</v>
      </c>
      <c r="G859" s="2184"/>
      <c r="H859" s="2184"/>
      <c r="I859" s="2186"/>
      <c r="J859" s="2184"/>
      <c r="K859" s="2184"/>
      <c r="L859" s="2023" t="s">
        <v>4672</v>
      </c>
      <c r="M859" s="2195"/>
      <c r="N859" s="2195"/>
      <c r="O859" s="2195"/>
      <c r="P859" s="386"/>
      <c r="Q859" s="386"/>
    </row>
    <row r="860" spans="1:17" s="1660" customFormat="1" ht="30" customHeight="1" x14ac:dyDescent="0.2">
      <c r="A860" s="2193"/>
      <c r="B860" s="2189" t="s">
        <v>4317</v>
      </c>
      <c r="C860" s="2190"/>
      <c r="D860" s="4303" t="s">
        <v>4318</v>
      </c>
      <c r="E860" s="4324"/>
      <c r="F860" s="4355"/>
      <c r="G860" s="2184">
        <v>1740000</v>
      </c>
      <c r="H860" s="2184" t="s">
        <v>4312</v>
      </c>
      <c r="I860" s="2186" t="s">
        <v>4319</v>
      </c>
      <c r="J860" s="2184">
        <f>G860</f>
        <v>1740000</v>
      </c>
      <c r="K860" s="2184"/>
      <c r="L860" s="2023" t="s">
        <v>4320</v>
      </c>
      <c r="M860" s="2195"/>
      <c r="N860" s="2195"/>
      <c r="O860" s="2195"/>
      <c r="P860" s="386"/>
      <c r="Q860" s="386"/>
    </row>
    <row r="861" spans="1:17" s="1660" customFormat="1" ht="30" customHeight="1" x14ac:dyDescent="0.2">
      <c r="A861" s="2193"/>
      <c r="B861" s="2189" t="s">
        <v>4334</v>
      </c>
      <c r="C861" s="2190" t="s">
        <v>402</v>
      </c>
      <c r="D861" s="2181">
        <v>200000000</v>
      </c>
      <c r="E861" s="2185">
        <v>0.05</v>
      </c>
      <c r="F861" s="2184">
        <f>D861*E861</f>
        <v>10000000</v>
      </c>
      <c r="G861" s="2184"/>
      <c r="H861" s="2184"/>
      <c r="I861" s="2186"/>
      <c r="J861" s="2184"/>
      <c r="K861" s="2184"/>
      <c r="L861" s="2023" t="s">
        <v>4797</v>
      </c>
      <c r="M861" s="2195"/>
      <c r="N861" s="2195"/>
      <c r="O861" s="2195"/>
      <c r="P861" s="386"/>
      <c r="Q861" s="386"/>
    </row>
    <row r="862" spans="1:17" s="1660" customFormat="1" ht="30" customHeight="1" x14ac:dyDescent="0.2">
      <c r="A862" s="2193"/>
      <c r="B862" s="2189" t="s">
        <v>4370</v>
      </c>
      <c r="C862" s="2190"/>
      <c r="D862" s="453"/>
      <c r="E862" s="2314"/>
      <c r="F862" s="598"/>
      <c r="G862" s="2184">
        <v>15000000</v>
      </c>
      <c r="H862" s="2184" t="s">
        <v>4363</v>
      </c>
      <c r="I862" s="2186" t="s">
        <v>2986</v>
      </c>
      <c r="J862" s="2184">
        <f>G862</f>
        <v>15000000</v>
      </c>
      <c r="K862" s="2184"/>
      <c r="L862" s="2023"/>
      <c r="M862" s="2195"/>
      <c r="N862" s="2195"/>
      <c r="O862" s="2195"/>
      <c r="P862" s="386"/>
      <c r="Q862" s="386"/>
    </row>
    <row r="863" spans="1:17" s="1660" customFormat="1" ht="30" customHeight="1" x14ac:dyDescent="0.2">
      <c r="A863" s="2330"/>
      <c r="B863" s="2325" t="s">
        <v>4376</v>
      </c>
      <c r="C863" s="2326"/>
      <c r="D863" s="2320">
        <v>100000000</v>
      </c>
      <c r="E863" s="2314"/>
      <c r="F863" s="598"/>
      <c r="G863" s="2308"/>
      <c r="H863" s="2308"/>
      <c r="I863" s="2320"/>
      <c r="J863" s="2308"/>
      <c r="K863" s="2308"/>
      <c r="L863" s="2329" t="s">
        <v>4377</v>
      </c>
      <c r="M863" s="2332"/>
      <c r="N863" s="2332"/>
      <c r="O863" s="2332"/>
      <c r="P863" s="386"/>
      <c r="Q863" s="386"/>
    </row>
    <row r="864" spans="1:17" s="1660" customFormat="1" ht="30" customHeight="1" x14ac:dyDescent="0.2">
      <c r="A864" s="2330"/>
      <c r="B864" s="2325" t="s">
        <v>4378</v>
      </c>
      <c r="C864" s="2326"/>
      <c r="D864" s="2320">
        <v>70000000</v>
      </c>
      <c r="E864" s="2309">
        <v>7.0000000000000007E-2</v>
      </c>
      <c r="F864" s="2321">
        <f>D864*E864</f>
        <v>4900000.0000000009</v>
      </c>
      <c r="G864" s="2308"/>
      <c r="H864" s="2308"/>
      <c r="I864" s="2320"/>
      <c r="J864" s="2308"/>
      <c r="K864" s="2308"/>
      <c r="L864" s="2023" t="s">
        <v>4379</v>
      </c>
      <c r="M864" s="2332"/>
      <c r="N864" s="2332"/>
      <c r="O864" s="2332"/>
      <c r="P864" s="386"/>
      <c r="Q864" s="386"/>
    </row>
    <row r="865" spans="1:17" s="1660" customFormat="1" ht="30" customHeight="1" x14ac:dyDescent="0.2">
      <c r="A865" s="2330"/>
      <c r="B865" s="2325" t="s">
        <v>4395</v>
      </c>
      <c r="C865" s="2326"/>
      <c r="D865" s="2320">
        <v>350000000</v>
      </c>
      <c r="E865" s="2309"/>
      <c r="F865" s="2321"/>
      <c r="G865" s="2308"/>
      <c r="H865" s="2308"/>
      <c r="I865" s="2320"/>
      <c r="J865" s="2308"/>
      <c r="K865" s="2308"/>
      <c r="L865" s="2023" t="s">
        <v>4396</v>
      </c>
      <c r="M865" s="2332"/>
      <c r="N865" s="2332"/>
      <c r="O865" s="2332"/>
      <c r="P865" s="386"/>
      <c r="Q865" s="386"/>
    </row>
    <row r="866" spans="1:17" s="1660" customFormat="1" ht="30" customHeight="1" x14ac:dyDescent="0.2">
      <c r="A866" s="2330"/>
      <c r="B866" s="2325" t="s">
        <v>4399</v>
      </c>
      <c r="C866" s="2326"/>
      <c r="D866" s="2320">
        <v>50000000</v>
      </c>
      <c r="E866" s="2309">
        <v>0.05</v>
      </c>
      <c r="F866" s="2321">
        <f>D866*E866</f>
        <v>2500000</v>
      </c>
      <c r="G866" s="2308"/>
      <c r="H866" s="2308"/>
      <c r="I866" s="2320"/>
      <c r="J866" s="2308"/>
      <c r="K866" s="2308"/>
      <c r="L866" s="2023" t="s">
        <v>4400</v>
      </c>
      <c r="M866" s="2332"/>
      <c r="N866" s="2332"/>
      <c r="O866" s="2332"/>
      <c r="P866" s="386"/>
      <c r="Q866" s="386"/>
    </row>
    <row r="867" spans="1:17" s="1660" customFormat="1" ht="30" customHeight="1" x14ac:dyDescent="0.2">
      <c r="A867" s="2347"/>
      <c r="B867" s="2345" t="s">
        <v>4407</v>
      </c>
      <c r="C867" s="2344"/>
      <c r="D867" s="2340">
        <v>100000000</v>
      </c>
      <c r="E867" s="2336">
        <v>0.05</v>
      </c>
      <c r="F867" s="2341">
        <f>D867*E867</f>
        <v>5000000</v>
      </c>
      <c r="G867" s="2339">
        <v>5000000</v>
      </c>
      <c r="H867" s="2339" t="s">
        <v>4404</v>
      </c>
      <c r="I867" s="2340" t="s">
        <v>4408</v>
      </c>
      <c r="J867" s="2339">
        <f>G867</f>
        <v>5000000</v>
      </c>
      <c r="K867" s="2339">
        <f>F867-J867</f>
        <v>0</v>
      </c>
      <c r="L867" s="2023"/>
      <c r="M867" s="2348"/>
      <c r="N867" s="2348"/>
      <c r="O867" s="2348"/>
      <c r="P867" s="386"/>
      <c r="Q867" s="386"/>
    </row>
    <row r="868" spans="1:17" s="1660" customFormat="1" ht="30" customHeight="1" x14ac:dyDescent="0.2">
      <c r="A868" s="2347"/>
      <c r="B868" s="2345" t="s">
        <v>4412</v>
      </c>
      <c r="C868" s="2344"/>
      <c r="D868" s="2340">
        <v>50000000</v>
      </c>
      <c r="E868" s="2336">
        <v>0.05</v>
      </c>
      <c r="F868" s="2341">
        <f>D868*E868</f>
        <v>2500000</v>
      </c>
      <c r="G868" s="2339">
        <v>2500000</v>
      </c>
      <c r="H868" s="2339" t="s">
        <v>4404</v>
      </c>
      <c r="I868" s="2340" t="s">
        <v>4413</v>
      </c>
      <c r="J868" s="2339">
        <f>G868</f>
        <v>2500000</v>
      </c>
      <c r="K868" s="2339">
        <f>F868-J868</f>
        <v>0</v>
      </c>
      <c r="L868" s="2023"/>
      <c r="M868" s="2348"/>
      <c r="N868" s="2348"/>
      <c r="O868" s="2348"/>
      <c r="P868" s="386"/>
      <c r="Q868" s="386"/>
    </row>
    <row r="869" spans="1:17" s="1660" customFormat="1" ht="30" customHeight="1" x14ac:dyDescent="0.2">
      <c r="A869" s="2347"/>
      <c r="B869" s="2345" t="s">
        <v>4415</v>
      </c>
      <c r="C869" s="2344"/>
      <c r="D869" s="2340">
        <v>20000000</v>
      </c>
      <c r="E869" s="2336">
        <v>0.05</v>
      </c>
      <c r="F869" s="2341">
        <f>D869*E869</f>
        <v>1000000</v>
      </c>
      <c r="G869" s="2339">
        <v>1000000</v>
      </c>
      <c r="H869" s="2339" t="s">
        <v>4404</v>
      </c>
      <c r="I869" s="2340" t="s">
        <v>4416</v>
      </c>
      <c r="J869" s="2339">
        <f>G869</f>
        <v>1000000</v>
      </c>
      <c r="K869" s="2339">
        <f>F869-J869</f>
        <v>0</v>
      </c>
      <c r="L869" s="2023"/>
      <c r="M869" s="2348"/>
      <c r="N869" s="2348"/>
      <c r="O869" s="2348"/>
      <c r="P869" s="386"/>
      <c r="Q869" s="386"/>
    </row>
    <row r="870" spans="1:17" s="1660" customFormat="1" ht="30" customHeight="1" x14ac:dyDescent="0.2">
      <c r="A870" s="5017"/>
      <c r="B870" s="4962" t="s">
        <v>4424</v>
      </c>
      <c r="C870" s="4964"/>
      <c r="D870" s="2772">
        <v>50000000</v>
      </c>
      <c r="E870" s="2558"/>
      <c r="F870" s="2773"/>
      <c r="G870" s="2771">
        <v>50000000</v>
      </c>
      <c r="H870" s="2771" t="s">
        <v>2473</v>
      </c>
      <c r="I870" s="2772" t="s">
        <v>3529</v>
      </c>
      <c r="J870" s="2771">
        <f>G870</f>
        <v>50000000</v>
      </c>
      <c r="K870" s="2771"/>
      <c r="L870" s="2784" t="s">
        <v>4655</v>
      </c>
      <c r="M870" s="2348"/>
      <c r="N870" s="2348"/>
      <c r="O870" s="2348"/>
      <c r="P870" s="386"/>
      <c r="Q870" s="386"/>
    </row>
    <row r="871" spans="1:17" s="1660" customFormat="1" ht="30" customHeight="1" x14ac:dyDescent="0.2">
      <c r="A871" s="5018"/>
      <c r="B871" s="4963"/>
      <c r="C871" s="4965"/>
      <c r="D871" s="4978" t="s">
        <v>4537</v>
      </c>
      <c r="E871" s="4979"/>
      <c r="F871" s="4980"/>
      <c r="G871" s="2771">
        <v>835000</v>
      </c>
      <c r="H871" s="2771" t="s">
        <v>4763</v>
      </c>
      <c r="I871" s="2772" t="s">
        <v>4764</v>
      </c>
      <c r="J871" s="2771">
        <f>G871</f>
        <v>835000</v>
      </c>
      <c r="K871" s="2771"/>
      <c r="L871" s="2784" t="s">
        <v>1326</v>
      </c>
      <c r="M871" s="2458"/>
      <c r="N871" s="2458"/>
      <c r="O871" s="2458"/>
      <c r="P871" s="386"/>
      <c r="Q871" s="386"/>
    </row>
    <row r="872" spans="1:17" s="1660" customFormat="1" ht="30" customHeight="1" x14ac:dyDescent="0.2">
      <c r="A872" s="2347"/>
      <c r="B872" s="2345" t="s">
        <v>4434</v>
      </c>
      <c r="C872" s="2344"/>
      <c r="D872" s="2340">
        <v>300000000</v>
      </c>
      <c r="E872" s="2336">
        <v>0.05</v>
      </c>
      <c r="F872" s="2341">
        <f>D872*E872</f>
        <v>15000000</v>
      </c>
      <c r="G872" s="2339"/>
      <c r="H872" s="2339"/>
      <c r="I872" s="2340"/>
      <c r="J872" s="2339"/>
      <c r="K872" s="2339"/>
      <c r="L872" s="2023" t="s">
        <v>4437</v>
      </c>
      <c r="M872" s="2348"/>
      <c r="N872" s="2348"/>
      <c r="O872" s="2348"/>
      <c r="P872" s="386"/>
      <c r="Q872" s="386"/>
    </row>
    <row r="873" spans="1:17" s="1660" customFormat="1" ht="30" customHeight="1" x14ac:dyDescent="0.2">
      <c r="A873" s="2347"/>
      <c r="B873" s="2345" t="s">
        <v>4435</v>
      </c>
      <c r="C873" s="2344"/>
      <c r="D873" s="2340">
        <v>200000000</v>
      </c>
      <c r="E873" s="2336">
        <v>0.05</v>
      </c>
      <c r="F873" s="2353">
        <f>D873*E873</f>
        <v>10000000</v>
      </c>
      <c r="G873" s="2339">
        <v>10000000</v>
      </c>
      <c r="H873" s="2339" t="s">
        <v>4451</v>
      </c>
      <c r="I873" s="2340" t="s">
        <v>4169</v>
      </c>
      <c r="J873" s="2339">
        <f>G873</f>
        <v>10000000</v>
      </c>
      <c r="K873" s="2339">
        <f>F873-J873</f>
        <v>0</v>
      </c>
      <c r="L873" s="2023" t="s">
        <v>4436</v>
      </c>
      <c r="M873" s="2348"/>
      <c r="N873" s="2348"/>
      <c r="O873" s="2348"/>
      <c r="P873" s="386"/>
      <c r="Q873" s="386"/>
    </row>
    <row r="874" spans="1:17" s="1660" customFormat="1" ht="30" customHeight="1" x14ac:dyDescent="0.2">
      <c r="A874" s="2402"/>
      <c r="B874" s="2399" t="s">
        <v>4456</v>
      </c>
      <c r="C874" s="2400" t="s">
        <v>262</v>
      </c>
      <c r="D874" s="2392">
        <v>120000000</v>
      </c>
      <c r="E874" s="2390">
        <v>0.05</v>
      </c>
      <c r="F874" s="2393">
        <f>D874*E874</f>
        <v>6000000</v>
      </c>
      <c r="G874" s="2388">
        <v>3400000</v>
      </c>
      <c r="H874" s="2388" t="s">
        <v>4451</v>
      </c>
      <c r="I874" s="2392" t="s">
        <v>4457</v>
      </c>
      <c r="J874" s="2388">
        <f>G874</f>
        <v>3400000</v>
      </c>
      <c r="K874" s="2388"/>
      <c r="L874" s="2023" t="s">
        <v>4458</v>
      </c>
      <c r="M874" s="2403"/>
      <c r="N874" s="2403"/>
      <c r="O874" s="2403"/>
      <c r="P874" s="386"/>
      <c r="Q874" s="386"/>
    </row>
    <row r="875" spans="1:17" s="1660" customFormat="1" ht="30" customHeight="1" x14ac:dyDescent="0.2">
      <c r="A875" s="2402"/>
      <c r="B875" s="2399" t="s">
        <v>4470</v>
      </c>
      <c r="C875" s="2400"/>
      <c r="D875" s="2392">
        <v>75000000</v>
      </c>
      <c r="E875" s="2390"/>
      <c r="F875" s="2393"/>
      <c r="G875" s="2388"/>
      <c r="H875" s="2388"/>
      <c r="I875" s="2392"/>
      <c r="J875" s="2388"/>
      <c r="K875" s="2388"/>
      <c r="L875" s="2023" t="s">
        <v>4471</v>
      </c>
      <c r="M875" s="2403"/>
      <c r="N875" s="2403"/>
      <c r="O875" s="2403"/>
      <c r="P875" s="386"/>
      <c r="Q875" s="386"/>
    </row>
    <row r="876" spans="1:17" s="1660" customFormat="1" ht="30" customHeight="1" x14ac:dyDescent="0.2">
      <c r="A876" s="2402"/>
      <c r="B876" s="2399" t="s">
        <v>4498</v>
      </c>
      <c r="C876" s="2400"/>
      <c r="D876" s="2392">
        <v>100000000</v>
      </c>
      <c r="E876" s="2390">
        <v>0.06</v>
      </c>
      <c r="F876" s="2393">
        <f>D876*E876</f>
        <v>6000000</v>
      </c>
      <c r="G876" s="2388"/>
      <c r="H876" s="2388"/>
      <c r="I876" s="2392"/>
      <c r="J876" s="2388"/>
      <c r="K876" s="2388"/>
      <c r="L876" s="2023"/>
      <c r="M876" s="2403"/>
      <c r="N876" s="2403"/>
      <c r="O876" s="2403"/>
      <c r="P876" s="386"/>
      <c r="Q876" s="386"/>
    </row>
    <row r="877" spans="1:17" s="1660" customFormat="1" ht="30" customHeight="1" x14ac:dyDescent="0.2">
      <c r="A877" s="2193"/>
      <c r="B877" s="2189" t="s">
        <v>4496</v>
      </c>
      <c r="C877" s="2190" t="s">
        <v>2278</v>
      </c>
      <c r="D877" s="2181">
        <v>150000000</v>
      </c>
      <c r="E877" s="2185">
        <v>0.06</v>
      </c>
      <c r="F877" s="2184">
        <f>D877*E877</f>
        <v>9000000</v>
      </c>
      <c r="G877" s="2184"/>
      <c r="H877" s="2184"/>
      <c r="I877" s="2186"/>
      <c r="J877" s="2184"/>
      <c r="K877" s="2184"/>
      <c r="L877" s="2407" t="s">
        <v>4497</v>
      </c>
      <c r="M877" s="2195"/>
      <c r="N877" s="2195"/>
      <c r="O877" s="2195"/>
      <c r="P877" s="386"/>
      <c r="Q877" s="386"/>
    </row>
    <row r="878" spans="1:17" s="1660" customFormat="1" ht="30" customHeight="1" x14ac:dyDescent="0.2">
      <c r="A878" s="4599"/>
      <c r="B878" s="4457" t="s">
        <v>4515</v>
      </c>
      <c r="C878" s="2420"/>
      <c r="D878" s="2411">
        <v>20000000</v>
      </c>
      <c r="E878" s="2415">
        <f>F878/D878</f>
        <v>0.06</v>
      </c>
      <c r="F878" s="2414">
        <v>1200000</v>
      </c>
      <c r="G878" s="2414">
        <v>9000000</v>
      </c>
      <c r="H878" s="2414" t="s">
        <v>1017</v>
      </c>
      <c r="I878" s="2417" t="s">
        <v>4528</v>
      </c>
      <c r="J878" s="2414">
        <f>G878</f>
        <v>9000000</v>
      </c>
      <c r="K878" s="2414"/>
      <c r="L878" s="4680" t="s">
        <v>4527</v>
      </c>
      <c r="M878" s="2426"/>
      <c r="N878" s="2426"/>
      <c r="O878" s="2426"/>
      <c r="P878" s="386"/>
      <c r="Q878" s="386"/>
    </row>
    <row r="879" spans="1:17" s="1660" customFormat="1" ht="30" customHeight="1" x14ac:dyDescent="0.2">
      <c r="A879" s="4600"/>
      <c r="B879" s="4488"/>
      <c r="C879" s="2435"/>
      <c r="D879" s="2429"/>
      <c r="E879" s="2430"/>
      <c r="F879" s="2432"/>
      <c r="G879" s="2432">
        <f>G878-3600000</f>
        <v>5400000</v>
      </c>
      <c r="H879" s="4303" t="s">
        <v>4526</v>
      </c>
      <c r="I879" s="4324"/>
      <c r="J879" s="4324"/>
      <c r="K879" s="4355"/>
      <c r="L879" s="4681"/>
      <c r="M879" s="2437"/>
      <c r="N879" s="2437"/>
      <c r="O879" s="2437"/>
      <c r="P879" s="386"/>
      <c r="Q879" s="386"/>
    </row>
    <row r="880" spans="1:17" s="1660" customFormat="1" ht="30" customHeight="1" x14ac:dyDescent="0.2">
      <c r="A880" s="4607"/>
      <c r="B880" s="4458"/>
      <c r="C880" s="2420" t="s">
        <v>1138</v>
      </c>
      <c r="D880" s="2411">
        <v>130000000</v>
      </c>
      <c r="E880" s="2415">
        <v>7.0000000000000007E-2</v>
      </c>
      <c r="F880" s="2414">
        <v>9000000</v>
      </c>
      <c r="G880" s="2414"/>
      <c r="H880" s="2414"/>
      <c r="I880" s="2417"/>
      <c r="J880" s="2414"/>
      <c r="K880" s="2414"/>
      <c r="L880" s="2424" t="s">
        <v>4516</v>
      </c>
      <c r="M880" s="2426"/>
      <c r="N880" s="2426"/>
      <c r="O880" s="2426"/>
      <c r="P880" s="386"/>
      <c r="Q880" s="386"/>
    </row>
    <row r="881" spans="1:17" s="1660" customFormat="1" ht="30" customHeight="1" x14ac:dyDescent="0.2">
      <c r="A881" s="4599"/>
      <c r="B881" s="4457" t="s">
        <v>3186</v>
      </c>
      <c r="C881" s="4537" t="s">
        <v>889</v>
      </c>
      <c r="D881" s="4413">
        <v>150000000</v>
      </c>
      <c r="E881" s="4476">
        <v>0.06</v>
      </c>
      <c r="F881" s="4413">
        <f>D881*E881</f>
        <v>9000000</v>
      </c>
      <c r="G881" s="4413">
        <v>27000000</v>
      </c>
      <c r="H881" s="4413" t="s">
        <v>4780</v>
      </c>
      <c r="I881" s="4413" t="s">
        <v>4784</v>
      </c>
      <c r="J881" s="4413">
        <f>G881</f>
        <v>27000000</v>
      </c>
      <c r="K881" s="4413">
        <f>G881-J881</f>
        <v>0</v>
      </c>
      <c r="L881" s="2670" t="s">
        <v>4684</v>
      </c>
      <c r="M881" s="2676"/>
      <c r="N881" s="2676"/>
      <c r="O881" s="2676"/>
      <c r="P881" s="386"/>
      <c r="Q881" s="386"/>
    </row>
    <row r="882" spans="1:17" s="1660" customFormat="1" ht="30" customHeight="1" x14ac:dyDescent="0.2">
      <c r="A882" s="4607"/>
      <c r="B882" s="4458"/>
      <c r="C882" s="4538"/>
      <c r="D882" s="4415"/>
      <c r="E882" s="4477"/>
      <c r="F882" s="4415"/>
      <c r="G882" s="4415"/>
      <c r="H882" s="4415"/>
      <c r="I882" s="4415"/>
      <c r="J882" s="4415"/>
      <c r="K882" s="4415"/>
      <c r="L882" s="2670" t="s">
        <v>4683</v>
      </c>
      <c r="M882" s="2676"/>
      <c r="N882" s="2676"/>
      <c r="O882" s="2676"/>
      <c r="P882" s="386"/>
      <c r="Q882" s="386"/>
    </row>
    <row r="883" spans="1:17" s="1660" customFormat="1" ht="30" customHeight="1" x14ac:dyDescent="0.2">
      <c r="A883" s="2425"/>
      <c r="B883" s="2419" t="s">
        <v>4529</v>
      </c>
      <c r="C883" s="2420"/>
      <c r="D883" s="2411">
        <v>100000000</v>
      </c>
      <c r="E883" s="2415"/>
      <c r="F883" s="2414"/>
      <c r="G883" s="2414"/>
      <c r="H883" s="2414"/>
      <c r="I883" s="2417"/>
      <c r="J883" s="2414"/>
      <c r="K883" s="2414"/>
      <c r="L883" s="2424" t="s">
        <v>4530</v>
      </c>
      <c r="M883" s="2426"/>
      <c r="N883" s="2426"/>
      <c r="O883" s="2426"/>
      <c r="P883" s="386"/>
      <c r="Q883" s="386"/>
    </row>
    <row r="884" spans="1:17" s="1660" customFormat="1" ht="30" customHeight="1" x14ac:dyDescent="0.2">
      <c r="A884" s="2425"/>
      <c r="B884" s="2419" t="s">
        <v>4539</v>
      </c>
      <c r="C884" s="2420"/>
      <c r="D884" s="2411">
        <v>100000000</v>
      </c>
      <c r="E884" s="2415"/>
      <c r="F884" s="2414"/>
      <c r="G884" s="2414"/>
      <c r="H884" s="2414"/>
      <c r="I884" s="2417"/>
      <c r="J884" s="2414"/>
      <c r="K884" s="2414"/>
      <c r="L884" s="2424" t="s">
        <v>4540</v>
      </c>
      <c r="M884" s="2426"/>
      <c r="N884" s="2426"/>
      <c r="O884" s="2426"/>
      <c r="P884" s="386"/>
      <c r="Q884" s="386"/>
    </row>
    <row r="885" spans="1:17" s="1660" customFormat="1" ht="30" customHeight="1" x14ac:dyDescent="0.2">
      <c r="A885" s="2494"/>
      <c r="B885" s="2492" t="s">
        <v>105</v>
      </c>
      <c r="C885" s="2491"/>
      <c r="D885" s="2483"/>
      <c r="E885" s="2482"/>
      <c r="F885" s="2481"/>
      <c r="G885" s="2480">
        <v>14000000</v>
      </c>
      <c r="H885" s="2480" t="s">
        <v>1017</v>
      </c>
      <c r="I885" s="2484" t="s">
        <v>2794</v>
      </c>
      <c r="J885" s="2480">
        <f>G885</f>
        <v>14000000</v>
      </c>
      <c r="K885" s="2480"/>
      <c r="L885" s="2487"/>
      <c r="M885" s="2495"/>
      <c r="N885" s="2495"/>
      <c r="O885" s="2495"/>
      <c r="P885" s="386"/>
      <c r="Q885" s="386"/>
    </row>
    <row r="886" spans="1:17" s="1660" customFormat="1" ht="30" customHeight="1" x14ac:dyDescent="0.2">
      <c r="A886" s="2494"/>
      <c r="B886" s="2492" t="s">
        <v>4552</v>
      </c>
      <c r="C886" s="2491"/>
      <c r="D886" s="2476">
        <v>120000000</v>
      </c>
      <c r="E886" s="2479">
        <v>7.0000000000000007E-2</v>
      </c>
      <c r="F886" s="2480">
        <f>D886*E886</f>
        <v>8400000</v>
      </c>
      <c r="G886" s="2480"/>
      <c r="H886" s="2480"/>
      <c r="I886" s="2484"/>
      <c r="J886" s="2480"/>
      <c r="K886" s="2480"/>
      <c r="L886" s="2487" t="s">
        <v>4553</v>
      </c>
      <c r="M886" s="2495"/>
      <c r="N886" s="2495"/>
      <c r="O886" s="2495"/>
      <c r="P886" s="386"/>
      <c r="Q886" s="386"/>
    </row>
    <row r="887" spans="1:17" s="1660" customFormat="1" ht="30" customHeight="1" x14ac:dyDescent="0.2">
      <c r="A887" s="2494"/>
      <c r="B887" s="2492" t="s">
        <v>4579</v>
      </c>
      <c r="C887" s="2491"/>
      <c r="D887" s="2476">
        <v>50000000</v>
      </c>
      <c r="E887" s="2479">
        <v>0.05</v>
      </c>
      <c r="F887" s="2480">
        <f>D887*E887</f>
        <v>2500000</v>
      </c>
      <c r="G887" s="2480">
        <v>5000000</v>
      </c>
      <c r="H887" s="2480" t="s">
        <v>4542</v>
      </c>
      <c r="I887" s="2484" t="s">
        <v>4580</v>
      </c>
      <c r="J887" s="2480">
        <f>G887</f>
        <v>5000000</v>
      </c>
      <c r="K887" s="2480">
        <f>F887-G887</f>
        <v>-2500000</v>
      </c>
      <c r="L887" s="2487" t="s">
        <v>4581</v>
      </c>
      <c r="M887" s="2495"/>
      <c r="N887" s="2495"/>
      <c r="O887" s="2495"/>
      <c r="P887" s="386"/>
      <c r="Q887" s="386"/>
    </row>
    <row r="888" spans="1:17" s="1660" customFormat="1" ht="30" customHeight="1" x14ac:dyDescent="0.2">
      <c r="A888" s="2648"/>
      <c r="B888" s="2646" t="s">
        <v>4659</v>
      </c>
      <c r="C888" s="2645" t="s">
        <v>990</v>
      </c>
      <c r="D888" s="2626">
        <v>10000000</v>
      </c>
      <c r="E888" s="2644">
        <v>0.05</v>
      </c>
      <c r="F888" s="2626">
        <f>D888*E888</f>
        <v>500000</v>
      </c>
      <c r="G888" s="2626"/>
      <c r="H888" s="2626"/>
      <c r="I888" s="2626"/>
      <c r="J888" s="2626"/>
      <c r="K888" s="2627"/>
      <c r="L888" s="2023" t="s">
        <v>4660</v>
      </c>
      <c r="M888" s="2649"/>
      <c r="N888" s="2649"/>
      <c r="O888" s="2649"/>
      <c r="P888" s="386"/>
      <c r="Q888" s="386"/>
    </row>
    <row r="889" spans="1:17" s="1660" customFormat="1" ht="30" customHeight="1" x14ac:dyDescent="0.2">
      <c r="A889" s="2648"/>
      <c r="B889" s="2646" t="s">
        <v>4669</v>
      </c>
      <c r="C889" s="2645" t="s">
        <v>1796</v>
      </c>
      <c r="D889" s="2626">
        <v>100000000</v>
      </c>
      <c r="E889" s="2628">
        <v>7.0000000000000007E-2</v>
      </c>
      <c r="F889" s="2627">
        <f>D889*E889</f>
        <v>7000000.0000000009</v>
      </c>
      <c r="G889" s="2627">
        <v>7000000</v>
      </c>
      <c r="H889" s="2627" t="s">
        <v>4788</v>
      </c>
      <c r="I889" s="2636" t="s">
        <v>4789</v>
      </c>
      <c r="J889" s="2627">
        <f>G889</f>
        <v>7000000</v>
      </c>
      <c r="K889" s="2627">
        <f>F889-J889</f>
        <v>0</v>
      </c>
      <c r="L889" s="2640"/>
      <c r="M889" s="2649"/>
      <c r="N889" s="2649"/>
      <c r="O889" s="2649"/>
      <c r="P889" s="386"/>
      <c r="Q889" s="386"/>
    </row>
    <row r="890" spans="1:17" s="1660" customFormat="1" ht="30" customHeight="1" x14ac:dyDescent="0.2">
      <c r="A890" s="2648"/>
      <c r="B890" s="2646" t="s">
        <v>4670</v>
      </c>
      <c r="C890" s="2645"/>
      <c r="D890" s="2626">
        <v>100000000</v>
      </c>
      <c r="E890" s="2628">
        <v>7.0000000000000007E-2</v>
      </c>
      <c r="F890" s="2627">
        <f t="shared" ref="F890:F891" si="95">D890*E890</f>
        <v>7000000.0000000009</v>
      </c>
      <c r="G890" s="2627"/>
      <c r="H890" s="2627"/>
      <c r="I890" s="2636"/>
      <c r="J890" s="2627"/>
      <c r="K890" s="2627"/>
      <c r="L890" s="2640"/>
      <c r="M890" s="2649"/>
      <c r="N890" s="2649"/>
      <c r="O890" s="2649"/>
      <c r="P890" s="386"/>
      <c r="Q890" s="386"/>
    </row>
    <row r="891" spans="1:17" s="1660" customFormat="1" ht="30" customHeight="1" x14ac:dyDescent="0.2">
      <c r="A891" s="2648"/>
      <c r="B891" s="2646" t="s">
        <v>4671</v>
      </c>
      <c r="C891" s="2645"/>
      <c r="D891" s="2626">
        <v>35000000</v>
      </c>
      <c r="E891" s="2628">
        <v>7.0000000000000007E-2</v>
      </c>
      <c r="F891" s="2627">
        <f t="shared" si="95"/>
        <v>2450000.0000000005</v>
      </c>
      <c r="G891" s="2627"/>
      <c r="H891" s="2627"/>
      <c r="I891" s="2636"/>
      <c r="J891" s="2627"/>
      <c r="K891" s="2627"/>
      <c r="L891" s="2640"/>
      <c r="M891" s="2649"/>
      <c r="N891" s="2649"/>
      <c r="O891" s="2649"/>
      <c r="P891" s="386"/>
      <c r="Q891" s="386"/>
    </row>
    <row r="892" spans="1:17" s="1660" customFormat="1" ht="30" customHeight="1" x14ac:dyDescent="0.2">
      <c r="A892" s="2671"/>
      <c r="B892" s="2667" t="s">
        <v>4678</v>
      </c>
      <c r="C892" s="2668"/>
      <c r="D892" s="2656">
        <v>110000000</v>
      </c>
      <c r="E892" s="2659"/>
      <c r="F892" s="2658"/>
      <c r="G892" s="2658"/>
      <c r="H892" s="2658"/>
      <c r="I892" s="2662"/>
      <c r="J892" s="2658"/>
      <c r="K892" s="2658"/>
      <c r="L892" s="2670" t="s">
        <v>4679</v>
      </c>
      <c r="M892" s="2676"/>
      <c r="N892" s="2676"/>
      <c r="O892" s="2676"/>
      <c r="P892" s="386"/>
      <c r="Q892" s="386"/>
    </row>
    <row r="893" spans="1:17" s="1660" customFormat="1" ht="30" customHeight="1" x14ac:dyDescent="0.2">
      <c r="A893" s="2671"/>
      <c r="B893" s="2667" t="s">
        <v>4757</v>
      </c>
      <c r="C893" s="2668"/>
      <c r="D893" s="2656">
        <v>50000000</v>
      </c>
      <c r="E893" s="2659"/>
      <c r="F893" s="2658"/>
      <c r="G893" s="2658"/>
      <c r="H893" s="2658"/>
      <c r="I893" s="2662"/>
      <c r="J893" s="2658"/>
      <c r="K893" s="2658"/>
      <c r="L893" s="2023" t="s">
        <v>4758</v>
      </c>
      <c r="M893" s="2676"/>
      <c r="N893" s="2676"/>
      <c r="O893" s="2676"/>
      <c r="P893" s="386"/>
      <c r="Q893" s="386"/>
    </row>
    <row r="894" spans="1:17" s="1660" customFormat="1" ht="30" customHeight="1" x14ac:dyDescent="0.2">
      <c r="A894" s="2671"/>
      <c r="B894" s="2667" t="s">
        <v>229</v>
      </c>
      <c r="C894" s="2668"/>
      <c r="D894" s="2656">
        <v>60000000</v>
      </c>
      <c r="E894" s="2659">
        <v>0.05</v>
      </c>
      <c r="F894" s="2658">
        <f>D894*E894</f>
        <v>3000000</v>
      </c>
      <c r="G894" s="2658">
        <v>3000000</v>
      </c>
      <c r="H894" s="2658" t="s">
        <v>4763</v>
      </c>
      <c r="I894" s="2662" t="s">
        <v>1063</v>
      </c>
      <c r="J894" s="2658">
        <f>G894</f>
        <v>3000000</v>
      </c>
      <c r="K894" s="2658">
        <f>F894-J894</f>
        <v>0</v>
      </c>
      <c r="L894" s="2670"/>
      <c r="M894" s="2676"/>
      <c r="N894" s="2676"/>
      <c r="O894" s="2676"/>
      <c r="P894" s="386"/>
      <c r="Q894" s="386"/>
    </row>
    <row r="895" spans="1:17" s="1660" customFormat="1" ht="30" customHeight="1" x14ac:dyDescent="0.2">
      <c r="A895" s="2671"/>
      <c r="B895" s="2947" t="s">
        <v>4769</v>
      </c>
      <c r="C895" s="2948" t="s">
        <v>989</v>
      </c>
      <c r="D895" s="2941">
        <v>4200000</v>
      </c>
      <c r="E895" s="2936">
        <v>0.05</v>
      </c>
      <c r="F895" s="2935">
        <f>D895*E895</f>
        <v>210000</v>
      </c>
      <c r="G895" s="2935">
        <v>4200000</v>
      </c>
      <c r="H895" s="2935" t="s">
        <v>4763</v>
      </c>
      <c r="I895" s="2940" t="s">
        <v>4770</v>
      </c>
      <c r="J895" s="2935">
        <f>G895</f>
        <v>4200000</v>
      </c>
      <c r="K895" s="2935"/>
      <c r="L895" s="2951" t="s">
        <v>6077</v>
      </c>
      <c r="M895" s="2676"/>
      <c r="N895" s="2676"/>
      <c r="O895" s="2676"/>
      <c r="P895" s="386"/>
      <c r="Q895" s="386"/>
    </row>
    <row r="896" spans="1:17" s="1660" customFormat="1" ht="30" customHeight="1" x14ac:dyDescent="0.2">
      <c r="A896" s="2808"/>
      <c r="B896" s="2807" t="s">
        <v>4794</v>
      </c>
      <c r="C896" s="2806"/>
      <c r="D896" s="2794"/>
      <c r="E896" s="2797"/>
      <c r="F896" s="2796"/>
      <c r="G896" s="2796"/>
      <c r="H896" s="2796"/>
      <c r="I896" s="2798"/>
      <c r="J896" s="2796"/>
      <c r="K896" s="2796"/>
      <c r="L896" s="2804"/>
      <c r="M896" s="2809"/>
      <c r="N896" s="2809"/>
      <c r="O896" s="2809"/>
      <c r="P896" s="386"/>
      <c r="Q896" s="386"/>
    </row>
    <row r="897" spans="1:17" s="1660" customFormat="1" ht="30" customHeight="1" x14ac:dyDescent="0.2">
      <c r="A897" s="2808"/>
      <c r="B897" s="2807"/>
      <c r="C897" s="2806"/>
      <c r="D897" s="2794"/>
      <c r="E897" s="2797"/>
      <c r="F897" s="2796"/>
      <c r="G897" s="2796"/>
      <c r="H897" s="2796"/>
      <c r="I897" s="2798"/>
      <c r="J897" s="2796"/>
      <c r="K897" s="2796"/>
      <c r="L897" s="2804"/>
      <c r="M897" s="2809"/>
      <c r="N897" s="2809"/>
      <c r="O897" s="2809"/>
      <c r="P897" s="386"/>
      <c r="Q897" s="386"/>
    </row>
    <row r="898" spans="1:17" s="1660" customFormat="1" ht="30" customHeight="1" x14ac:dyDescent="0.2">
      <c r="A898" s="2808"/>
      <c r="B898" s="2807"/>
      <c r="C898" s="2806"/>
      <c r="D898" s="2794"/>
      <c r="E898" s="2797"/>
      <c r="F898" s="2796"/>
      <c r="G898" s="2796"/>
      <c r="H898" s="2796"/>
      <c r="I898" s="2798"/>
      <c r="J898" s="2796"/>
      <c r="K898" s="2796"/>
      <c r="L898" s="2804"/>
      <c r="M898" s="2809"/>
      <c r="N898" s="2809"/>
      <c r="O898" s="2809"/>
      <c r="P898" s="386"/>
      <c r="Q898" s="386"/>
    </row>
    <row r="899" spans="1:17" s="1660" customFormat="1" ht="30" customHeight="1" x14ac:dyDescent="0.2">
      <c r="A899" s="2808"/>
      <c r="B899" s="2807"/>
      <c r="C899" s="2806"/>
      <c r="D899" s="2794"/>
      <c r="E899" s="2797"/>
      <c r="F899" s="2796"/>
      <c r="G899" s="2796"/>
      <c r="H899" s="2796"/>
      <c r="I899" s="2798"/>
      <c r="J899" s="2796"/>
      <c r="K899" s="2796"/>
      <c r="L899" s="2804"/>
      <c r="M899" s="2809"/>
      <c r="N899" s="2809"/>
      <c r="O899" s="2809"/>
      <c r="P899" s="386"/>
      <c r="Q899" s="386"/>
    </row>
    <row r="900" spans="1:17" s="1660" customFormat="1" ht="30" customHeight="1" x14ac:dyDescent="0.2">
      <c r="A900" s="2425"/>
      <c r="B900" s="2419"/>
      <c r="C900" s="2420"/>
      <c r="D900" s="2411"/>
      <c r="E900" s="2415"/>
      <c r="F900" s="2414"/>
      <c r="G900" s="2414"/>
      <c r="H900" s="2414"/>
      <c r="I900" s="2417"/>
      <c r="J900" s="2414"/>
      <c r="K900" s="2414"/>
      <c r="L900" s="2424"/>
      <c r="M900" s="2426"/>
      <c r="N900" s="2426"/>
      <c r="O900" s="2426"/>
      <c r="P900" s="386"/>
      <c r="Q900" s="386"/>
    </row>
    <row r="901" spans="1:17" ht="50.1" customHeight="1" x14ac:dyDescent="0.2">
      <c r="A901" s="4876" t="s">
        <v>4283</v>
      </c>
      <c r="B901" s="4877"/>
      <c r="C901" s="1032"/>
      <c r="D901" s="294"/>
      <c r="E901" s="2079"/>
      <c r="F901" s="2076"/>
      <c r="G901" s="2076"/>
      <c r="H901" s="2076"/>
      <c r="I901" s="21"/>
      <c r="J901" s="2076"/>
      <c r="K901" s="2076"/>
      <c r="L901" s="2070"/>
    </row>
  </sheetData>
  <mergeCells count="1239">
    <mergeCell ref="B519:B521"/>
    <mergeCell ref="B414:B415"/>
    <mergeCell ref="C414:C415"/>
    <mergeCell ref="D414:D415"/>
    <mergeCell ref="C447:C451"/>
    <mergeCell ref="A489:A491"/>
    <mergeCell ref="A630:A631"/>
    <mergeCell ref="A574:A575"/>
    <mergeCell ref="D712:E712"/>
    <mergeCell ref="B671:B675"/>
    <mergeCell ref="G414:G415"/>
    <mergeCell ref="H414:H415"/>
    <mergeCell ref="I414:I415"/>
    <mergeCell ref="D546:E546"/>
    <mergeCell ref="F583:F592"/>
    <mergeCell ref="G546:K546"/>
    <mergeCell ref="D538:E538"/>
    <mergeCell ref="G540:K540"/>
    <mergeCell ref="G541:K541"/>
    <mergeCell ref="G542:K542"/>
    <mergeCell ref="D543:E543"/>
    <mergeCell ref="G543:K543"/>
    <mergeCell ref="G544:K544"/>
    <mergeCell ref="D564:F564"/>
    <mergeCell ref="G436:I436"/>
    <mergeCell ref="G643:J643"/>
    <mergeCell ref="B690:B700"/>
    <mergeCell ref="C690:C700"/>
    <mergeCell ref="A690:A700"/>
    <mergeCell ref="K530:K531"/>
    <mergeCell ref="A452:A453"/>
    <mergeCell ref="B452:B453"/>
    <mergeCell ref="I803:I804"/>
    <mergeCell ref="G764:G765"/>
    <mergeCell ref="E803:E804"/>
    <mergeCell ref="F803:F804"/>
    <mergeCell ref="G803:G804"/>
    <mergeCell ref="H803:H804"/>
    <mergeCell ref="A743:A745"/>
    <mergeCell ref="C743:C745"/>
    <mergeCell ref="D743:D745"/>
    <mergeCell ref="E743:E745"/>
    <mergeCell ref="F743:F745"/>
    <mergeCell ref="G473:J473"/>
    <mergeCell ref="G475:J475"/>
    <mergeCell ref="A620:A621"/>
    <mergeCell ref="E565:F565"/>
    <mergeCell ref="A568:A569"/>
    <mergeCell ref="B568:B569"/>
    <mergeCell ref="B574:B575"/>
    <mergeCell ref="C574:C575"/>
    <mergeCell ref="A643:A645"/>
    <mergeCell ref="A650:A651"/>
    <mergeCell ref="B650:B651"/>
    <mergeCell ref="A647:A648"/>
    <mergeCell ref="A485:A488"/>
    <mergeCell ref="B485:B488"/>
    <mergeCell ref="D713:E713"/>
    <mergeCell ref="A687:A688"/>
    <mergeCell ref="D630:D631"/>
    <mergeCell ref="D485:D488"/>
    <mergeCell ref="E485:E488"/>
    <mergeCell ref="A623:A624"/>
    <mergeCell ref="D641:F641"/>
    <mergeCell ref="B771:B772"/>
    <mergeCell ref="B570:B573"/>
    <mergeCell ref="C570:C573"/>
    <mergeCell ref="G571:G573"/>
    <mergeCell ref="H571:H573"/>
    <mergeCell ref="I571:I573"/>
    <mergeCell ref="A570:A573"/>
    <mergeCell ref="A746:A747"/>
    <mergeCell ref="B746:B747"/>
    <mergeCell ref="A730:A731"/>
    <mergeCell ref="C730:C731"/>
    <mergeCell ref="D730:D731"/>
    <mergeCell ref="E730:E731"/>
    <mergeCell ref="F730:F731"/>
    <mergeCell ref="G730:J730"/>
    <mergeCell ref="G731:J731"/>
    <mergeCell ref="A530:A531"/>
    <mergeCell ref="H593:H595"/>
    <mergeCell ref="I593:I595"/>
    <mergeCell ref="J593:J595"/>
    <mergeCell ref="A612:A615"/>
    <mergeCell ref="B612:B615"/>
    <mergeCell ref="C612:C615"/>
    <mergeCell ref="A610:A611"/>
    <mergeCell ref="B610:B611"/>
    <mergeCell ref="C610:C611"/>
    <mergeCell ref="G530:G531"/>
    <mergeCell ref="G761:J761"/>
    <mergeCell ref="B716:B718"/>
    <mergeCell ref="B630:B631"/>
    <mergeCell ref="A637:A640"/>
    <mergeCell ref="A671:A675"/>
    <mergeCell ref="C452:C453"/>
    <mergeCell ref="D453:F453"/>
    <mergeCell ref="G760:J760"/>
    <mergeCell ref="A414:A415"/>
    <mergeCell ref="B376:B379"/>
    <mergeCell ref="B397:B399"/>
    <mergeCell ref="C397:C399"/>
    <mergeCell ref="C643:C645"/>
    <mergeCell ref="G420:J420"/>
    <mergeCell ref="G418:J418"/>
    <mergeCell ref="F478:F481"/>
    <mergeCell ref="A682:A686"/>
    <mergeCell ref="B647:B648"/>
    <mergeCell ref="C647:C648"/>
    <mergeCell ref="D647:D648"/>
    <mergeCell ref="E647:E648"/>
    <mergeCell ref="F435:F436"/>
    <mergeCell ref="A397:A399"/>
    <mergeCell ref="J378:J379"/>
    <mergeCell ref="G644:J644"/>
    <mergeCell ref="B443:B445"/>
    <mergeCell ref="C443:C445"/>
    <mergeCell ref="A443:A445"/>
    <mergeCell ref="B447:B451"/>
    <mergeCell ref="B417:B420"/>
    <mergeCell ref="C417:C420"/>
    <mergeCell ref="A417:A420"/>
    <mergeCell ref="A422:A424"/>
    <mergeCell ref="G593:G595"/>
    <mergeCell ref="J376:J377"/>
    <mergeCell ref="H376:H377"/>
    <mergeCell ref="G411:I411"/>
    <mergeCell ref="K881:K882"/>
    <mergeCell ref="D600:D601"/>
    <mergeCell ref="E600:E601"/>
    <mergeCell ref="F600:F601"/>
    <mergeCell ref="A617:A618"/>
    <mergeCell ref="B617:B618"/>
    <mergeCell ref="C617:C618"/>
    <mergeCell ref="D617:D618"/>
    <mergeCell ref="E617:E618"/>
    <mergeCell ref="F617:F618"/>
    <mergeCell ref="G881:G882"/>
    <mergeCell ref="H881:H882"/>
    <mergeCell ref="I881:I882"/>
    <mergeCell ref="J881:J882"/>
    <mergeCell ref="G690:G694"/>
    <mergeCell ref="G698:J698"/>
    <mergeCell ref="A470:A471"/>
    <mergeCell ref="C470:C471"/>
    <mergeCell ref="G471:J471"/>
    <mergeCell ref="A472:A484"/>
    <mergeCell ref="E482:E484"/>
    <mergeCell ref="F482:F484"/>
    <mergeCell ref="A870:A871"/>
    <mergeCell ref="C485:C488"/>
    <mergeCell ref="F848:F849"/>
    <mergeCell ref="B730:B731"/>
    <mergeCell ref="G708:J713"/>
    <mergeCell ref="A722:A729"/>
    <mergeCell ref="B722:B729"/>
    <mergeCell ref="A501:A502"/>
    <mergeCell ref="A771:A772"/>
    <mergeCell ref="C771:C772"/>
    <mergeCell ref="B405:B407"/>
    <mergeCell ref="C376:C379"/>
    <mergeCell ref="B329:B330"/>
    <mergeCell ref="D238:D239"/>
    <mergeCell ref="E238:E239"/>
    <mergeCell ref="A305:A307"/>
    <mergeCell ref="B305:B307"/>
    <mergeCell ref="G305:G306"/>
    <mergeCell ref="I312:I313"/>
    <mergeCell ref="J318:J319"/>
    <mergeCell ref="K318:K319"/>
    <mergeCell ref="D333:F333"/>
    <mergeCell ref="H367:H368"/>
    <mergeCell ref="I367:I368"/>
    <mergeCell ref="E355:E356"/>
    <mergeCell ref="C406:C408"/>
    <mergeCell ref="K378:K379"/>
    <mergeCell ref="F238:F239"/>
    <mergeCell ref="B308:B309"/>
    <mergeCell ref="C308:C309"/>
    <mergeCell ref="D308:D309"/>
    <mergeCell ref="E308:E309"/>
    <mergeCell ref="F308:F309"/>
    <mergeCell ref="D296:D297"/>
    <mergeCell ref="F411:F412"/>
    <mergeCell ref="E411:E412"/>
    <mergeCell ref="G370:G371"/>
    <mergeCell ref="C270:C272"/>
    <mergeCell ref="A270:A272"/>
    <mergeCell ref="B282:B283"/>
    <mergeCell ref="A282:A283"/>
    <mergeCell ref="C282:C283"/>
    <mergeCell ref="B343:B344"/>
    <mergeCell ref="C343:C344"/>
    <mergeCell ref="I378:I379"/>
    <mergeCell ref="B870:B871"/>
    <mergeCell ref="C870:C871"/>
    <mergeCell ref="D871:F871"/>
    <mergeCell ref="D799:D800"/>
    <mergeCell ref="B848:B852"/>
    <mergeCell ref="F179:F180"/>
    <mergeCell ref="B270:B272"/>
    <mergeCell ref="G187:J187"/>
    <mergeCell ref="D189:D190"/>
    <mergeCell ref="J311:J314"/>
    <mergeCell ref="G296:G297"/>
    <mergeCell ref="H296:H297"/>
    <mergeCell ref="I296:I297"/>
    <mergeCell ref="A217:A218"/>
    <mergeCell ref="B265:B266"/>
    <mergeCell ref="A265:A266"/>
    <mergeCell ref="C265:C266"/>
    <mergeCell ref="D265:D266"/>
    <mergeCell ref="E265:E266"/>
    <mergeCell ref="F265:F266"/>
    <mergeCell ref="H305:H306"/>
    <mergeCell ref="C411:C412"/>
    <mergeCell ref="D411:D412"/>
    <mergeCell ref="B463:B465"/>
    <mergeCell ref="C463:C465"/>
    <mergeCell ref="A411:A412"/>
    <mergeCell ref="B411:B412"/>
    <mergeCell ref="C367:C368"/>
    <mergeCell ref="D367:D368"/>
    <mergeCell ref="J359:J362"/>
    <mergeCell ref="A386:A387"/>
    <mergeCell ref="B386:B387"/>
    <mergeCell ref="F343:F344"/>
    <mergeCell ref="A329:A330"/>
    <mergeCell ref="C355:C356"/>
    <mergeCell ref="D355:D356"/>
    <mergeCell ref="B422:B424"/>
    <mergeCell ref="C423:C424"/>
    <mergeCell ref="G423:G424"/>
    <mergeCell ref="G417:J417"/>
    <mergeCell ref="C337:C338"/>
    <mergeCell ref="H395:H396"/>
    <mergeCell ref="I395:I396"/>
    <mergeCell ref="A367:A368"/>
    <mergeCell ref="D343:D344"/>
    <mergeCell ref="E343:E344"/>
    <mergeCell ref="G367:G368"/>
    <mergeCell ref="B395:B396"/>
    <mergeCell ref="C395:C396"/>
    <mergeCell ref="G337:G338"/>
    <mergeCell ref="I376:I377"/>
    <mergeCell ref="H378:H379"/>
    <mergeCell ref="G395:G396"/>
    <mergeCell ref="J4:J6"/>
    <mergeCell ref="K4:K6"/>
    <mergeCell ref="I137:I141"/>
    <mergeCell ref="J137:J141"/>
    <mergeCell ref="K137:K141"/>
    <mergeCell ref="I198:I199"/>
    <mergeCell ref="J198:J199"/>
    <mergeCell ref="K198:K199"/>
    <mergeCell ref="C198:C199"/>
    <mergeCell ref="J34:J36"/>
    <mergeCell ref="K34:K36"/>
    <mergeCell ref="K15:K16"/>
    <mergeCell ref="G68:J68"/>
    <mergeCell ref="K60:K61"/>
    <mergeCell ref="G57:G58"/>
    <mergeCell ref="F189:F190"/>
    <mergeCell ref="F198:F199"/>
    <mergeCell ref="G198:G199"/>
    <mergeCell ref="C25:C27"/>
    <mergeCell ref="G76:J77"/>
    <mergeCell ref="D64:D67"/>
    <mergeCell ref="I108:I109"/>
    <mergeCell ref="J108:J109"/>
    <mergeCell ref="C179:C180"/>
    <mergeCell ref="D179:D180"/>
    <mergeCell ref="G121:J121"/>
    <mergeCell ref="J129:J130"/>
    <mergeCell ref="J127:J128"/>
    <mergeCell ref="C108:C109"/>
    <mergeCell ref="L4:L6"/>
    <mergeCell ref="A3:A6"/>
    <mergeCell ref="K209:K211"/>
    <mergeCell ref="C114:C115"/>
    <mergeCell ref="B108:B110"/>
    <mergeCell ref="A108:A110"/>
    <mergeCell ref="L57:L58"/>
    <mergeCell ref="J89:J90"/>
    <mergeCell ref="K89:K90"/>
    <mergeCell ref="K94:K97"/>
    <mergeCell ref="C98:C103"/>
    <mergeCell ref="G73:K73"/>
    <mergeCell ref="K76:K77"/>
    <mergeCell ref="A73:A74"/>
    <mergeCell ref="B73:B74"/>
    <mergeCell ref="B106:B107"/>
    <mergeCell ref="A106:A107"/>
    <mergeCell ref="C106:C107"/>
    <mergeCell ref="A208:A211"/>
    <mergeCell ref="C3:C6"/>
    <mergeCell ref="D4:F6"/>
    <mergeCell ref="G108:G109"/>
    <mergeCell ref="H108:H109"/>
    <mergeCell ref="B83:B84"/>
    <mergeCell ref="E189:E190"/>
    <mergeCell ref="B3:B6"/>
    <mergeCell ref="B136:B141"/>
    <mergeCell ref="A183:A184"/>
    <mergeCell ref="B183:B184"/>
    <mergeCell ref="B117:B123"/>
    <mergeCell ref="G31:J31"/>
    <mergeCell ref="E198:E199"/>
    <mergeCell ref="A114:A115"/>
    <mergeCell ref="G154:K154"/>
    <mergeCell ref="K127:K128"/>
    <mergeCell ref="C169:C171"/>
    <mergeCell ref="A168:A171"/>
    <mergeCell ref="D171:F171"/>
    <mergeCell ref="H169:H171"/>
    <mergeCell ref="I169:I171"/>
    <mergeCell ref="C49:C50"/>
    <mergeCell ref="C183:C184"/>
    <mergeCell ref="D183:D184"/>
    <mergeCell ref="K57:K58"/>
    <mergeCell ref="B114:B115"/>
    <mergeCell ref="A160:A162"/>
    <mergeCell ref="D198:D199"/>
    <mergeCell ref="C104:C105"/>
    <mergeCell ref="D104:D105"/>
    <mergeCell ref="E104:E105"/>
    <mergeCell ref="F104:F105"/>
    <mergeCell ref="G106:G107"/>
    <mergeCell ref="G98:J103"/>
    <mergeCell ref="K129:K130"/>
    <mergeCell ref="A189:A190"/>
    <mergeCell ref="G186:J186"/>
    <mergeCell ref="A186:A188"/>
    <mergeCell ref="B186:B188"/>
    <mergeCell ref="C186:C188"/>
    <mergeCell ref="G169:G170"/>
    <mergeCell ref="A104:A105"/>
    <mergeCell ref="B104:B105"/>
    <mergeCell ref="C117:C123"/>
    <mergeCell ref="G115:J115"/>
    <mergeCell ref="B153:B154"/>
    <mergeCell ref="C153:C154"/>
    <mergeCell ref="A117:A123"/>
    <mergeCell ref="G137:G141"/>
    <mergeCell ref="H137:H141"/>
    <mergeCell ref="C136:C141"/>
    <mergeCell ref="H198:H199"/>
    <mergeCell ref="B189:B190"/>
    <mergeCell ref="C217:C218"/>
    <mergeCell ref="A223:A224"/>
    <mergeCell ref="G348:G350"/>
    <mergeCell ref="J348:J350"/>
    <mergeCell ref="A352:A353"/>
    <mergeCell ref="B352:B353"/>
    <mergeCell ref="C352:C353"/>
    <mergeCell ref="D352:D353"/>
    <mergeCell ref="E352:E353"/>
    <mergeCell ref="A348:A350"/>
    <mergeCell ref="B348:B350"/>
    <mergeCell ref="C348:C350"/>
    <mergeCell ref="G125:J125"/>
    <mergeCell ref="C189:C190"/>
    <mergeCell ref="E183:E184"/>
    <mergeCell ref="F183:F184"/>
    <mergeCell ref="G172:J172"/>
    <mergeCell ref="E179:E180"/>
    <mergeCell ref="B229:B230"/>
    <mergeCell ref="C311:F314"/>
    <mergeCell ref="H312:H313"/>
    <mergeCell ref="A310:A314"/>
    <mergeCell ref="B310:B314"/>
    <mergeCell ref="J296:J297"/>
    <mergeCell ref="C208:C211"/>
    <mergeCell ref="J169:J170"/>
    <mergeCell ref="I203:I205"/>
    <mergeCell ref="A198:A199"/>
    <mergeCell ref="B198:B199"/>
    <mergeCell ref="A179:A180"/>
    <mergeCell ref="B179:B180"/>
    <mergeCell ref="H879:K879"/>
    <mergeCell ref="G393:J393"/>
    <mergeCell ref="G394:J394"/>
    <mergeCell ref="G386:G387"/>
    <mergeCell ref="B393:B394"/>
    <mergeCell ref="C393:C394"/>
    <mergeCell ref="A393:A394"/>
    <mergeCell ref="E296:E297"/>
    <mergeCell ref="F296:F297"/>
    <mergeCell ref="J305:J306"/>
    <mergeCell ref="A298:A299"/>
    <mergeCell ref="B298:B299"/>
    <mergeCell ref="C298:C299"/>
    <mergeCell ref="D298:D299"/>
    <mergeCell ref="E298:E299"/>
    <mergeCell ref="F298:F299"/>
    <mergeCell ref="K305:K306"/>
    <mergeCell ref="C321:C322"/>
    <mergeCell ref="A321:A322"/>
    <mergeCell ref="F355:F356"/>
    <mergeCell ref="H348:H350"/>
    <mergeCell ref="B355:B356"/>
    <mergeCell ref="A355:A356"/>
    <mergeCell ref="E414:E415"/>
    <mergeCell ref="F414:F415"/>
    <mergeCell ref="K593:K595"/>
    <mergeCell ref="B806:B808"/>
    <mergeCell ref="A806:A808"/>
    <mergeCell ref="A200:A201"/>
    <mergeCell ref="B200:B201"/>
    <mergeCell ref="C200:C201"/>
    <mergeCell ref="G743:I745"/>
    <mergeCell ref="B225:B227"/>
    <mergeCell ref="C225:C227"/>
    <mergeCell ref="D225:D227"/>
    <mergeCell ref="J200:J201"/>
    <mergeCell ref="K200:K201"/>
    <mergeCell ref="E225:E227"/>
    <mergeCell ref="F225:F227"/>
    <mergeCell ref="K229:K230"/>
    <mergeCell ref="A238:A239"/>
    <mergeCell ref="B238:B239"/>
    <mergeCell ref="C238:C239"/>
    <mergeCell ref="I329:I330"/>
    <mergeCell ref="A203:A205"/>
    <mergeCell ref="B203:B205"/>
    <mergeCell ref="C203:C205"/>
    <mergeCell ref="A215:A216"/>
    <mergeCell ref="B215:B216"/>
    <mergeCell ref="C215:C216"/>
    <mergeCell ref="B223:B224"/>
    <mergeCell ref="A231:A234"/>
    <mergeCell ref="B231:B234"/>
    <mergeCell ref="C231:C234"/>
    <mergeCell ref="D231:D232"/>
    <mergeCell ref="J231:J232"/>
    <mergeCell ref="B208:B211"/>
    <mergeCell ref="L60:L61"/>
    <mergeCell ref="A64:A68"/>
    <mergeCell ref="B64:B68"/>
    <mergeCell ref="C64:C68"/>
    <mergeCell ref="C73:C74"/>
    <mergeCell ref="G122:J122"/>
    <mergeCell ref="E64:E67"/>
    <mergeCell ref="A60:A61"/>
    <mergeCell ref="F64:F67"/>
    <mergeCell ref="J94:J97"/>
    <mergeCell ref="H57:H58"/>
    <mergeCell ref="I57:I58"/>
    <mergeCell ref="K98:K103"/>
    <mergeCell ref="G104:J105"/>
    <mergeCell ref="H106:H107"/>
    <mergeCell ref="I106:I107"/>
    <mergeCell ref="K104:K105"/>
    <mergeCell ref="K106:K107"/>
    <mergeCell ref="J106:J107"/>
    <mergeCell ref="L83:L84"/>
    <mergeCell ref="A70:A71"/>
    <mergeCell ref="B70:B71"/>
    <mergeCell ref="C70:C71"/>
    <mergeCell ref="D70:D71"/>
    <mergeCell ref="E70:E71"/>
    <mergeCell ref="F70:F71"/>
    <mergeCell ref="K108:K109"/>
    <mergeCell ref="E73:E74"/>
    <mergeCell ref="F73:F74"/>
    <mergeCell ref="L104:L105"/>
    <mergeCell ref="D73:D74"/>
    <mergeCell ref="J57:J58"/>
    <mergeCell ref="L15:L16"/>
    <mergeCell ref="A15:A16"/>
    <mergeCell ref="B15:B16"/>
    <mergeCell ref="G15:G16"/>
    <mergeCell ref="H15:H16"/>
    <mergeCell ref="I15:I16"/>
    <mergeCell ref="J15:J16"/>
    <mergeCell ref="B39:B40"/>
    <mergeCell ref="K25:K26"/>
    <mergeCell ref="A37:A38"/>
    <mergeCell ref="B37:B38"/>
    <mergeCell ref="C37:C38"/>
    <mergeCell ref="D37:D38"/>
    <mergeCell ref="E37:E38"/>
    <mergeCell ref="F37:F38"/>
    <mergeCell ref="E25:E26"/>
    <mergeCell ref="F25:F26"/>
    <mergeCell ref="G25:G26"/>
    <mergeCell ref="H25:H26"/>
    <mergeCell ref="I25:I26"/>
    <mergeCell ref="J25:J26"/>
    <mergeCell ref="A25:A27"/>
    <mergeCell ref="B25:B27"/>
    <mergeCell ref="J37:J38"/>
    <mergeCell ref="K37:K38"/>
    <mergeCell ref="A39:A40"/>
    <mergeCell ref="C34:C36"/>
    <mergeCell ref="B34:B36"/>
    <mergeCell ref="A34:A36"/>
    <mergeCell ref="G34:G36"/>
    <mergeCell ref="H34:H36"/>
    <mergeCell ref="I34:I36"/>
    <mergeCell ref="A43:A45"/>
    <mergeCell ref="B43:B45"/>
    <mergeCell ref="C43:C45"/>
    <mergeCell ref="G43:G45"/>
    <mergeCell ref="H43:H45"/>
    <mergeCell ref="A51:A52"/>
    <mergeCell ref="B51:B52"/>
    <mergeCell ref="C51:C52"/>
    <mergeCell ref="I43:I45"/>
    <mergeCell ref="J43:J45"/>
    <mergeCell ref="K43:K45"/>
    <mergeCell ref="L43:L44"/>
    <mergeCell ref="L45:N45"/>
    <mergeCell ref="G48:G49"/>
    <mergeCell ref="H48:H49"/>
    <mergeCell ref="I48:I49"/>
    <mergeCell ref="J48:J49"/>
    <mergeCell ref="K48:K49"/>
    <mergeCell ref="A49:A50"/>
    <mergeCell ref="I51:I52"/>
    <mergeCell ref="J51:J52"/>
    <mergeCell ref="K51:K52"/>
    <mergeCell ref="B49:B50"/>
    <mergeCell ref="D50:F50"/>
    <mergeCell ref="G51:G52"/>
    <mergeCell ref="H51:H52"/>
    <mergeCell ref="L89:L90"/>
    <mergeCell ref="A91:A93"/>
    <mergeCell ref="B91:B93"/>
    <mergeCell ref="C91:C93"/>
    <mergeCell ref="K91:K93"/>
    <mergeCell ref="L91:L93"/>
    <mergeCell ref="A89:A90"/>
    <mergeCell ref="B89:B90"/>
    <mergeCell ref="C89:C90"/>
    <mergeCell ref="G89:G90"/>
    <mergeCell ref="H89:H90"/>
    <mergeCell ref="I89:I90"/>
    <mergeCell ref="G91:G93"/>
    <mergeCell ref="H91:H93"/>
    <mergeCell ref="I91:I93"/>
    <mergeCell ref="J91:J93"/>
    <mergeCell ref="E98:E103"/>
    <mergeCell ref="F98:F103"/>
    <mergeCell ref="A94:A103"/>
    <mergeCell ref="B94:B103"/>
    <mergeCell ref="C94:C97"/>
    <mergeCell ref="D94:D97"/>
    <mergeCell ref="E94:E97"/>
    <mergeCell ref="F94:F97"/>
    <mergeCell ref="L153:P153"/>
    <mergeCell ref="K160:K161"/>
    <mergeCell ref="L129:L130"/>
    <mergeCell ref="A127:A128"/>
    <mergeCell ref="B127:B128"/>
    <mergeCell ref="C127:C128"/>
    <mergeCell ref="A129:A130"/>
    <mergeCell ref="B129:B130"/>
    <mergeCell ref="C129:C130"/>
    <mergeCell ref="H142:H143"/>
    <mergeCell ref="I142:I143"/>
    <mergeCell ref="J142:J143"/>
    <mergeCell ref="K142:K143"/>
    <mergeCell ref="L142:L143"/>
    <mergeCell ref="A132:A133"/>
    <mergeCell ref="B132:B133"/>
    <mergeCell ref="A142:A143"/>
    <mergeCell ref="B142:B143"/>
    <mergeCell ref="C142:C143"/>
    <mergeCell ref="G142:G143"/>
    <mergeCell ref="G132:G133"/>
    <mergeCell ref="H132:H133"/>
    <mergeCell ref="I132:I133"/>
    <mergeCell ref="J132:J133"/>
    <mergeCell ref="G127:G128"/>
    <mergeCell ref="H127:H128"/>
    <mergeCell ref="I127:I128"/>
    <mergeCell ref="D129:D130"/>
    <mergeCell ref="E129:E130"/>
    <mergeCell ref="F129:F130"/>
    <mergeCell ref="K132:K133"/>
    <mergeCell ref="A136:A141"/>
    <mergeCell ref="L163:L164"/>
    <mergeCell ref="A165:A166"/>
    <mergeCell ref="A163:A164"/>
    <mergeCell ref="B163:B164"/>
    <mergeCell ref="C163:C164"/>
    <mergeCell ref="G163:G164"/>
    <mergeCell ref="H163:H164"/>
    <mergeCell ref="I163:I164"/>
    <mergeCell ref="B165:B167"/>
    <mergeCell ref="C165:C167"/>
    <mergeCell ref="G165:G167"/>
    <mergeCell ref="H165:H167"/>
    <mergeCell ref="I165:I167"/>
    <mergeCell ref="J165:J167"/>
    <mergeCell ref="K165:K167"/>
    <mergeCell ref="J163:J164"/>
    <mergeCell ref="K169:K170"/>
    <mergeCell ref="B168:B170"/>
    <mergeCell ref="K163:K164"/>
    <mergeCell ref="L200:L201"/>
    <mergeCell ref="D215:D216"/>
    <mergeCell ref="E215:E216"/>
    <mergeCell ref="F215:F216"/>
    <mergeCell ref="H208:H209"/>
    <mergeCell ref="I208:I209"/>
    <mergeCell ref="D209:F211"/>
    <mergeCell ref="J209:J211"/>
    <mergeCell ref="K217:K218"/>
    <mergeCell ref="J219:J220"/>
    <mergeCell ref="K219:K220"/>
    <mergeCell ref="D200:D201"/>
    <mergeCell ref="E200:E201"/>
    <mergeCell ref="F200:F201"/>
    <mergeCell ref="J223:J224"/>
    <mergeCell ref="G217:G218"/>
    <mergeCell ref="H217:H218"/>
    <mergeCell ref="I217:I218"/>
    <mergeCell ref="J217:J218"/>
    <mergeCell ref="K223:K224"/>
    <mergeCell ref="H203:H205"/>
    <mergeCell ref="K203:K205"/>
    <mergeCell ref="J203:J205"/>
    <mergeCell ref="L203:L204"/>
    <mergeCell ref="L223:L224"/>
    <mergeCell ref="L278:P278"/>
    <mergeCell ref="A284:A288"/>
    <mergeCell ref="B284:B288"/>
    <mergeCell ref="C284:C288"/>
    <mergeCell ref="D284:D288"/>
    <mergeCell ref="E284:E288"/>
    <mergeCell ref="F284:F288"/>
    <mergeCell ref="J284:J288"/>
    <mergeCell ref="K284:K288"/>
    <mergeCell ref="K231:K232"/>
    <mergeCell ref="G229:G230"/>
    <mergeCell ref="H229:H230"/>
    <mergeCell ref="B217:B218"/>
    <mergeCell ref="C229:C230"/>
    <mergeCell ref="L229:L230"/>
    <mergeCell ref="A219:A220"/>
    <mergeCell ref="B219:B220"/>
    <mergeCell ref="C219:C220"/>
    <mergeCell ref="D219:D220"/>
    <mergeCell ref="E219:E220"/>
    <mergeCell ref="F219:F220"/>
    <mergeCell ref="G227:J227"/>
    <mergeCell ref="A225:A227"/>
    <mergeCell ref="L231:L232"/>
    <mergeCell ref="G233:J233"/>
    <mergeCell ref="L233:L234"/>
    <mergeCell ref="G234:J234"/>
    <mergeCell ref="I229:I230"/>
    <mergeCell ref="J229:J230"/>
    <mergeCell ref="A229:A230"/>
    <mergeCell ref="E231:E232"/>
    <mergeCell ref="F231:F232"/>
    <mergeCell ref="L240:L245"/>
    <mergeCell ref="A240:A245"/>
    <mergeCell ref="B240:B245"/>
    <mergeCell ref="C240:C245"/>
    <mergeCell ref="D240:D245"/>
    <mergeCell ref="E240:E245"/>
    <mergeCell ref="F240:F245"/>
    <mergeCell ref="A250:A251"/>
    <mergeCell ref="A261:A264"/>
    <mergeCell ref="B261:B264"/>
    <mergeCell ref="G261:J262"/>
    <mergeCell ref="C261:C262"/>
    <mergeCell ref="C263:C264"/>
    <mergeCell ref="C250:C251"/>
    <mergeCell ref="G245:K245"/>
    <mergeCell ref="J240:J244"/>
    <mergeCell ref="K240:K244"/>
    <mergeCell ref="K261:K262"/>
    <mergeCell ref="L318:L319"/>
    <mergeCell ref="A318:A319"/>
    <mergeCell ref="B318:B319"/>
    <mergeCell ref="C318:C319"/>
    <mergeCell ref="G318:G319"/>
    <mergeCell ref="H318:H319"/>
    <mergeCell ref="I318:I319"/>
    <mergeCell ref="B321:B322"/>
    <mergeCell ref="B332:B333"/>
    <mergeCell ref="C332:C333"/>
    <mergeCell ref="J337:J338"/>
    <mergeCell ref="B337:B338"/>
    <mergeCell ref="J329:J330"/>
    <mergeCell ref="K296:K297"/>
    <mergeCell ref="I305:I306"/>
    <mergeCell ref="G303:J303"/>
    <mergeCell ref="A296:A297"/>
    <mergeCell ref="B296:B297"/>
    <mergeCell ref="C296:C297"/>
    <mergeCell ref="L305:L306"/>
    <mergeCell ref="A308:A309"/>
    <mergeCell ref="J308:J309"/>
    <mergeCell ref="K308:K309"/>
    <mergeCell ref="L403:L404"/>
    <mergeCell ref="H370:H371"/>
    <mergeCell ref="I370:I371"/>
    <mergeCell ref="K359:K362"/>
    <mergeCell ref="G359:G362"/>
    <mergeCell ref="H359:H362"/>
    <mergeCell ref="I359:I362"/>
    <mergeCell ref="G365:J365"/>
    <mergeCell ref="J367:J368"/>
    <mergeCell ref="J386:J387"/>
    <mergeCell ref="A343:A344"/>
    <mergeCell ref="K386:K387"/>
    <mergeCell ref="L405:L407"/>
    <mergeCell ref="G403:G404"/>
    <mergeCell ref="H403:H404"/>
    <mergeCell ref="I403:I404"/>
    <mergeCell ref="J403:J404"/>
    <mergeCell ref="G398:J398"/>
    <mergeCell ref="L376:L377"/>
    <mergeCell ref="J395:J396"/>
    <mergeCell ref="L378:L379"/>
    <mergeCell ref="K348:K350"/>
    <mergeCell ref="D348:D350"/>
    <mergeCell ref="E348:E350"/>
    <mergeCell ref="F348:F350"/>
    <mergeCell ref="F352:F353"/>
    <mergeCell ref="A405:A407"/>
    <mergeCell ref="E367:E368"/>
    <mergeCell ref="F367:F368"/>
    <mergeCell ref="K405:K407"/>
    <mergeCell ref="C386:C387"/>
    <mergeCell ref="A376:A379"/>
    <mergeCell ref="G425:J428"/>
    <mergeCell ref="B470:B471"/>
    <mergeCell ref="L452:L453"/>
    <mergeCell ref="A447:A451"/>
    <mergeCell ref="K311:K314"/>
    <mergeCell ref="H337:H338"/>
    <mergeCell ref="I337:I338"/>
    <mergeCell ref="L329:L330"/>
    <mergeCell ref="C329:C330"/>
    <mergeCell ref="G329:G330"/>
    <mergeCell ref="H329:H330"/>
    <mergeCell ref="A337:A338"/>
    <mergeCell ref="K337:K338"/>
    <mergeCell ref="K329:K330"/>
    <mergeCell ref="H310:H311"/>
    <mergeCell ref="I310:I311"/>
    <mergeCell ref="L321:L322"/>
    <mergeCell ref="A332:A333"/>
    <mergeCell ref="K403:K404"/>
    <mergeCell ref="H388:H389"/>
    <mergeCell ref="I388:I389"/>
    <mergeCell ref="A388:A390"/>
    <mergeCell ref="B388:B390"/>
    <mergeCell ref="C388:C390"/>
    <mergeCell ref="A395:A396"/>
    <mergeCell ref="A359:A362"/>
    <mergeCell ref="B359:B362"/>
    <mergeCell ref="C359:C362"/>
    <mergeCell ref="B367:B368"/>
    <mergeCell ref="A370:A371"/>
    <mergeCell ref="C370:C371"/>
    <mergeCell ref="G376:G377"/>
    <mergeCell ref="K463:K464"/>
    <mergeCell ref="H495:H496"/>
    <mergeCell ref="L463:L464"/>
    <mergeCell ref="A463:A465"/>
    <mergeCell ref="L423:L424"/>
    <mergeCell ref="A425:A430"/>
    <mergeCell ref="B425:B430"/>
    <mergeCell ref="C425:C430"/>
    <mergeCell ref="A432:A433"/>
    <mergeCell ref="A435:A436"/>
    <mergeCell ref="B435:B436"/>
    <mergeCell ref="C435:C436"/>
    <mergeCell ref="D435:D436"/>
    <mergeCell ref="E435:E436"/>
    <mergeCell ref="G429:G430"/>
    <mergeCell ref="H429:H430"/>
    <mergeCell ref="B472:B484"/>
    <mergeCell ref="K479:K481"/>
    <mergeCell ref="L455:L456"/>
    <mergeCell ref="G482:J482"/>
    <mergeCell ref="G474:J474"/>
    <mergeCell ref="B455:B456"/>
    <mergeCell ref="C455:C456"/>
    <mergeCell ref="K425:K430"/>
    <mergeCell ref="L425:L430"/>
    <mergeCell ref="D428:E428"/>
    <mergeCell ref="D429:D430"/>
    <mergeCell ref="E429:E430"/>
    <mergeCell ref="H423:H424"/>
    <mergeCell ref="I423:I424"/>
    <mergeCell ref="J423:J424"/>
    <mergeCell ref="K423:K424"/>
    <mergeCell ref="L578:L579"/>
    <mergeCell ref="L580:L581"/>
    <mergeCell ref="A593:A595"/>
    <mergeCell ref="B593:B595"/>
    <mergeCell ref="D593:D595"/>
    <mergeCell ref="L526:L527"/>
    <mergeCell ref="A509:A510"/>
    <mergeCell ref="B509:B510"/>
    <mergeCell ref="C509:C510"/>
    <mergeCell ref="D509:D510"/>
    <mergeCell ref="E509:E510"/>
    <mergeCell ref="F509:F510"/>
    <mergeCell ref="A526:A527"/>
    <mergeCell ref="K495:K496"/>
    <mergeCell ref="A455:A456"/>
    <mergeCell ref="J507:J508"/>
    <mergeCell ref="L514:L515"/>
    <mergeCell ref="A507:A508"/>
    <mergeCell ref="B514:B516"/>
    <mergeCell ref="A514:A516"/>
    <mergeCell ref="C514:C516"/>
    <mergeCell ref="B501:B502"/>
    <mergeCell ref="L492:L493"/>
    <mergeCell ref="G513:J513"/>
    <mergeCell ref="G492:G493"/>
    <mergeCell ref="H492:H493"/>
    <mergeCell ref="I492:I493"/>
    <mergeCell ref="G526:G527"/>
    <mergeCell ref="J492:J493"/>
    <mergeCell ref="K492:K493"/>
    <mergeCell ref="G502:J502"/>
    <mergeCell ref="I495:I496"/>
    <mergeCell ref="K571:K573"/>
    <mergeCell ref="E593:E595"/>
    <mergeCell ref="F593:F595"/>
    <mergeCell ref="K580:K581"/>
    <mergeCell ref="J530:J531"/>
    <mergeCell ref="K574:K575"/>
    <mergeCell ref="K583:K592"/>
    <mergeCell ref="G545:K545"/>
    <mergeCell ref="G548:K548"/>
    <mergeCell ref="F578:F579"/>
    <mergeCell ref="I530:I531"/>
    <mergeCell ref="H530:H531"/>
    <mergeCell ref="G574:G575"/>
    <mergeCell ref="L610:L611"/>
    <mergeCell ref="G628:G629"/>
    <mergeCell ref="E630:E631"/>
    <mergeCell ref="L628:L629"/>
    <mergeCell ref="J623:J624"/>
    <mergeCell ref="G612:G615"/>
    <mergeCell ref="K623:K624"/>
    <mergeCell ref="L574:L575"/>
    <mergeCell ref="H628:H629"/>
    <mergeCell ref="I628:I629"/>
    <mergeCell ref="I612:I615"/>
    <mergeCell ref="J612:J615"/>
    <mergeCell ref="K612:K615"/>
    <mergeCell ref="E623:E624"/>
    <mergeCell ref="F623:F624"/>
    <mergeCell ref="J628:J629"/>
    <mergeCell ref="J583:J592"/>
    <mergeCell ref="J578:J579"/>
    <mergeCell ref="K628:K629"/>
    <mergeCell ref="L676:L677"/>
    <mergeCell ref="C678:C679"/>
    <mergeCell ref="D678:D679"/>
    <mergeCell ref="K722:K729"/>
    <mergeCell ref="G729:J729"/>
    <mergeCell ref="K638:K640"/>
    <mergeCell ref="H637:H638"/>
    <mergeCell ref="I637:I638"/>
    <mergeCell ref="C637:C641"/>
    <mergeCell ref="D638:F640"/>
    <mergeCell ref="G645:J645"/>
    <mergeCell ref="F647:F648"/>
    <mergeCell ref="F628:F629"/>
    <mergeCell ref="G647:G648"/>
    <mergeCell ref="E628:E629"/>
    <mergeCell ref="C650:C651"/>
    <mergeCell ref="D650:D651"/>
    <mergeCell ref="G685:J685"/>
    <mergeCell ref="J690:J694"/>
    <mergeCell ref="C682:C686"/>
    <mergeCell ref="I650:I651"/>
    <mergeCell ref="G714:J714"/>
    <mergeCell ref="H678:H679"/>
    <mergeCell ref="C660:C661"/>
    <mergeCell ref="J671:J672"/>
    <mergeCell ref="L630:L631"/>
    <mergeCell ref="D628:D629"/>
    <mergeCell ref="L737:L738"/>
    <mergeCell ref="K703:K704"/>
    <mergeCell ref="K743:K747"/>
    <mergeCell ref="G674:J674"/>
    <mergeCell ref="G723:J723"/>
    <mergeCell ref="G724:J724"/>
    <mergeCell ref="G725:J725"/>
    <mergeCell ref="J737:J738"/>
    <mergeCell ref="C716:C718"/>
    <mergeCell ref="K716:K718"/>
    <mergeCell ref="L703:L704"/>
    <mergeCell ref="I647:I648"/>
    <mergeCell ref="J647:J648"/>
    <mergeCell ref="B702:B715"/>
    <mergeCell ref="F690:F692"/>
    <mergeCell ref="G715:J715"/>
    <mergeCell ref="E690:E692"/>
    <mergeCell ref="I716:I717"/>
    <mergeCell ref="K690:K694"/>
    <mergeCell ref="D716:D718"/>
    <mergeCell ref="E716:E718"/>
    <mergeCell ref="F716:F718"/>
    <mergeCell ref="I654:I658"/>
    <mergeCell ref="H650:H651"/>
    <mergeCell ref="G678:G679"/>
    <mergeCell ref="F660:F661"/>
    <mergeCell ref="D709:E709"/>
    <mergeCell ref="D710:E710"/>
    <mergeCell ref="G716:G717"/>
    <mergeCell ref="L650:L651"/>
    <mergeCell ref="J650:J651"/>
    <mergeCell ref="I690:I694"/>
    <mergeCell ref="A848:A850"/>
    <mergeCell ref="D848:D849"/>
    <mergeCell ref="E848:E849"/>
    <mergeCell ref="K737:K738"/>
    <mergeCell ref="A737:A738"/>
    <mergeCell ref="L763:P763"/>
    <mergeCell ref="A716:A718"/>
    <mergeCell ref="A676:A679"/>
    <mergeCell ref="B676:B679"/>
    <mergeCell ref="C676:C677"/>
    <mergeCell ref="G676:G677"/>
    <mergeCell ref="H676:H677"/>
    <mergeCell ref="I676:I677"/>
    <mergeCell ref="A654:A661"/>
    <mergeCell ref="C654:C658"/>
    <mergeCell ref="G654:G658"/>
    <mergeCell ref="H654:H658"/>
    <mergeCell ref="B660:B661"/>
    <mergeCell ref="J654:J658"/>
    <mergeCell ref="A783:A784"/>
    <mergeCell ref="B783:B784"/>
    <mergeCell ref="A789:A790"/>
    <mergeCell ref="B789:B790"/>
    <mergeCell ref="C789:C790"/>
    <mergeCell ref="G722:J722"/>
    <mergeCell ref="A799:A802"/>
    <mergeCell ref="L660:L661"/>
    <mergeCell ref="G671:G672"/>
    <mergeCell ref="H671:H672"/>
    <mergeCell ref="I671:I672"/>
    <mergeCell ref="D690:D692"/>
    <mergeCell ref="L844:O844"/>
    <mergeCell ref="K853:K854"/>
    <mergeCell ref="A901:B901"/>
    <mergeCell ref="G61:J61"/>
    <mergeCell ref="B60:B61"/>
    <mergeCell ref="C60:C61"/>
    <mergeCell ref="A76:A82"/>
    <mergeCell ref="B76:B82"/>
    <mergeCell ref="C76:C82"/>
    <mergeCell ref="D98:D103"/>
    <mergeCell ref="A853:A854"/>
    <mergeCell ref="B853:B854"/>
    <mergeCell ref="C853:C854"/>
    <mergeCell ref="D853:D854"/>
    <mergeCell ref="E853:E854"/>
    <mergeCell ref="F853:F854"/>
    <mergeCell ref="A818:A819"/>
    <mergeCell ref="B818:B819"/>
    <mergeCell ref="A809:A810"/>
    <mergeCell ref="A764:A765"/>
    <mergeCell ref="B764:B765"/>
    <mergeCell ref="C764:C765"/>
    <mergeCell ref="D764:D765"/>
    <mergeCell ref="E764:E765"/>
    <mergeCell ref="J705:J706"/>
    <mergeCell ref="K705:K706"/>
    <mergeCell ref="G696:J696"/>
    <mergeCell ref="G699:J699"/>
    <mergeCell ref="G728:J728"/>
    <mergeCell ref="G727:J727"/>
    <mergeCell ref="G686:J686"/>
    <mergeCell ref="A702:A715"/>
    <mergeCell ref="C702:C715"/>
    <mergeCell ref="L764:L765"/>
    <mergeCell ref="B737:B738"/>
    <mergeCell ref="C737:C738"/>
    <mergeCell ref="D737:D738"/>
    <mergeCell ref="E737:E738"/>
    <mergeCell ref="F737:F738"/>
    <mergeCell ref="A803:A804"/>
    <mergeCell ref="C746:C747"/>
    <mergeCell ref="C818:C819"/>
    <mergeCell ref="L843:O843"/>
    <mergeCell ref="J764:J765"/>
    <mergeCell ref="K764:K765"/>
    <mergeCell ref="A759:A761"/>
    <mergeCell ref="B759:B761"/>
    <mergeCell ref="C759:C761"/>
    <mergeCell ref="K789:K790"/>
    <mergeCell ref="B831:B832"/>
    <mergeCell ref="A831:A832"/>
    <mergeCell ref="J743:J747"/>
    <mergeCell ref="E799:E800"/>
    <mergeCell ref="F799:F800"/>
    <mergeCell ref="I764:I765"/>
    <mergeCell ref="H764:H765"/>
    <mergeCell ref="A766:A767"/>
    <mergeCell ref="B766:B767"/>
    <mergeCell ref="C766:C767"/>
    <mergeCell ref="B835:B836"/>
    <mergeCell ref="A835:A836"/>
    <mergeCell ref="C835:C836"/>
    <mergeCell ref="A768:A769"/>
    <mergeCell ref="B768:B769"/>
    <mergeCell ref="J799:J800"/>
    <mergeCell ref="G789:G790"/>
    <mergeCell ref="B809:B810"/>
    <mergeCell ref="C809:C810"/>
    <mergeCell ref="B803:B804"/>
    <mergeCell ref="C803:C804"/>
    <mergeCell ref="D803:D804"/>
    <mergeCell ref="H789:H790"/>
    <mergeCell ref="I789:I790"/>
    <mergeCell ref="J789:J790"/>
    <mergeCell ref="G726:J726"/>
    <mergeCell ref="H737:H738"/>
    <mergeCell ref="G707:I707"/>
    <mergeCell ref="B637:B641"/>
    <mergeCell ref="H583:I583"/>
    <mergeCell ref="J678:J679"/>
    <mergeCell ref="C687:C688"/>
    <mergeCell ref="J676:J677"/>
    <mergeCell ref="G697:J697"/>
    <mergeCell ref="G682:J683"/>
    <mergeCell ref="G673:J673"/>
    <mergeCell ref="B687:B688"/>
    <mergeCell ref="D711:E711"/>
    <mergeCell ref="D583:D592"/>
    <mergeCell ref="G659:J659"/>
    <mergeCell ref="E678:E679"/>
    <mergeCell ref="B643:B645"/>
    <mergeCell ref="C768:C769"/>
    <mergeCell ref="H647:H648"/>
    <mergeCell ref="C722:C729"/>
    <mergeCell ref="C593:C595"/>
    <mergeCell ref="H612:H615"/>
    <mergeCell ref="B799:B802"/>
    <mergeCell ref="K455:K456"/>
    <mergeCell ref="G447:J450"/>
    <mergeCell ref="F485:F488"/>
    <mergeCell ref="J485:J488"/>
    <mergeCell ref="K485:K488"/>
    <mergeCell ref="F429:F430"/>
    <mergeCell ref="G455:G456"/>
    <mergeCell ref="H455:H456"/>
    <mergeCell ref="I455:I456"/>
    <mergeCell ref="J455:J456"/>
    <mergeCell ref="J370:J371"/>
    <mergeCell ref="K370:K371"/>
    <mergeCell ref="J526:J527"/>
    <mergeCell ref="K526:K527"/>
    <mergeCell ref="J495:J496"/>
    <mergeCell ref="G463:G464"/>
    <mergeCell ref="H463:H464"/>
    <mergeCell ref="K514:K515"/>
    <mergeCell ref="G507:G508"/>
    <mergeCell ref="H507:H508"/>
    <mergeCell ref="I507:I508"/>
    <mergeCell ref="J429:J430"/>
    <mergeCell ref="J411:J412"/>
    <mergeCell ref="K411:K412"/>
    <mergeCell ref="H386:H387"/>
    <mergeCell ref="I386:I387"/>
    <mergeCell ref="K447:K450"/>
    <mergeCell ref="G378:G379"/>
    <mergeCell ref="G390:J390"/>
    <mergeCell ref="J405:J407"/>
    <mergeCell ref="I463:I464"/>
    <mergeCell ref="J463:J464"/>
    <mergeCell ref="D860:F860"/>
    <mergeCell ref="B160:B162"/>
    <mergeCell ref="C160:C162"/>
    <mergeCell ref="G162:J162"/>
    <mergeCell ref="K507:K508"/>
    <mergeCell ref="J414:J415"/>
    <mergeCell ref="K414:K415"/>
    <mergeCell ref="K395:K396"/>
    <mergeCell ref="K376:K377"/>
    <mergeCell ref="K367:K368"/>
    <mergeCell ref="I348:I350"/>
    <mergeCell ref="G203:G205"/>
    <mergeCell ref="B250:B251"/>
    <mergeCell ref="G179:G180"/>
    <mergeCell ref="H179:H180"/>
    <mergeCell ref="I179:I180"/>
    <mergeCell ref="J179:J180"/>
    <mergeCell ref="K179:K180"/>
    <mergeCell ref="G405:G407"/>
    <mergeCell ref="H405:H407"/>
    <mergeCell ref="I405:I407"/>
    <mergeCell ref="I526:I527"/>
    <mergeCell ref="B507:B508"/>
    <mergeCell ref="C507:C508"/>
    <mergeCell ref="G737:G738"/>
    <mergeCell ref="I737:I738"/>
    <mergeCell ref="C530:C531"/>
    <mergeCell ref="J514:J515"/>
    <mergeCell ref="K848:K850"/>
    <mergeCell ref="G851:J851"/>
    <mergeCell ref="C848:C852"/>
    <mergeCell ref="K578:K579"/>
    <mergeCell ref="K803:K804"/>
    <mergeCell ref="C799:C802"/>
    <mergeCell ref="K809:K810"/>
    <mergeCell ref="K799:K800"/>
    <mergeCell ref="K660:K661"/>
    <mergeCell ref="H716:H717"/>
    <mergeCell ref="J716:J718"/>
    <mergeCell ref="K678:K679"/>
    <mergeCell ref="K676:K677"/>
    <mergeCell ref="F764:F765"/>
    <mergeCell ref="B583:B592"/>
    <mergeCell ref="C583:C592"/>
    <mergeCell ref="K671:K672"/>
    <mergeCell ref="D708:E708"/>
    <mergeCell ref="D715:E715"/>
    <mergeCell ref="C806:C808"/>
    <mergeCell ref="F678:F679"/>
    <mergeCell ref="K647:K648"/>
    <mergeCell ref="K650:K651"/>
    <mergeCell ref="C671:C675"/>
    <mergeCell ref="I678:I679"/>
    <mergeCell ref="G684:J684"/>
    <mergeCell ref="D660:D661"/>
    <mergeCell ref="B682:B686"/>
    <mergeCell ref="E583:E592"/>
    <mergeCell ref="G695:J695"/>
    <mergeCell ref="E650:E651"/>
    <mergeCell ref="F650:F651"/>
    <mergeCell ref="J638:J640"/>
    <mergeCell ref="G650:G651"/>
    <mergeCell ref="H690:H694"/>
    <mergeCell ref="E660:E661"/>
    <mergeCell ref="B530:B531"/>
    <mergeCell ref="G660:J661"/>
    <mergeCell ref="G503:J503"/>
    <mergeCell ref="J479:J481"/>
    <mergeCell ref="B526:B527"/>
    <mergeCell ref="C526:C527"/>
    <mergeCell ref="B489:B491"/>
    <mergeCell ref="D490:F490"/>
    <mergeCell ref="C489:C491"/>
    <mergeCell ref="G483:J483"/>
    <mergeCell ref="B580:B582"/>
    <mergeCell ref="C580:C582"/>
    <mergeCell ref="A583:A592"/>
    <mergeCell ref="A628:A629"/>
    <mergeCell ref="B628:B629"/>
    <mergeCell ref="C628:C629"/>
    <mergeCell ref="B620:B621"/>
    <mergeCell ref="C620:C621"/>
    <mergeCell ref="C551:C555"/>
    <mergeCell ref="B551:B555"/>
    <mergeCell ref="A551:A555"/>
    <mergeCell ref="G555:J555"/>
    <mergeCell ref="C630:C631"/>
    <mergeCell ref="F630:F631"/>
    <mergeCell ref="A600:A608"/>
    <mergeCell ref="B600:B608"/>
    <mergeCell ref="B623:B624"/>
    <mergeCell ref="C623:C624"/>
    <mergeCell ref="D623:D624"/>
    <mergeCell ref="C600:C608"/>
    <mergeCell ref="H526:H527"/>
    <mergeCell ref="A519:A521"/>
    <mergeCell ref="G477:J477"/>
    <mergeCell ref="G478:J478"/>
    <mergeCell ref="D482:D484"/>
    <mergeCell ref="A580:A582"/>
    <mergeCell ref="G495:G496"/>
    <mergeCell ref="C472:C484"/>
    <mergeCell ref="G472:J472"/>
    <mergeCell ref="A532:A549"/>
    <mergeCell ref="C532:C549"/>
    <mergeCell ref="H574:H575"/>
    <mergeCell ref="I574:I575"/>
    <mergeCell ref="J574:J575"/>
    <mergeCell ref="D548:E548"/>
    <mergeCell ref="G552:J552"/>
    <mergeCell ref="G553:J553"/>
    <mergeCell ref="G554:J554"/>
    <mergeCell ref="D478:D481"/>
    <mergeCell ref="E478:E481"/>
    <mergeCell ref="C495:C496"/>
    <mergeCell ref="B503:B504"/>
    <mergeCell ref="A503:A504"/>
    <mergeCell ref="G504:J504"/>
    <mergeCell ref="B532:B549"/>
    <mergeCell ref="J580:J581"/>
    <mergeCell ref="A578:A579"/>
    <mergeCell ref="B578:B579"/>
    <mergeCell ref="C578:C579"/>
    <mergeCell ref="D578:D579"/>
    <mergeCell ref="E578:E579"/>
    <mergeCell ref="J571:J573"/>
    <mergeCell ref="C519:C521"/>
    <mergeCell ref="G476:J476"/>
    <mergeCell ref="L878:L879"/>
    <mergeCell ref="A495:A496"/>
    <mergeCell ref="B495:B496"/>
    <mergeCell ref="A85:A88"/>
    <mergeCell ref="B85:B88"/>
    <mergeCell ref="C85:C88"/>
    <mergeCell ref="G432:J432"/>
    <mergeCell ref="G157:J157"/>
    <mergeCell ref="G158:J158"/>
    <mergeCell ref="A155:A159"/>
    <mergeCell ref="B155:B159"/>
    <mergeCell ref="C155:C159"/>
    <mergeCell ref="G155:J156"/>
    <mergeCell ref="G159:J159"/>
    <mergeCell ref="G289:J289"/>
    <mergeCell ref="B881:B882"/>
    <mergeCell ref="A881:A882"/>
    <mergeCell ref="C881:C882"/>
    <mergeCell ref="D881:D882"/>
    <mergeCell ref="E881:E882"/>
    <mergeCell ref="F881:F882"/>
    <mergeCell ref="G470:J470"/>
    <mergeCell ref="G807:K807"/>
    <mergeCell ref="B878:B880"/>
    <mergeCell ref="A878:A880"/>
    <mergeCell ref="I429:I430"/>
    <mergeCell ref="H630:H631"/>
    <mergeCell ref="I630:I631"/>
    <mergeCell ref="J803:J804"/>
    <mergeCell ref="G848:J850"/>
    <mergeCell ref="J853:J854"/>
    <mergeCell ref="J809:J8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rightToLeft="1" topLeftCell="B94" zoomScale="60" zoomScaleNormal="60" workbookViewId="0">
      <selection activeCell="B109" sqref="B109:B112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366" customWidth="1"/>
  </cols>
  <sheetData>
    <row r="1" spans="1:12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261</v>
      </c>
      <c r="J1" s="1" t="s">
        <v>278</v>
      </c>
      <c r="K1" s="10" t="s">
        <v>291</v>
      </c>
      <c r="L1" s="148" t="s">
        <v>268</v>
      </c>
    </row>
    <row r="2" spans="1:12" ht="30" customHeight="1" x14ac:dyDescent="0.2">
      <c r="A2" s="2825">
        <v>1</v>
      </c>
      <c r="B2" s="19" t="s">
        <v>1496</v>
      </c>
      <c r="C2" s="2873" t="s">
        <v>372</v>
      </c>
      <c r="D2" s="2848">
        <v>600000000</v>
      </c>
      <c r="E2" s="2871">
        <v>0.06</v>
      </c>
      <c r="F2" s="2848">
        <f>D2*E2</f>
        <v>36000000</v>
      </c>
      <c r="G2" s="4725" t="s">
        <v>4942</v>
      </c>
      <c r="H2" s="4726"/>
      <c r="I2" s="4726"/>
      <c r="J2" s="4727"/>
      <c r="K2" s="2848"/>
      <c r="L2" s="2843"/>
    </row>
    <row r="3" spans="1:12" ht="30" customHeight="1" x14ac:dyDescent="0.2">
      <c r="A3" s="2876">
        <v>3</v>
      </c>
      <c r="B3" s="19" t="s">
        <v>285</v>
      </c>
      <c r="C3" s="2847" t="s">
        <v>359</v>
      </c>
      <c r="D3" s="2821">
        <v>36000000</v>
      </c>
      <c r="E3" s="2871">
        <v>7.0000000000000007E-2</v>
      </c>
      <c r="F3" s="2821">
        <v>2500000</v>
      </c>
      <c r="G3" s="2821">
        <v>2500000</v>
      </c>
      <c r="H3" s="2821" t="s">
        <v>5054</v>
      </c>
      <c r="I3" s="24" t="s">
        <v>2026</v>
      </c>
      <c r="J3" s="2821">
        <f>G3</f>
        <v>2500000</v>
      </c>
      <c r="K3" s="2821">
        <f>F3-J3</f>
        <v>0</v>
      </c>
      <c r="L3" s="2870"/>
    </row>
    <row r="4" spans="1:12" ht="30" customHeight="1" x14ac:dyDescent="0.2">
      <c r="A4" s="2825">
        <v>4</v>
      </c>
      <c r="B4" s="2869" t="s">
        <v>310</v>
      </c>
      <c r="C4" s="2873" t="s">
        <v>2644</v>
      </c>
      <c r="D4" s="2821">
        <v>700000000</v>
      </c>
      <c r="E4" s="2871">
        <v>6.3E-2</v>
      </c>
      <c r="F4" s="2821">
        <f>D4*E4</f>
        <v>44100000</v>
      </c>
      <c r="G4" s="2821">
        <v>44000000</v>
      </c>
      <c r="H4" s="2821" t="s">
        <v>4876</v>
      </c>
      <c r="I4" s="24" t="s">
        <v>1543</v>
      </c>
      <c r="J4" s="2821">
        <f>G4</f>
        <v>44000000</v>
      </c>
      <c r="K4" s="2821">
        <f>F4-J4</f>
        <v>100000</v>
      </c>
      <c r="L4" s="29"/>
    </row>
    <row r="5" spans="1:12" ht="30" customHeight="1" x14ac:dyDescent="0.2">
      <c r="A5" s="2825">
        <v>6</v>
      </c>
      <c r="B5" s="2869" t="s">
        <v>407</v>
      </c>
      <c r="C5" s="2846"/>
      <c r="D5" s="2821">
        <v>15000000</v>
      </c>
      <c r="E5" s="2871">
        <v>0.05</v>
      </c>
      <c r="F5" s="2821">
        <f t="shared" ref="F5:F19" si="0">D5*E5</f>
        <v>750000</v>
      </c>
      <c r="G5" s="2821"/>
      <c r="H5" s="2821"/>
      <c r="I5" s="24"/>
      <c r="J5" s="2821">
        <f t="shared" ref="J5:J10" si="1">G5</f>
        <v>0</v>
      </c>
      <c r="K5" s="2821">
        <f t="shared" ref="K5:K10" si="2">F5-J5</f>
        <v>750000</v>
      </c>
      <c r="L5" s="638"/>
    </row>
    <row r="6" spans="1:12" ht="30" customHeight="1" x14ac:dyDescent="0.2">
      <c r="A6" s="2825">
        <v>7</v>
      </c>
      <c r="B6" s="2869" t="s">
        <v>102</v>
      </c>
      <c r="C6" s="2846" t="s">
        <v>889</v>
      </c>
      <c r="D6" s="2821">
        <v>45000000</v>
      </c>
      <c r="E6" s="2871">
        <v>0.05</v>
      </c>
      <c r="F6" s="2821">
        <f t="shared" si="0"/>
        <v>2250000</v>
      </c>
      <c r="G6" s="2821">
        <v>2250000</v>
      </c>
      <c r="H6" s="2821" t="s">
        <v>5011</v>
      </c>
      <c r="I6" s="26" t="s">
        <v>409</v>
      </c>
      <c r="J6" s="2821">
        <f t="shared" si="1"/>
        <v>2250000</v>
      </c>
      <c r="K6" s="2821">
        <f t="shared" si="2"/>
        <v>0</v>
      </c>
      <c r="L6" s="737"/>
    </row>
    <row r="7" spans="1:12" ht="30" customHeight="1" x14ac:dyDescent="0.2">
      <c r="A7" s="2825">
        <v>8</v>
      </c>
      <c r="B7" s="62" t="s">
        <v>349</v>
      </c>
      <c r="C7" s="3329" t="s">
        <v>1291</v>
      </c>
      <c r="D7" s="3317">
        <v>400000000</v>
      </c>
      <c r="E7" s="2521">
        <v>4.4999999999999998E-2</v>
      </c>
      <c r="F7" s="3317">
        <f t="shared" si="0"/>
        <v>18000000</v>
      </c>
      <c r="G7" s="3317"/>
      <c r="H7" s="3320"/>
      <c r="I7" s="3330" t="s">
        <v>3739</v>
      </c>
      <c r="J7" s="3320">
        <f t="shared" si="1"/>
        <v>0</v>
      </c>
      <c r="K7" s="3317">
        <f t="shared" si="2"/>
        <v>18000000</v>
      </c>
      <c r="L7" s="2352"/>
    </row>
    <row r="8" spans="1:12" ht="30" customHeight="1" x14ac:dyDescent="0.2">
      <c r="A8" s="3398"/>
      <c r="B8" s="3415" t="s">
        <v>349</v>
      </c>
      <c r="C8" s="3406"/>
      <c r="D8" s="3396">
        <v>650000000</v>
      </c>
      <c r="E8" s="3400"/>
      <c r="F8" s="3396"/>
      <c r="G8" s="3396"/>
      <c r="H8" s="3396"/>
      <c r="I8" s="24"/>
      <c r="J8" s="3396"/>
      <c r="K8" s="3396"/>
      <c r="L8" s="3425" t="s">
        <v>5264</v>
      </c>
    </row>
    <row r="9" spans="1:12" ht="30" customHeight="1" x14ac:dyDescent="0.2">
      <c r="A9" s="2876">
        <v>9</v>
      </c>
      <c r="B9" s="3326" t="s">
        <v>378</v>
      </c>
      <c r="C9" s="3310" t="s">
        <v>371</v>
      </c>
      <c r="D9" s="3311">
        <v>10000000</v>
      </c>
      <c r="E9" s="2558">
        <v>0.05</v>
      </c>
      <c r="F9" s="3311">
        <f t="shared" si="0"/>
        <v>500000</v>
      </c>
      <c r="G9" s="3311">
        <v>500000</v>
      </c>
      <c r="H9" s="3311" t="s">
        <v>4961</v>
      </c>
      <c r="I9" s="3327" t="s">
        <v>1001</v>
      </c>
      <c r="J9" s="3311">
        <f t="shared" si="1"/>
        <v>500000</v>
      </c>
      <c r="K9" s="3311">
        <f t="shared" si="2"/>
        <v>0</v>
      </c>
      <c r="L9" s="29" t="s">
        <v>5212</v>
      </c>
    </row>
    <row r="10" spans="1:12" ht="30" customHeight="1" x14ac:dyDescent="0.2">
      <c r="A10" s="4459">
        <v>10</v>
      </c>
      <c r="B10" s="4457" t="s">
        <v>999</v>
      </c>
      <c r="C10" s="4537" t="s">
        <v>1796</v>
      </c>
      <c r="D10" s="2821">
        <v>180000000</v>
      </c>
      <c r="E10" s="2871">
        <v>7.0000000000000007E-2</v>
      </c>
      <c r="F10" s="2821">
        <f t="shared" si="0"/>
        <v>12600000.000000002</v>
      </c>
      <c r="G10" s="2821">
        <v>12600000</v>
      </c>
      <c r="H10" s="2821" t="s">
        <v>1491</v>
      </c>
      <c r="I10" s="24" t="s">
        <v>5284</v>
      </c>
      <c r="J10" s="2821">
        <f t="shared" si="1"/>
        <v>12600000</v>
      </c>
      <c r="K10" s="2821">
        <f t="shared" si="2"/>
        <v>0</v>
      </c>
      <c r="L10" s="180"/>
    </row>
    <row r="11" spans="1:12" ht="30" customHeight="1" x14ac:dyDescent="0.2">
      <c r="A11" s="4464"/>
      <c r="B11" s="4488"/>
      <c r="C11" s="4540"/>
      <c r="D11" s="3290">
        <v>10000000</v>
      </c>
      <c r="E11" s="3303">
        <v>7.0000000000000007E-2</v>
      </c>
      <c r="F11" s="3290">
        <f>D11*E11</f>
        <v>700000.00000000012</v>
      </c>
      <c r="G11" s="3292"/>
      <c r="H11" s="3292"/>
      <c r="I11" s="1611"/>
      <c r="J11" s="3292"/>
      <c r="K11" s="3292"/>
      <c r="L11" s="180" t="s">
        <v>5188</v>
      </c>
    </row>
    <row r="12" spans="1:12" ht="30" customHeight="1" x14ac:dyDescent="0.2">
      <c r="A12" s="4464"/>
      <c r="B12" s="4488"/>
      <c r="C12" s="4540"/>
      <c r="D12" s="3290">
        <v>10000000</v>
      </c>
      <c r="E12" s="3303">
        <v>7.0000000000000007E-2</v>
      </c>
      <c r="F12" s="3290">
        <f>D12*E12</f>
        <v>700000.00000000012</v>
      </c>
      <c r="G12" s="3292"/>
      <c r="H12" s="3292"/>
      <c r="I12" s="1611"/>
      <c r="J12" s="3292"/>
      <c r="K12" s="3292"/>
      <c r="L12" s="180" t="s">
        <v>5189</v>
      </c>
    </row>
    <row r="13" spans="1:12" ht="30" customHeight="1" x14ac:dyDescent="0.2">
      <c r="A13" s="4464"/>
      <c r="B13" s="4488"/>
      <c r="C13" s="4540"/>
      <c r="D13" s="3290">
        <v>10000000</v>
      </c>
      <c r="E13" s="3303">
        <v>7.0000000000000007E-2</v>
      </c>
      <c r="F13" s="3290">
        <f t="shared" si="0"/>
        <v>700000.00000000012</v>
      </c>
      <c r="G13" s="3292"/>
      <c r="H13" s="3292"/>
      <c r="I13" s="1611"/>
      <c r="J13" s="3292"/>
      <c r="K13" s="3292"/>
      <c r="L13" s="180" t="s">
        <v>5186</v>
      </c>
    </row>
    <row r="14" spans="1:12" ht="30" customHeight="1" x14ac:dyDescent="0.2">
      <c r="A14" s="4464"/>
      <c r="B14" s="4488"/>
      <c r="C14" s="4540"/>
      <c r="D14" s="3290">
        <v>10000000</v>
      </c>
      <c r="E14" s="3303">
        <v>7.0000000000000007E-2</v>
      </c>
      <c r="F14" s="3290">
        <f t="shared" si="0"/>
        <v>700000.00000000012</v>
      </c>
      <c r="G14" s="3292"/>
      <c r="H14" s="3292"/>
      <c r="I14" s="1611"/>
      <c r="J14" s="3292"/>
      <c r="K14" s="3292"/>
      <c r="L14" s="180" t="s">
        <v>5187</v>
      </c>
    </row>
    <row r="15" spans="1:12" ht="30" customHeight="1" x14ac:dyDescent="0.2">
      <c r="A15" s="4464"/>
      <c r="B15" s="4488"/>
      <c r="C15" s="4540"/>
      <c r="D15" s="3290">
        <v>10000000</v>
      </c>
      <c r="E15" s="3303">
        <v>7.0000000000000007E-2</v>
      </c>
      <c r="F15" s="3290">
        <f t="shared" si="0"/>
        <v>700000.00000000012</v>
      </c>
      <c r="G15" s="3292"/>
      <c r="H15" s="3292"/>
      <c r="I15" s="1611"/>
      <c r="J15" s="3292"/>
      <c r="K15" s="3292"/>
      <c r="L15" s="180" t="s">
        <v>5190</v>
      </c>
    </row>
    <row r="16" spans="1:12" ht="30" customHeight="1" x14ac:dyDescent="0.2">
      <c r="A16" s="4464"/>
      <c r="B16" s="4488"/>
      <c r="C16" s="4540"/>
      <c r="D16" s="3290">
        <v>10000000</v>
      </c>
      <c r="E16" s="3303">
        <v>7.0000000000000007E-2</v>
      </c>
      <c r="F16" s="3290">
        <f t="shared" si="0"/>
        <v>700000.00000000012</v>
      </c>
      <c r="G16" s="3292"/>
      <c r="H16" s="3292"/>
      <c r="I16" s="1611"/>
      <c r="J16" s="3292"/>
      <c r="K16" s="3292"/>
      <c r="L16" s="180" t="s">
        <v>5191</v>
      </c>
    </row>
    <row r="17" spans="1:12" ht="30" customHeight="1" x14ac:dyDescent="0.2">
      <c r="A17" s="4460"/>
      <c r="B17" s="4458"/>
      <c r="C17" s="4538"/>
      <c r="D17" s="3307">
        <f>SUM(D10:D16)</f>
        <v>240000000</v>
      </c>
      <c r="E17" s="897">
        <v>7.0000000000000007E-2</v>
      </c>
      <c r="F17" s="3307">
        <f>D17*E17</f>
        <v>16800000</v>
      </c>
      <c r="G17" s="3292"/>
      <c r="H17" s="3292"/>
      <c r="I17" s="1611"/>
      <c r="J17" s="3292"/>
      <c r="K17" s="3292"/>
      <c r="L17" s="180" t="s">
        <v>5213</v>
      </c>
    </row>
    <row r="18" spans="1:12" ht="30" customHeight="1" x14ac:dyDescent="0.2">
      <c r="A18" s="4459">
        <v>11</v>
      </c>
      <c r="B18" s="4615" t="s">
        <v>393</v>
      </c>
      <c r="C18" s="4537" t="s">
        <v>359</v>
      </c>
      <c r="D18" s="2848">
        <v>15000000</v>
      </c>
      <c r="E18" s="2871">
        <v>7.0000000000000007E-2</v>
      </c>
      <c r="F18" s="2848">
        <f t="shared" si="0"/>
        <v>1050000</v>
      </c>
      <c r="G18" s="4413">
        <v>1300000</v>
      </c>
      <c r="H18" s="4413" t="s">
        <v>5085</v>
      </c>
      <c r="I18" s="4898" t="s">
        <v>394</v>
      </c>
      <c r="J18" s="4413">
        <f>G18+G19</f>
        <v>1300000</v>
      </c>
      <c r="K18" s="4413">
        <v>0</v>
      </c>
      <c r="L18" s="4492"/>
    </row>
    <row r="19" spans="1:12" ht="30" customHeight="1" x14ac:dyDescent="0.2">
      <c r="A19" s="4464"/>
      <c r="B19" s="4615"/>
      <c r="C19" s="4538"/>
      <c r="D19" s="2848">
        <v>5000000</v>
      </c>
      <c r="E19" s="2871">
        <v>0.05</v>
      </c>
      <c r="F19" s="2848">
        <f t="shared" si="0"/>
        <v>250000</v>
      </c>
      <c r="G19" s="4415"/>
      <c r="H19" s="4415"/>
      <c r="I19" s="4899"/>
      <c r="J19" s="4415"/>
      <c r="K19" s="4415"/>
      <c r="L19" s="4493"/>
    </row>
    <row r="20" spans="1:12" ht="30" customHeight="1" x14ac:dyDescent="0.2">
      <c r="A20" s="1029">
        <v>12</v>
      </c>
      <c r="B20" s="2869" t="s">
        <v>399</v>
      </c>
      <c r="C20" s="2847" t="s">
        <v>1172</v>
      </c>
      <c r="D20" s="2821">
        <v>75000000</v>
      </c>
      <c r="E20" s="2823">
        <f>F20/D20</f>
        <v>5.3333333333333337E-2</v>
      </c>
      <c r="F20" s="2821">
        <v>4000000</v>
      </c>
      <c r="G20" s="2821">
        <v>4000000</v>
      </c>
      <c r="H20" s="2821" t="s">
        <v>4893</v>
      </c>
      <c r="I20" s="52" t="s">
        <v>3728</v>
      </c>
      <c r="J20" s="2821">
        <f>G20</f>
        <v>4000000</v>
      </c>
      <c r="K20" s="2821">
        <f>F20-J20</f>
        <v>0</v>
      </c>
      <c r="L20" s="2835"/>
    </row>
    <row r="21" spans="1:12" ht="30" customHeight="1" x14ac:dyDescent="0.2">
      <c r="A21" s="2876"/>
      <c r="B21" s="19" t="s">
        <v>420</v>
      </c>
      <c r="C21" s="2873" t="s">
        <v>359</v>
      </c>
      <c r="D21" s="2848">
        <v>100000000</v>
      </c>
      <c r="E21" s="2871">
        <v>7.0000000000000007E-2</v>
      </c>
      <c r="F21" s="2848">
        <f t="shared" ref="F21:F27" si="3">D21*E21</f>
        <v>7000000.0000000009</v>
      </c>
      <c r="G21" s="1456">
        <v>7000000</v>
      </c>
      <c r="H21" s="1456" t="s">
        <v>5054</v>
      </c>
      <c r="I21" s="1456" t="s">
        <v>1946</v>
      </c>
      <c r="J21" s="2848">
        <f>G21</f>
        <v>7000000</v>
      </c>
      <c r="K21" s="2848">
        <f>F21-J21</f>
        <v>0</v>
      </c>
      <c r="L21" s="2898"/>
    </row>
    <row r="22" spans="1:12" ht="30" customHeight="1" x14ac:dyDescent="0.2">
      <c r="A22" s="2826">
        <v>14</v>
      </c>
      <c r="B22" s="2829" t="s">
        <v>428</v>
      </c>
      <c r="C22" s="2847" t="s">
        <v>1300</v>
      </c>
      <c r="D22" s="2821">
        <v>150000000</v>
      </c>
      <c r="E22" s="2823">
        <v>0.04</v>
      </c>
      <c r="F22" s="2821">
        <f t="shared" si="3"/>
        <v>6000000</v>
      </c>
      <c r="G22" s="2821">
        <v>6000000</v>
      </c>
      <c r="H22" s="2821" t="s">
        <v>5017</v>
      </c>
      <c r="I22" s="64" t="s">
        <v>4063</v>
      </c>
      <c r="J22" s="2821">
        <f t="shared" ref="J22:J28" si="4">G22</f>
        <v>6000000</v>
      </c>
      <c r="K22" s="2821">
        <f t="shared" ref="K22:K27" si="5">F22-J22</f>
        <v>0</v>
      </c>
      <c r="L22" s="2833"/>
    </row>
    <row r="23" spans="1:12" ht="30" customHeight="1" x14ac:dyDescent="0.2">
      <c r="A23" s="2826"/>
      <c r="B23" s="2829" t="s">
        <v>4728</v>
      </c>
      <c r="C23" s="2847" t="s">
        <v>1299</v>
      </c>
      <c r="D23" s="2821">
        <v>350000000</v>
      </c>
      <c r="E23" s="2823">
        <v>7.0000000000000007E-2</v>
      </c>
      <c r="F23" s="2821">
        <f t="shared" si="3"/>
        <v>24500000.000000004</v>
      </c>
      <c r="G23" s="2821">
        <v>24500000</v>
      </c>
      <c r="H23" s="2821" t="s">
        <v>5107</v>
      </c>
      <c r="I23" s="64" t="s">
        <v>4816</v>
      </c>
      <c r="J23" s="2821">
        <f>G23</f>
        <v>24500000</v>
      </c>
      <c r="K23" s="2821">
        <f>F23-J23</f>
        <v>0</v>
      </c>
      <c r="L23" s="2835"/>
    </row>
    <row r="24" spans="1:12" ht="30" customHeight="1" x14ac:dyDescent="0.2">
      <c r="A24" s="2826">
        <v>15</v>
      </c>
      <c r="B24" s="2829" t="s">
        <v>436</v>
      </c>
      <c r="C24" s="2847" t="s">
        <v>1300</v>
      </c>
      <c r="D24" s="2821">
        <v>13000000</v>
      </c>
      <c r="E24" s="2823">
        <v>0.05</v>
      </c>
      <c r="F24" s="2821">
        <f t="shared" si="3"/>
        <v>650000</v>
      </c>
      <c r="G24" s="2821">
        <v>650000</v>
      </c>
      <c r="H24" s="2821" t="s">
        <v>5018</v>
      </c>
      <c r="I24" s="64" t="s">
        <v>2092</v>
      </c>
      <c r="J24" s="2821">
        <f t="shared" si="4"/>
        <v>650000</v>
      </c>
      <c r="K24" s="2821">
        <f t="shared" si="5"/>
        <v>0</v>
      </c>
      <c r="L24" s="2833"/>
    </row>
    <row r="25" spans="1:12" ht="30" customHeight="1" x14ac:dyDescent="0.2">
      <c r="A25" s="2876">
        <v>16</v>
      </c>
      <c r="B25" s="19" t="s">
        <v>487</v>
      </c>
      <c r="C25" s="2873" t="s">
        <v>1718</v>
      </c>
      <c r="D25" s="2848">
        <v>80000000</v>
      </c>
      <c r="E25" s="2871">
        <v>0.04</v>
      </c>
      <c r="F25" s="2848">
        <f t="shared" si="3"/>
        <v>3200000</v>
      </c>
      <c r="G25" s="2848">
        <v>3200000</v>
      </c>
      <c r="H25" s="2848" t="s">
        <v>4893</v>
      </c>
      <c r="I25" s="2896" t="s">
        <v>4001</v>
      </c>
      <c r="J25" s="2848">
        <f t="shared" si="4"/>
        <v>3200000</v>
      </c>
      <c r="K25" s="2848">
        <f t="shared" si="5"/>
        <v>0</v>
      </c>
      <c r="L25" s="48"/>
    </row>
    <row r="26" spans="1:12" ht="30" customHeight="1" x14ac:dyDescent="0.2">
      <c r="A26" s="2826">
        <v>17</v>
      </c>
      <c r="B26" s="2829" t="s">
        <v>747</v>
      </c>
      <c r="C26" s="2847" t="s">
        <v>1289</v>
      </c>
      <c r="D26" s="2821">
        <v>100000000</v>
      </c>
      <c r="E26" s="2823">
        <v>0.06</v>
      </c>
      <c r="F26" s="2821">
        <f t="shared" si="3"/>
        <v>6000000</v>
      </c>
      <c r="G26" s="2821">
        <v>6000000</v>
      </c>
      <c r="H26" s="2821" t="s">
        <v>5176</v>
      </c>
      <c r="I26" s="64" t="s">
        <v>3208</v>
      </c>
      <c r="J26" s="2821">
        <f t="shared" si="4"/>
        <v>6000000</v>
      </c>
      <c r="K26" s="2821">
        <f t="shared" si="5"/>
        <v>0</v>
      </c>
      <c r="L26" s="2833"/>
    </row>
    <row r="27" spans="1:12" ht="30" customHeight="1" x14ac:dyDescent="0.2">
      <c r="A27" s="2826">
        <v>18</v>
      </c>
      <c r="B27" s="2829" t="s">
        <v>554</v>
      </c>
      <c r="C27" s="2847" t="s">
        <v>1300</v>
      </c>
      <c r="D27" s="2821">
        <v>50000000</v>
      </c>
      <c r="E27" s="2823">
        <v>0.05</v>
      </c>
      <c r="F27" s="2821">
        <f t="shared" si="3"/>
        <v>2500000</v>
      </c>
      <c r="G27" s="2821">
        <v>2500000</v>
      </c>
      <c r="H27" s="2821" t="s">
        <v>5018</v>
      </c>
      <c r="I27" s="64" t="s">
        <v>4473</v>
      </c>
      <c r="J27" s="2821">
        <f t="shared" si="4"/>
        <v>2500000</v>
      </c>
      <c r="K27" s="2821">
        <f t="shared" si="5"/>
        <v>0</v>
      </c>
      <c r="L27" s="2833"/>
    </row>
    <row r="28" spans="1:12" ht="30" customHeight="1" x14ac:dyDescent="0.2">
      <c r="A28" s="4614">
        <v>19</v>
      </c>
      <c r="B28" s="4457" t="s">
        <v>560</v>
      </c>
      <c r="C28" s="4537" t="s">
        <v>1300</v>
      </c>
      <c r="D28" s="2821">
        <v>50000000</v>
      </c>
      <c r="E28" s="4476">
        <f>F28/(D28+D29)</f>
        <v>0.05</v>
      </c>
      <c r="F28" s="4413">
        <v>3250000</v>
      </c>
      <c r="G28" s="4413">
        <v>4750000</v>
      </c>
      <c r="H28" s="4413" t="s">
        <v>5045</v>
      </c>
      <c r="I28" s="4568" t="s">
        <v>4403</v>
      </c>
      <c r="J28" s="4413">
        <f t="shared" si="4"/>
        <v>4750000</v>
      </c>
      <c r="K28" s="4413">
        <f>(F28+F30)-G28</f>
        <v>0</v>
      </c>
      <c r="L28" s="2853"/>
    </row>
    <row r="29" spans="1:12" ht="30" customHeight="1" x14ac:dyDescent="0.2">
      <c r="A29" s="4614"/>
      <c r="B29" s="4488"/>
      <c r="C29" s="4540"/>
      <c r="D29" s="2821">
        <v>15000000</v>
      </c>
      <c r="E29" s="4477"/>
      <c r="F29" s="4415"/>
      <c r="G29" s="4414"/>
      <c r="H29" s="4414"/>
      <c r="I29" s="4906"/>
      <c r="J29" s="4414"/>
      <c r="K29" s="4414"/>
      <c r="L29" s="2853"/>
    </row>
    <row r="30" spans="1:12" ht="30" customHeight="1" x14ac:dyDescent="0.2">
      <c r="A30" s="4614"/>
      <c r="B30" s="4458"/>
      <c r="C30" s="4538"/>
      <c r="D30" s="2821">
        <v>30000000</v>
      </c>
      <c r="E30" s="2823">
        <v>0.05</v>
      </c>
      <c r="F30" s="2821">
        <f>E30*D30</f>
        <v>1500000</v>
      </c>
      <c r="G30" s="4415"/>
      <c r="H30" s="4415"/>
      <c r="I30" s="4569"/>
      <c r="J30" s="4415"/>
      <c r="K30" s="4415"/>
      <c r="L30" s="2853"/>
    </row>
    <row r="31" spans="1:12" ht="30" customHeight="1" x14ac:dyDescent="0.2">
      <c r="A31" s="4459">
        <v>22</v>
      </c>
      <c r="B31" s="4457" t="s">
        <v>658</v>
      </c>
      <c r="C31" s="4537" t="s">
        <v>1287</v>
      </c>
      <c r="D31" s="4413">
        <v>300000000</v>
      </c>
      <c r="E31" s="4476">
        <v>0.05</v>
      </c>
      <c r="F31" s="4413">
        <f>D31*E31</f>
        <v>15000000</v>
      </c>
      <c r="G31" s="2821">
        <v>15000000</v>
      </c>
      <c r="H31" s="2821" t="s">
        <v>5018</v>
      </c>
      <c r="I31" s="64" t="s">
        <v>2168</v>
      </c>
      <c r="J31" s="2848">
        <f>G31</f>
        <v>15000000</v>
      </c>
      <c r="K31" s="2848">
        <f>F31-J31</f>
        <v>0</v>
      </c>
      <c r="L31" s="48"/>
    </row>
    <row r="32" spans="1:12" ht="30" customHeight="1" x14ac:dyDescent="0.2">
      <c r="A32" s="4460"/>
      <c r="B32" s="4458"/>
      <c r="C32" s="4538"/>
      <c r="D32" s="4415"/>
      <c r="E32" s="4477"/>
      <c r="F32" s="4415"/>
      <c r="G32" s="3445">
        <v>10000000</v>
      </c>
      <c r="H32" s="3453" t="s">
        <v>5108</v>
      </c>
      <c r="I32" s="64" t="s">
        <v>2168</v>
      </c>
      <c r="J32" s="3456">
        <f>G32</f>
        <v>10000000</v>
      </c>
      <c r="K32" s="3456"/>
      <c r="L32" s="3446" t="s">
        <v>5337</v>
      </c>
    </row>
    <row r="33" spans="1:14" ht="30" customHeight="1" x14ac:dyDescent="0.2">
      <c r="A33" s="1029">
        <v>23</v>
      </c>
      <c r="B33" s="19" t="s">
        <v>2121</v>
      </c>
      <c r="C33" s="2873" t="s">
        <v>3390</v>
      </c>
      <c r="D33" s="2821">
        <v>150000000</v>
      </c>
      <c r="E33" s="2823">
        <v>7.0000000000000007E-2</v>
      </c>
      <c r="F33" s="2821">
        <f>D33*E33</f>
        <v>10500000.000000002</v>
      </c>
      <c r="G33" s="2821">
        <v>10500000</v>
      </c>
      <c r="H33" s="2841" t="s">
        <v>5214</v>
      </c>
      <c r="I33" s="64" t="s">
        <v>3704</v>
      </c>
      <c r="J33" s="2848">
        <f>G33</f>
        <v>10500000</v>
      </c>
      <c r="K33" s="2848">
        <f>F33-G33</f>
        <v>0</v>
      </c>
      <c r="L33" s="638"/>
    </row>
    <row r="34" spans="1:14" ht="30" customHeight="1" x14ac:dyDescent="0.2">
      <c r="A34" s="1029"/>
      <c r="B34" s="19" t="s">
        <v>3618</v>
      </c>
      <c r="C34" s="2873" t="s">
        <v>3390</v>
      </c>
      <c r="D34" s="2821">
        <v>70000000</v>
      </c>
      <c r="E34" s="2823">
        <v>0.06</v>
      </c>
      <c r="F34" s="2821">
        <f>D34*E34</f>
        <v>4200000</v>
      </c>
      <c r="G34" s="2821">
        <v>4200000</v>
      </c>
      <c r="H34" s="2841" t="s">
        <v>5214</v>
      </c>
      <c r="I34" s="64" t="s">
        <v>3705</v>
      </c>
      <c r="J34" s="2848">
        <f>G34</f>
        <v>4200000</v>
      </c>
      <c r="K34" s="2821">
        <v>0</v>
      </c>
      <c r="L34" s="29"/>
    </row>
    <row r="35" spans="1:14" ht="30" customHeight="1" x14ac:dyDescent="0.2">
      <c r="A35" s="2876"/>
      <c r="B35" s="19" t="s">
        <v>702</v>
      </c>
      <c r="C35" s="378"/>
      <c r="D35" s="2848">
        <v>150000000</v>
      </c>
      <c r="E35" s="1869"/>
      <c r="F35" s="1869"/>
      <c r="G35" s="4610" t="s">
        <v>4643</v>
      </c>
      <c r="H35" s="5012"/>
      <c r="I35" s="5012"/>
      <c r="J35" s="4611"/>
      <c r="K35" s="2848"/>
      <c r="L35" s="2898" t="s">
        <v>4423</v>
      </c>
    </row>
    <row r="36" spans="1:14" ht="30" customHeight="1" x14ac:dyDescent="0.2">
      <c r="A36" s="2826">
        <v>25</v>
      </c>
      <c r="B36" s="2829" t="s">
        <v>718</v>
      </c>
      <c r="C36" s="2847" t="s">
        <v>1296</v>
      </c>
      <c r="D36" s="2821">
        <v>35000000</v>
      </c>
      <c r="E36" s="2823">
        <v>5.8000000000000003E-2</v>
      </c>
      <c r="F36" s="2821">
        <v>2000000</v>
      </c>
      <c r="G36" s="2821">
        <v>2000000</v>
      </c>
      <c r="H36" s="2841" t="s">
        <v>5230</v>
      </c>
      <c r="I36" s="64" t="s">
        <v>4137</v>
      </c>
      <c r="J36" s="2821">
        <f>G36</f>
        <v>2000000</v>
      </c>
      <c r="K36" s="2821">
        <f>F36-G36</f>
        <v>0</v>
      </c>
      <c r="L36" s="2835"/>
      <c r="M36" s="366"/>
      <c r="N36" s="366"/>
    </row>
    <row r="37" spans="1:14" ht="30" customHeight="1" x14ac:dyDescent="0.2">
      <c r="A37" s="2827"/>
      <c r="B37" s="2830" t="s">
        <v>803</v>
      </c>
      <c r="C37" s="2849" t="s">
        <v>359</v>
      </c>
      <c r="D37" s="2831">
        <v>700000000</v>
      </c>
      <c r="E37" s="2836">
        <v>0.05</v>
      </c>
      <c r="F37" s="2831">
        <f t="shared" ref="F37:F53" si="6">D37*E37</f>
        <v>35000000</v>
      </c>
      <c r="G37" s="2848">
        <v>35000000</v>
      </c>
      <c r="H37" s="2848" t="s">
        <v>4961</v>
      </c>
      <c r="I37" s="2848" t="s">
        <v>3156</v>
      </c>
      <c r="J37" s="2848">
        <f>G37</f>
        <v>35000000</v>
      </c>
      <c r="K37" s="2831">
        <f>F37-J37</f>
        <v>0</v>
      </c>
      <c r="L37" s="180"/>
      <c r="M37" s="366"/>
      <c r="N37" s="366"/>
    </row>
    <row r="38" spans="1:14" ht="30" customHeight="1" x14ac:dyDescent="0.2">
      <c r="A38" s="4459">
        <v>27</v>
      </c>
      <c r="B38" s="4457" t="s">
        <v>807</v>
      </c>
      <c r="C38" s="4537" t="s">
        <v>1299</v>
      </c>
      <c r="D38" s="2820">
        <v>500000000</v>
      </c>
      <c r="E38" s="2822">
        <v>7.0000000000000007E-2</v>
      </c>
      <c r="F38" s="2820">
        <f t="shared" si="6"/>
        <v>35000000</v>
      </c>
      <c r="G38" s="4413">
        <v>70500000</v>
      </c>
      <c r="H38" s="4413" t="s">
        <v>5107</v>
      </c>
      <c r="I38" s="4568" t="s">
        <v>3034</v>
      </c>
      <c r="J38" s="4413">
        <f t="shared" ref="J38:J50" si="7">G38</f>
        <v>70500000</v>
      </c>
      <c r="K38" s="4413">
        <f>F41-J38</f>
        <v>0</v>
      </c>
      <c r="L38" s="5027"/>
      <c r="M38" s="366"/>
      <c r="N38" s="366"/>
    </row>
    <row r="39" spans="1:14" ht="30" customHeight="1" x14ac:dyDescent="0.2">
      <c r="A39" s="4464"/>
      <c r="B39" s="4488"/>
      <c r="C39" s="4540"/>
      <c r="D39" s="3262">
        <v>500000000</v>
      </c>
      <c r="E39" s="3263">
        <v>0.05</v>
      </c>
      <c r="F39" s="3262">
        <f>D39*E39</f>
        <v>25000000</v>
      </c>
      <c r="G39" s="4414"/>
      <c r="H39" s="4414"/>
      <c r="I39" s="4906"/>
      <c r="J39" s="4414"/>
      <c r="K39" s="4414"/>
      <c r="L39" s="5027"/>
      <c r="M39" s="366"/>
      <c r="N39" s="366"/>
    </row>
    <row r="40" spans="1:14" ht="30" customHeight="1" x14ac:dyDescent="0.2">
      <c r="A40" s="4464"/>
      <c r="B40" s="4488"/>
      <c r="C40" s="4540"/>
      <c r="D40" s="2820">
        <v>150000000</v>
      </c>
      <c r="E40" s="2822">
        <v>7.0000000000000007E-2</v>
      </c>
      <c r="F40" s="2820">
        <f>D40*E40</f>
        <v>10500000.000000002</v>
      </c>
      <c r="G40" s="4414"/>
      <c r="H40" s="4414"/>
      <c r="I40" s="4906"/>
      <c r="J40" s="4414"/>
      <c r="K40" s="4414"/>
      <c r="L40" s="5027"/>
      <c r="M40" s="366"/>
      <c r="N40" s="366"/>
    </row>
    <row r="41" spans="1:14" ht="30" customHeight="1" x14ac:dyDescent="0.2">
      <c r="A41" s="4460"/>
      <c r="B41" s="4458"/>
      <c r="C41" s="4538"/>
      <c r="D41" s="3264">
        <f>SUM(D38:D40)</f>
        <v>1150000000</v>
      </c>
      <c r="E41" s="3265"/>
      <c r="F41" s="3264">
        <f>SUM(F38:F40)</f>
        <v>70500000</v>
      </c>
      <c r="G41" s="4415"/>
      <c r="H41" s="4415"/>
      <c r="I41" s="4569"/>
      <c r="J41" s="4415"/>
      <c r="K41" s="4415"/>
      <c r="L41" s="5027"/>
      <c r="M41" s="366"/>
      <c r="N41" s="366"/>
    </row>
    <row r="42" spans="1:14" ht="30" customHeight="1" x14ac:dyDescent="0.2">
      <c r="A42" s="4459"/>
      <c r="B42" s="4457" t="s">
        <v>3369</v>
      </c>
      <c r="C42" s="4537" t="s">
        <v>1299</v>
      </c>
      <c r="D42" s="4413">
        <v>700000000</v>
      </c>
      <c r="E42" s="4476">
        <v>0.06</v>
      </c>
      <c r="F42" s="4413">
        <f t="shared" si="6"/>
        <v>42000000</v>
      </c>
      <c r="G42" s="2848">
        <v>10000000</v>
      </c>
      <c r="H42" s="2848" t="s">
        <v>5018</v>
      </c>
      <c r="I42" s="2848" t="s">
        <v>821</v>
      </c>
      <c r="J42" s="3297">
        <f>G42+G43+G44+23000000</f>
        <v>52000000</v>
      </c>
      <c r="K42" s="3297">
        <f>F42-J42</f>
        <v>-10000000</v>
      </c>
      <c r="L42" s="2835" t="s">
        <v>5199</v>
      </c>
      <c r="M42" s="366"/>
      <c r="N42" s="366"/>
    </row>
    <row r="43" spans="1:14" ht="30" customHeight="1" x14ac:dyDescent="0.2">
      <c r="A43" s="4464"/>
      <c r="B43" s="4488"/>
      <c r="C43" s="4540"/>
      <c r="D43" s="4414"/>
      <c r="E43" s="4516"/>
      <c r="F43" s="4414"/>
      <c r="G43" s="2821">
        <v>10000000</v>
      </c>
      <c r="H43" s="2841" t="s">
        <v>5156</v>
      </c>
      <c r="I43" s="2841" t="s">
        <v>5157</v>
      </c>
      <c r="J43" s="4322">
        <f>G43+G44+23000000</f>
        <v>42000000</v>
      </c>
      <c r="K43" s="4413">
        <f>F42-J43</f>
        <v>0</v>
      </c>
      <c r="L43" s="4492" t="s">
        <v>4807</v>
      </c>
      <c r="M43" s="366"/>
      <c r="N43" s="366"/>
    </row>
    <row r="44" spans="1:14" ht="30" customHeight="1" x14ac:dyDescent="0.2">
      <c r="A44" s="4464"/>
      <c r="B44" s="4488"/>
      <c r="C44" s="4540"/>
      <c r="D44" s="4414"/>
      <c r="E44" s="4516"/>
      <c r="F44" s="4414"/>
      <c r="G44" s="3290">
        <v>9000000</v>
      </c>
      <c r="H44" s="4413" t="s">
        <v>5176</v>
      </c>
      <c r="I44" s="4413" t="s">
        <v>5198</v>
      </c>
      <c r="J44" s="4322"/>
      <c r="K44" s="4415"/>
      <c r="L44" s="4493"/>
      <c r="M44" s="366"/>
      <c r="N44" s="366"/>
    </row>
    <row r="45" spans="1:14" ht="30" customHeight="1" x14ac:dyDescent="0.2">
      <c r="A45" s="4460"/>
      <c r="B45" s="4458"/>
      <c r="C45" s="4538"/>
      <c r="D45" s="4415"/>
      <c r="E45" s="4477"/>
      <c r="F45" s="4415"/>
      <c r="G45" s="3290">
        <v>6000000</v>
      </c>
      <c r="H45" s="4415"/>
      <c r="I45" s="4415"/>
      <c r="J45" s="3290">
        <f>G45</f>
        <v>6000000</v>
      </c>
      <c r="K45" s="3290"/>
      <c r="L45" s="3287" t="s">
        <v>5200</v>
      </c>
      <c r="M45" s="366"/>
      <c r="N45" s="366"/>
    </row>
    <row r="46" spans="1:14" ht="30" customHeight="1" x14ac:dyDescent="0.2">
      <c r="A46" s="3349">
        <v>29</v>
      </c>
      <c r="B46" s="3345" t="s">
        <v>839</v>
      </c>
      <c r="C46" s="3338" t="s">
        <v>1306</v>
      </c>
      <c r="D46" s="3334">
        <v>42000000</v>
      </c>
      <c r="E46" s="3337">
        <v>7.0000000000000007E-2</v>
      </c>
      <c r="F46" s="3334">
        <f t="shared" si="6"/>
        <v>2940000.0000000005</v>
      </c>
      <c r="G46" s="3334">
        <v>2940000</v>
      </c>
      <c r="H46" s="3343" t="s">
        <v>5214</v>
      </c>
      <c r="I46" s="1538" t="s">
        <v>4599</v>
      </c>
      <c r="J46" s="3334">
        <f t="shared" si="7"/>
        <v>2940000</v>
      </c>
      <c r="K46" s="3334">
        <f t="shared" ref="K46:K50" si="8">F46-J46</f>
        <v>0</v>
      </c>
      <c r="L46" s="3347"/>
      <c r="M46" s="366"/>
      <c r="N46" s="366"/>
    </row>
    <row r="47" spans="1:14" s="1540" customFormat="1" ht="30" customHeight="1" x14ac:dyDescent="0.2">
      <c r="A47" s="4459">
        <v>30</v>
      </c>
      <c r="B47" s="4457" t="s">
        <v>843</v>
      </c>
      <c r="C47" s="4537" t="s">
        <v>1107</v>
      </c>
      <c r="D47" s="3341">
        <v>20000000</v>
      </c>
      <c r="E47" s="3342">
        <v>0.04</v>
      </c>
      <c r="F47" s="3341">
        <f t="shared" si="6"/>
        <v>800000</v>
      </c>
      <c r="G47" s="4413">
        <v>1400000</v>
      </c>
      <c r="H47" s="4413" t="s">
        <v>1491</v>
      </c>
      <c r="I47" s="4568" t="s">
        <v>3105</v>
      </c>
      <c r="J47" s="4413">
        <f t="shared" si="7"/>
        <v>1400000</v>
      </c>
      <c r="K47" s="4413"/>
      <c r="L47" s="737"/>
      <c r="M47" s="9"/>
      <c r="N47" s="9"/>
    </row>
    <row r="48" spans="1:14" ht="30" customHeight="1" x14ac:dyDescent="0.2">
      <c r="A48" s="4464"/>
      <c r="B48" s="4488"/>
      <c r="C48" s="4540"/>
      <c r="D48" s="3061">
        <v>10000000</v>
      </c>
      <c r="E48" s="3063">
        <v>0.04</v>
      </c>
      <c r="F48" s="3061">
        <f>D48*E48</f>
        <v>400000</v>
      </c>
      <c r="G48" s="4414"/>
      <c r="H48" s="4414"/>
      <c r="I48" s="4906"/>
      <c r="J48" s="4414"/>
      <c r="K48" s="4414"/>
      <c r="L48" s="180" t="s">
        <v>4980</v>
      </c>
      <c r="M48" s="366"/>
      <c r="N48" s="366"/>
    </row>
    <row r="49" spans="1:14" ht="30" customHeight="1" x14ac:dyDescent="0.2">
      <c r="A49" s="4460"/>
      <c r="B49" s="4458"/>
      <c r="C49" s="4538"/>
      <c r="D49" s="3061">
        <v>10000000</v>
      </c>
      <c r="E49" s="3063">
        <v>0.04</v>
      </c>
      <c r="F49" s="3061">
        <f>D49*E49</f>
        <v>400000</v>
      </c>
      <c r="G49" s="4415"/>
      <c r="H49" s="4415"/>
      <c r="I49" s="4569"/>
      <c r="J49" s="4415"/>
      <c r="K49" s="4415"/>
      <c r="L49" s="638" t="s">
        <v>4981</v>
      </c>
      <c r="M49" s="366"/>
      <c r="N49" s="366"/>
    </row>
    <row r="50" spans="1:14" ht="30" customHeight="1" x14ac:dyDescent="0.2">
      <c r="A50" s="2825">
        <v>31</v>
      </c>
      <c r="B50" s="2869" t="s">
        <v>915</v>
      </c>
      <c r="C50" s="2846"/>
      <c r="D50" s="2848">
        <v>100000000</v>
      </c>
      <c r="E50" s="2871">
        <v>7.0000000000000007E-2</v>
      </c>
      <c r="F50" s="2848">
        <f t="shared" si="6"/>
        <v>7000000.0000000009</v>
      </c>
      <c r="G50" s="2821">
        <v>7000000</v>
      </c>
      <c r="H50" s="2841" t="s">
        <v>1491</v>
      </c>
      <c r="I50" s="64" t="s">
        <v>3195</v>
      </c>
      <c r="J50" s="2820">
        <f t="shared" si="7"/>
        <v>7000000</v>
      </c>
      <c r="K50" s="2820">
        <f t="shared" si="8"/>
        <v>0</v>
      </c>
      <c r="L50" s="2832"/>
      <c r="M50" s="366"/>
      <c r="N50" s="366"/>
    </row>
    <row r="51" spans="1:14" ht="30" customHeight="1" x14ac:dyDescent="0.2">
      <c r="A51" s="4459">
        <v>32</v>
      </c>
      <c r="B51" s="4457" t="s">
        <v>982</v>
      </c>
      <c r="C51" s="4537" t="s">
        <v>1306</v>
      </c>
      <c r="D51" s="2821">
        <v>100000000</v>
      </c>
      <c r="E51" s="2823">
        <v>0.05</v>
      </c>
      <c r="F51" s="2821">
        <f t="shared" si="6"/>
        <v>5000000</v>
      </c>
      <c r="G51" s="4413">
        <v>8850000</v>
      </c>
      <c r="H51" s="4413" t="s">
        <v>5230</v>
      </c>
      <c r="I51" s="4568" t="s">
        <v>2986</v>
      </c>
      <c r="J51" s="4413">
        <f>G51</f>
        <v>8850000</v>
      </c>
      <c r="K51" s="4413">
        <f>(F51+F52+F53)-J51</f>
        <v>0</v>
      </c>
      <c r="L51" s="4492"/>
      <c r="M51" s="366"/>
      <c r="N51" s="366"/>
    </row>
    <row r="52" spans="1:14" ht="30" customHeight="1" x14ac:dyDescent="0.2">
      <c r="A52" s="4464"/>
      <c r="B52" s="4488"/>
      <c r="C52" s="4540"/>
      <c r="D52" s="2821">
        <v>35000000</v>
      </c>
      <c r="E52" s="2823">
        <v>7.0000000000000007E-2</v>
      </c>
      <c r="F52" s="2821">
        <f t="shared" si="6"/>
        <v>2450000.0000000005</v>
      </c>
      <c r="G52" s="4414"/>
      <c r="H52" s="4414"/>
      <c r="I52" s="4906"/>
      <c r="J52" s="4414"/>
      <c r="K52" s="4414"/>
      <c r="L52" s="4684"/>
      <c r="M52" s="366"/>
      <c r="N52" s="366"/>
    </row>
    <row r="53" spans="1:14" ht="30" customHeight="1" x14ac:dyDescent="0.2">
      <c r="A53" s="4460"/>
      <c r="B53" s="4458"/>
      <c r="C53" s="4538"/>
      <c r="D53" s="2848">
        <v>20000000</v>
      </c>
      <c r="E53" s="2871">
        <v>7.0000000000000007E-2</v>
      </c>
      <c r="F53" s="2848">
        <f t="shared" si="6"/>
        <v>1400000.0000000002</v>
      </c>
      <c r="G53" s="4415"/>
      <c r="H53" s="4415"/>
      <c r="I53" s="4569"/>
      <c r="J53" s="4415"/>
      <c r="K53" s="4415"/>
      <c r="L53" s="4799"/>
      <c r="M53" s="4470"/>
      <c r="N53" s="4471"/>
    </row>
    <row r="54" spans="1:14" ht="30" customHeight="1" x14ac:dyDescent="0.2">
      <c r="A54" s="2826">
        <v>33</v>
      </c>
      <c r="B54" s="2829" t="s">
        <v>993</v>
      </c>
      <c r="C54" s="2847" t="s">
        <v>1287</v>
      </c>
      <c r="D54" s="2821">
        <v>63580000</v>
      </c>
      <c r="E54" s="2823">
        <v>7.0000000000000007E-2</v>
      </c>
      <c r="F54" s="2821">
        <v>4450000</v>
      </c>
      <c r="G54" s="2821">
        <v>4450000</v>
      </c>
      <c r="H54" s="2821" t="s">
        <v>5230</v>
      </c>
      <c r="I54" s="64" t="s">
        <v>484</v>
      </c>
      <c r="J54" s="2821">
        <f>G54</f>
        <v>4450000</v>
      </c>
      <c r="K54" s="2821">
        <f t="shared" ref="K54:K66" si="9">F54-J54</f>
        <v>0</v>
      </c>
      <c r="L54" s="2835"/>
      <c r="M54" s="366"/>
      <c r="N54" s="366"/>
    </row>
    <row r="55" spans="1:14" ht="30" customHeight="1" x14ac:dyDescent="0.2">
      <c r="A55" s="2826">
        <v>34</v>
      </c>
      <c r="B55" s="2830" t="s">
        <v>1110</v>
      </c>
      <c r="C55" s="2847" t="s">
        <v>1306</v>
      </c>
      <c r="D55" s="2821">
        <v>20000000</v>
      </c>
      <c r="E55" s="2823">
        <v>0.04</v>
      </c>
      <c r="F55" s="2821">
        <f t="shared" ref="F55:F62" si="10">D55*E55</f>
        <v>800000</v>
      </c>
      <c r="G55" s="2821">
        <v>800000</v>
      </c>
      <c r="H55" s="2821" t="s">
        <v>5230</v>
      </c>
      <c r="I55" s="64" t="s">
        <v>1112</v>
      </c>
      <c r="J55" s="2821">
        <f>G55</f>
        <v>800000</v>
      </c>
      <c r="K55" s="2821">
        <f t="shared" si="9"/>
        <v>0</v>
      </c>
      <c r="L55" s="2835"/>
      <c r="M55" s="366"/>
      <c r="N55" s="366"/>
    </row>
    <row r="56" spans="1:14" ht="30" customHeight="1" x14ac:dyDescent="0.2">
      <c r="A56" s="2876">
        <v>35</v>
      </c>
      <c r="B56" s="19" t="s">
        <v>1150</v>
      </c>
      <c r="C56" s="2873" t="s">
        <v>1138</v>
      </c>
      <c r="D56" s="2848">
        <v>175000000</v>
      </c>
      <c r="E56" s="2871">
        <v>0.06</v>
      </c>
      <c r="F56" s="2848">
        <f t="shared" si="10"/>
        <v>10500000</v>
      </c>
      <c r="G56" s="2848">
        <v>10500000</v>
      </c>
      <c r="H56" s="2848" t="s">
        <v>5229</v>
      </c>
      <c r="I56" s="2848" t="s">
        <v>1720</v>
      </c>
      <c r="J56" s="2848">
        <f>G56</f>
        <v>10500000</v>
      </c>
      <c r="K56" s="2848">
        <f>F56-J56</f>
        <v>0</v>
      </c>
      <c r="L56" s="2898"/>
      <c r="M56" s="366"/>
      <c r="N56" s="366"/>
    </row>
    <row r="57" spans="1:14" ht="30" customHeight="1" x14ac:dyDescent="0.2">
      <c r="A57" s="4459">
        <v>36</v>
      </c>
      <c r="B57" s="4457" t="s">
        <v>3370</v>
      </c>
      <c r="C57" s="4537" t="s">
        <v>1081</v>
      </c>
      <c r="D57" s="2848">
        <v>50000000</v>
      </c>
      <c r="E57" s="2871">
        <v>7.0000000000000007E-2</v>
      </c>
      <c r="F57" s="2848">
        <f t="shared" si="10"/>
        <v>3500000.0000000005</v>
      </c>
      <c r="G57" s="4413">
        <v>17350000</v>
      </c>
      <c r="H57" s="4413" t="s">
        <v>5108</v>
      </c>
      <c r="I57" s="4975" t="s">
        <v>4266</v>
      </c>
      <c r="J57" s="4413">
        <f>G57</f>
        <v>17350000</v>
      </c>
      <c r="K57" s="4413"/>
      <c r="L57" s="3065"/>
      <c r="M57" s="366"/>
      <c r="N57" s="366"/>
    </row>
    <row r="58" spans="1:14" ht="30" customHeight="1" x14ac:dyDescent="0.2">
      <c r="A58" s="4464"/>
      <c r="B58" s="4488"/>
      <c r="C58" s="4540"/>
      <c r="D58" s="2821">
        <v>40000000</v>
      </c>
      <c r="E58" s="2871">
        <v>7.0000000000000007E-2</v>
      </c>
      <c r="F58" s="2848">
        <f t="shared" si="10"/>
        <v>2800000.0000000005</v>
      </c>
      <c r="G58" s="4414"/>
      <c r="H58" s="4414"/>
      <c r="I58" s="5072"/>
      <c r="J58" s="4414"/>
      <c r="K58" s="4414"/>
      <c r="L58" s="3077" t="s">
        <v>4965</v>
      </c>
      <c r="M58" s="366"/>
      <c r="N58" s="366"/>
    </row>
    <row r="59" spans="1:14" ht="30" customHeight="1" x14ac:dyDescent="0.2">
      <c r="A59" s="4460"/>
      <c r="B59" s="4458"/>
      <c r="C59" s="4538"/>
      <c r="D59" s="3061">
        <v>160000000</v>
      </c>
      <c r="E59" s="3063">
        <v>7.0000000000000007E-2</v>
      </c>
      <c r="F59" s="3069">
        <f t="shared" si="10"/>
        <v>11200000.000000002</v>
      </c>
      <c r="G59" s="4415"/>
      <c r="H59" s="4415"/>
      <c r="I59" s="4977"/>
      <c r="J59" s="4415"/>
      <c r="K59" s="4415"/>
      <c r="L59" s="3066" t="s">
        <v>4966</v>
      </c>
      <c r="M59" s="366"/>
      <c r="N59" s="366"/>
    </row>
    <row r="60" spans="1:14" ht="30" customHeight="1" x14ac:dyDescent="0.2">
      <c r="A60" s="4459"/>
      <c r="B60" s="4457" t="s">
        <v>4967</v>
      </c>
      <c r="C60" s="4537" t="s">
        <v>3216</v>
      </c>
      <c r="D60" s="4413">
        <v>19200000</v>
      </c>
      <c r="E60" s="4476">
        <v>0.05</v>
      </c>
      <c r="F60" s="4413">
        <f t="shared" si="10"/>
        <v>960000</v>
      </c>
      <c r="G60" s="4793" t="s">
        <v>5025</v>
      </c>
      <c r="H60" s="4794"/>
      <c r="I60" s="4794"/>
      <c r="J60" s="4795"/>
      <c r="K60" s="4413"/>
      <c r="L60" s="3066"/>
      <c r="M60" s="366"/>
      <c r="N60" s="366"/>
    </row>
    <row r="61" spans="1:14" ht="30" customHeight="1" x14ac:dyDescent="0.2">
      <c r="A61" s="4464"/>
      <c r="B61" s="4488"/>
      <c r="C61" s="4540"/>
      <c r="D61" s="4415"/>
      <c r="E61" s="4477"/>
      <c r="F61" s="4415"/>
      <c r="G61" s="4799"/>
      <c r="H61" s="4800"/>
      <c r="I61" s="4800"/>
      <c r="J61" s="4801"/>
      <c r="K61" s="4415"/>
      <c r="L61" s="3066"/>
      <c r="M61" s="366"/>
      <c r="N61" s="366"/>
    </row>
    <row r="62" spans="1:14" ht="30" customHeight="1" x14ac:dyDescent="0.2">
      <c r="A62" s="4460"/>
      <c r="B62" s="4458"/>
      <c r="C62" s="4538"/>
      <c r="D62" s="3105">
        <v>20000000</v>
      </c>
      <c r="E62" s="3106">
        <v>0.05</v>
      </c>
      <c r="F62" s="3105">
        <f t="shared" si="10"/>
        <v>1000000</v>
      </c>
      <c r="G62" s="4469" t="s">
        <v>5031</v>
      </c>
      <c r="H62" s="4470"/>
      <c r="I62" s="4470"/>
      <c r="J62" s="4471"/>
      <c r="K62" s="3105"/>
      <c r="L62" s="3108"/>
      <c r="M62" s="366"/>
      <c r="N62" s="366"/>
    </row>
    <row r="63" spans="1:14" ht="30" customHeight="1" x14ac:dyDescent="0.2">
      <c r="A63" s="2826">
        <v>38</v>
      </c>
      <c r="B63" s="2828" t="s">
        <v>1254</v>
      </c>
      <c r="C63" s="2847"/>
      <c r="D63" s="298"/>
      <c r="E63" s="299"/>
      <c r="F63" s="298"/>
      <c r="G63" s="2821"/>
      <c r="H63" s="2821"/>
      <c r="I63" s="64"/>
      <c r="J63" s="2821"/>
      <c r="K63" s="2838">
        <f t="shared" si="9"/>
        <v>0</v>
      </c>
      <c r="L63" s="2835"/>
    </row>
    <row r="64" spans="1:14" ht="30" customHeight="1" x14ac:dyDescent="0.2">
      <c r="A64" s="2826">
        <v>39</v>
      </c>
      <c r="B64" s="2828" t="s">
        <v>1213</v>
      </c>
      <c r="C64" s="2847"/>
      <c r="D64" s="298"/>
      <c r="E64" s="299"/>
      <c r="F64" s="298"/>
      <c r="G64" s="2821"/>
      <c r="H64" s="2821"/>
      <c r="I64" s="64"/>
      <c r="J64" s="2821"/>
      <c r="K64" s="2838">
        <f t="shared" si="9"/>
        <v>0</v>
      </c>
      <c r="L64" s="2835"/>
    </row>
    <row r="65" spans="1:12" ht="30" customHeight="1" x14ac:dyDescent="0.2">
      <c r="A65" s="2826">
        <v>40</v>
      </c>
      <c r="B65" s="2828" t="s">
        <v>1265</v>
      </c>
      <c r="C65" s="2847" t="s">
        <v>1289</v>
      </c>
      <c r="D65" s="2882">
        <v>16000000</v>
      </c>
      <c r="E65" s="300">
        <v>0.05</v>
      </c>
      <c r="F65" s="2882">
        <f>D65*E65</f>
        <v>800000</v>
      </c>
      <c r="G65" s="2821">
        <v>800000</v>
      </c>
      <c r="H65" s="2821" t="s">
        <v>5176</v>
      </c>
      <c r="I65" s="64" t="s">
        <v>1268</v>
      </c>
      <c r="J65" s="2821">
        <f>G65</f>
        <v>800000</v>
      </c>
      <c r="K65" s="2821">
        <f t="shared" si="9"/>
        <v>0</v>
      </c>
      <c r="L65" s="2835"/>
    </row>
    <row r="66" spans="1:12" ht="30" customHeight="1" x14ac:dyDescent="0.2">
      <c r="A66" s="2826">
        <v>41</v>
      </c>
      <c r="B66" s="2828" t="s">
        <v>1285</v>
      </c>
      <c r="C66" s="2847"/>
      <c r="D66" s="298"/>
      <c r="E66" s="299"/>
      <c r="F66" s="298"/>
      <c r="G66" s="2821"/>
      <c r="H66" s="2821"/>
      <c r="I66" s="64"/>
      <c r="J66" s="2821"/>
      <c r="K66" s="2838">
        <f t="shared" si="9"/>
        <v>0</v>
      </c>
      <c r="L66" s="2835"/>
    </row>
    <row r="67" spans="1:12" ht="30" customHeight="1" x14ac:dyDescent="0.2">
      <c r="A67" s="2826">
        <v>42</v>
      </c>
      <c r="B67" s="2869" t="s">
        <v>183</v>
      </c>
      <c r="C67" s="2847"/>
      <c r="D67" s="2821">
        <v>60000000</v>
      </c>
      <c r="E67" s="2871">
        <v>0.05</v>
      </c>
      <c r="F67" s="2821">
        <f t="shared" ref="F67:F177" si="11">D67*E67</f>
        <v>3000000</v>
      </c>
      <c r="G67" s="4413">
        <v>3500000</v>
      </c>
      <c r="H67" s="4413" t="s">
        <v>4862</v>
      </c>
      <c r="I67" s="4558" t="s">
        <v>4866</v>
      </c>
      <c r="J67" s="4413">
        <f>G67</f>
        <v>3500000</v>
      </c>
      <c r="K67" s="4413">
        <f>(F67+F68)-J67</f>
        <v>0</v>
      </c>
      <c r="L67" s="4599"/>
    </row>
    <row r="68" spans="1:12" ht="30" customHeight="1" x14ac:dyDescent="0.2">
      <c r="A68" s="2826">
        <v>43</v>
      </c>
      <c r="B68" s="2874" t="s">
        <v>1079</v>
      </c>
      <c r="C68" s="2847"/>
      <c r="D68" s="2821">
        <v>10000000</v>
      </c>
      <c r="E68" s="2871">
        <v>0.05</v>
      </c>
      <c r="F68" s="2821">
        <f>D68*E68</f>
        <v>500000</v>
      </c>
      <c r="G68" s="4415"/>
      <c r="H68" s="4415"/>
      <c r="I68" s="4560"/>
      <c r="J68" s="4415"/>
      <c r="K68" s="4415"/>
      <c r="L68" s="4607"/>
    </row>
    <row r="69" spans="1:12" ht="30" customHeight="1" x14ac:dyDescent="0.2">
      <c r="A69" s="2826">
        <v>44</v>
      </c>
      <c r="B69" s="2874" t="s">
        <v>184</v>
      </c>
      <c r="C69" s="2847" t="s">
        <v>889</v>
      </c>
      <c r="D69" s="2821">
        <v>150000000</v>
      </c>
      <c r="E69" s="2871">
        <v>0.05</v>
      </c>
      <c r="F69" s="2821">
        <f t="shared" si="11"/>
        <v>7500000</v>
      </c>
      <c r="G69" s="2821">
        <v>7500000</v>
      </c>
      <c r="H69" s="2821" t="s">
        <v>4841</v>
      </c>
      <c r="I69" s="2848" t="s">
        <v>1339</v>
      </c>
      <c r="J69" s="2821">
        <f>G69</f>
        <v>7500000</v>
      </c>
      <c r="K69" s="2821">
        <f>F69-J69</f>
        <v>0</v>
      </c>
      <c r="L69" s="2874"/>
    </row>
    <row r="70" spans="1:12" ht="30" customHeight="1" x14ac:dyDescent="0.2">
      <c r="A70" s="4459">
        <v>45</v>
      </c>
      <c r="B70" s="4599" t="s">
        <v>185</v>
      </c>
      <c r="C70" s="4537" t="s">
        <v>1295</v>
      </c>
      <c r="D70" s="2848">
        <v>1590000000</v>
      </c>
      <c r="E70" s="2871">
        <v>7.0000000000000007E-2</v>
      </c>
      <c r="F70" s="2848">
        <f>D70*E70</f>
        <v>111300000.00000001</v>
      </c>
      <c r="G70" s="4413">
        <v>50000000</v>
      </c>
      <c r="H70" s="4413" t="s">
        <v>4862</v>
      </c>
      <c r="I70" s="4478" t="s">
        <v>2696</v>
      </c>
      <c r="J70" s="4413">
        <f>G70+G72</f>
        <v>146300000</v>
      </c>
      <c r="K70" s="4413">
        <f>F73-J70</f>
        <v>0</v>
      </c>
      <c r="L70" s="4599"/>
    </row>
    <row r="71" spans="1:12" ht="30" customHeight="1" x14ac:dyDescent="0.2">
      <c r="A71" s="4464"/>
      <c r="B71" s="4600"/>
      <c r="C71" s="4540"/>
      <c r="D71" s="2820">
        <f>D70+100000000</f>
        <v>1690000000</v>
      </c>
      <c r="E71" s="2822">
        <v>7.0000000000000007E-2</v>
      </c>
      <c r="F71" s="2820">
        <f>D71*E71</f>
        <v>118300000.00000001</v>
      </c>
      <c r="G71" s="4415"/>
      <c r="H71" s="4415"/>
      <c r="I71" s="4479"/>
      <c r="J71" s="4414"/>
      <c r="K71" s="4414"/>
      <c r="L71" s="4607"/>
    </row>
    <row r="72" spans="1:12" ht="30" customHeight="1" x14ac:dyDescent="0.2">
      <c r="A72" s="4464"/>
      <c r="B72" s="4600"/>
      <c r="C72" s="4540"/>
      <c r="D72" s="2820">
        <v>400000000</v>
      </c>
      <c r="E72" s="2822">
        <v>7.0000000000000007E-2</v>
      </c>
      <c r="F72" s="2820">
        <f>D72*E72</f>
        <v>28000000.000000004</v>
      </c>
      <c r="G72" s="4413">
        <v>96300000</v>
      </c>
      <c r="H72" s="4413" t="s">
        <v>4893</v>
      </c>
      <c r="I72" s="4413" t="s">
        <v>2696</v>
      </c>
      <c r="J72" s="4414"/>
      <c r="K72" s="4414"/>
      <c r="L72" s="2864"/>
    </row>
    <row r="73" spans="1:12" ht="30" customHeight="1" x14ac:dyDescent="0.2">
      <c r="A73" s="4460"/>
      <c r="B73" s="4607"/>
      <c r="C73" s="4538"/>
      <c r="D73" s="2890">
        <f>D71+D72</f>
        <v>2090000000</v>
      </c>
      <c r="E73" s="2892">
        <v>7.0000000000000007E-2</v>
      </c>
      <c r="F73" s="2890">
        <f>D73*E73</f>
        <v>146300000</v>
      </c>
      <c r="G73" s="4415"/>
      <c r="H73" s="4415"/>
      <c r="I73" s="4415"/>
      <c r="J73" s="4415"/>
      <c r="K73" s="4415"/>
      <c r="L73" s="2864"/>
    </row>
    <row r="74" spans="1:12" ht="30" customHeight="1" x14ac:dyDescent="0.2">
      <c r="A74" s="4459">
        <v>46</v>
      </c>
      <c r="B74" s="4457" t="s">
        <v>186</v>
      </c>
      <c r="C74" s="4537" t="s">
        <v>4107</v>
      </c>
      <c r="D74" s="4413">
        <v>1000000000</v>
      </c>
      <c r="E74" s="4476">
        <v>0.08</v>
      </c>
      <c r="F74" s="4413">
        <f>D74*E74</f>
        <v>80000000</v>
      </c>
      <c r="G74" s="3396">
        <v>50000000</v>
      </c>
      <c r="H74" s="3396" t="s">
        <v>1491</v>
      </c>
      <c r="I74" s="3432" t="s">
        <v>1076</v>
      </c>
      <c r="J74" s="3409">
        <f>G74</f>
        <v>50000000</v>
      </c>
      <c r="K74" s="233"/>
      <c r="L74" s="3418"/>
    </row>
    <row r="75" spans="1:12" ht="30" customHeight="1" x14ac:dyDescent="0.2">
      <c r="A75" s="4464"/>
      <c r="B75" s="4488"/>
      <c r="C75" s="4540"/>
      <c r="D75" s="4414"/>
      <c r="E75" s="4516"/>
      <c r="F75" s="4414"/>
      <c r="G75" s="3396">
        <v>50000000</v>
      </c>
      <c r="H75" s="3396" t="s">
        <v>5292</v>
      </c>
      <c r="I75" s="3432" t="s">
        <v>1076</v>
      </c>
      <c r="J75" s="3409">
        <f>G75</f>
        <v>50000000</v>
      </c>
      <c r="K75" s="233"/>
      <c r="L75" s="3421"/>
    </row>
    <row r="76" spans="1:12" ht="30" customHeight="1" x14ac:dyDescent="0.2">
      <c r="A76" s="4464"/>
      <c r="B76" s="4488"/>
      <c r="C76" s="4540"/>
      <c r="D76" s="4414"/>
      <c r="E76" s="4516"/>
      <c r="F76" s="4414"/>
      <c r="G76" s="233"/>
      <c r="H76" s="233"/>
      <c r="I76" s="233"/>
      <c r="J76" s="233"/>
      <c r="K76" s="233"/>
      <c r="L76" s="3421"/>
    </row>
    <row r="77" spans="1:12" ht="30" customHeight="1" x14ac:dyDescent="0.2">
      <c r="A77" s="4464"/>
      <c r="B77" s="4488"/>
      <c r="C77" s="4540"/>
      <c r="D77" s="4415"/>
      <c r="E77" s="4477"/>
      <c r="F77" s="4415"/>
      <c r="G77" s="3396"/>
      <c r="H77" s="3396"/>
      <c r="I77" s="3432"/>
      <c r="J77" s="3396"/>
      <c r="K77" s="3396"/>
      <c r="L77" s="3421"/>
    </row>
    <row r="78" spans="1:12" ht="30" customHeight="1" x14ac:dyDescent="0.2">
      <c r="A78" s="4459">
        <v>47</v>
      </c>
      <c r="B78" s="4457" t="s">
        <v>187</v>
      </c>
      <c r="C78" s="4537" t="s">
        <v>1080</v>
      </c>
      <c r="D78" s="4413">
        <v>20000000</v>
      </c>
      <c r="E78" s="4476">
        <v>0.05</v>
      </c>
      <c r="F78" s="4413">
        <f t="shared" si="11"/>
        <v>1000000</v>
      </c>
      <c r="G78" s="2821">
        <v>1000000</v>
      </c>
      <c r="H78" s="2821" t="s">
        <v>4876</v>
      </c>
      <c r="I78" s="2850" t="s">
        <v>4311</v>
      </c>
      <c r="J78" s="2821">
        <f>G78</f>
        <v>1000000</v>
      </c>
      <c r="K78" s="2821">
        <f>F78-J78</f>
        <v>0</v>
      </c>
      <c r="L78" s="764" t="s">
        <v>4439</v>
      </c>
    </row>
    <row r="79" spans="1:12" ht="30" customHeight="1" x14ac:dyDescent="0.2">
      <c r="A79" s="4460"/>
      <c r="B79" s="4458"/>
      <c r="C79" s="4538"/>
      <c r="D79" s="4415"/>
      <c r="E79" s="4477"/>
      <c r="F79" s="4415"/>
      <c r="G79" s="3445">
        <v>1000000</v>
      </c>
      <c r="H79" s="3445" t="s">
        <v>5108</v>
      </c>
      <c r="I79" s="3457" t="s">
        <v>4311</v>
      </c>
      <c r="J79" s="3445">
        <f>G79</f>
        <v>1000000</v>
      </c>
      <c r="K79" s="3445">
        <f>F78-J79</f>
        <v>0</v>
      </c>
      <c r="L79" s="764" t="s">
        <v>4907</v>
      </c>
    </row>
    <row r="80" spans="1:12" ht="30" customHeight="1" x14ac:dyDescent="0.2">
      <c r="A80" s="2876">
        <v>48</v>
      </c>
      <c r="B80" s="2874" t="s">
        <v>1615</v>
      </c>
      <c r="C80" s="2873" t="s">
        <v>1081</v>
      </c>
      <c r="D80" s="2848">
        <v>100000000</v>
      </c>
      <c r="E80" s="2871">
        <v>0.05</v>
      </c>
      <c r="F80" s="2848">
        <f t="shared" si="11"/>
        <v>5000000</v>
      </c>
      <c r="G80" s="2821">
        <v>5000000</v>
      </c>
      <c r="H80" s="2821" t="s">
        <v>5108</v>
      </c>
      <c r="I80" s="21" t="s">
        <v>3909</v>
      </c>
      <c r="J80" s="2821">
        <f>G80</f>
        <v>5000000</v>
      </c>
      <c r="K80" s="2821">
        <f>F80-J80</f>
        <v>0</v>
      </c>
      <c r="L80" s="2898"/>
    </row>
    <row r="81" spans="1:12" ht="30" customHeight="1" x14ac:dyDescent="0.2">
      <c r="A81" s="1029">
        <v>49</v>
      </c>
      <c r="B81" s="19" t="s">
        <v>189</v>
      </c>
      <c r="C81" s="2873" t="s">
        <v>1295</v>
      </c>
      <c r="D81" s="2848">
        <v>230000000</v>
      </c>
      <c r="E81" s="2871">
        <v>0.05</v>
      </c>
      <c r="F81" s="2848">
        <f t="shared" si="11"/>
        <v>11500000</v>
      </c>
      <c r="G81" s="2848">
        <v>11000000</v>
      </c>
      <c r="H81" s="2848" t="s">
        <v>4877</v>
      </c>
      <c r="I81" s="2868" t="s">
        <v>1052</v>
      </c>
      <c r="J81" s="2848">
        <f>G81</f>
        <v>11000000</v>
      </c>
      <c r="K81" s="2848">
        <f>F81-J81</f>
        <v>500000</v>
      </c>
      <c r="L81" s="764" t="s">
        <v>4879</v>
      </c>
    </row>
    <row r="82" spans="1:12" ht="30" customHeight="1" x14ac:dyDescent="0.2">
      <c r="A82" s="4459">
        <v>50</v>
      </c>
      <c r="B82" s="4457" t="s">
        <v>190</v>
      </c>
      <c r="C82" s="4537" t="s">
        <v>889</v>
      </c>
      <c r="D82" s="4413">
        <v>350000000</v>
      </c>
      <c r="E82" s="4476">
        <v>0.05</v>
      </c>
      <c r="F82" s="4413">
        <f t="shared" si="11"/>
        <v>17500000</v>
      </c>
      <c r="G82" s="4303" t="s">
        <v>3911</v>
      </c>
      <c r="H82" s="4324"/>
      <c r="I82" s="4324"/>
      <c r="J82" s="4324"/>
      <c r="K82" s="4355"/>
      <c r="L82" s="2898"/>
    </row>
    <row r="83" spans="1:12" ht="30" customHeight="1" x14ac:dyDescent="0.2">
      <c r="A83" s="4460"/>
      <c r="B83" s="4458"/>
      <c r="C83" s="4538"/>
      <c r="D83" s="4415"/>
      <c r="E83" s="4477"/>
      <c r="F83" s="4415"/>
      <c r="G83" s="2848"/>
      <c r="H83" s="2848"/>
      <c r="I83" s="2848" t="s">
        <v>1054</v>
      </c>
      <c r="J83" s="2848">
        <f>G83</f>
        <v>0</v>
      </c>
      <c r="K83" s="2848"/>
      <c r="L83" s="764" t="s">
        <v>4791</v>
      </c>
    </row>
    <row r="84" spans="1:12" ht="30" customHeight="1" x14ac:dyDescent="0.2">
      <c r="A84" s="4459">
        <v>51</v>
      </c>
      <c r="B84" s="4457" t="s">
        <v>191</v>
      </c>
      <c r="C84" s="4537" t="s">
        <v>889</v>
      </c>
      <c r="D84" s="4413">
        <v>260000000</v>
      </c>
      <c r="E84" s="4476">
        <f>F84/D84</f>
        <v>5.5769230769230772E-2</v>
      </c>
      <c r="F84" s="4413">
        <v>14500000</v>
      </c>
      <c r="G84" s="2848">
        <v>14500000</v>
      </c>
      <c r="H84" s="2848" t="s">
        <v>4841</v>
      </c>
      <c r="I84" s="2848" t="s">
        <v>3500</v>
      </c>
      <c r="J84" s="2848">
        <f>G84</f>
        <v>14500000</v>
      </c>
      <c r="K84" s="2848">
        <f>F84-J84</f>
        <v>0</v>
      </c>
      <c r="L84" s="1389" t="s">
        <v>4907</v>
      </c>
    </row>
    <row r="85" spans="1:12" ht="30" customHeight="1" x14ac:dyDescent="0.2">
      <c r="A85" s="4460"/>
      <c r="B85" s="4458"/>
      <c r="C85" s="4538"/>
      <c r="D85" s="4415"/>
      <c r="E85" s="4477"/>
      <c r="F85" s="4415"/>
      <c r="G85" s="2981">
        <v>14500000</v>
      </c>
      <c r="H85" s="2981" t="s">
        <v>4893</v>
      </c>
      <c r="I85" s="2981" t="s">
        <v>3500</v>
      </c>
      <c r="J85" s="2981">
        <f>G85</f>
        <v>14500000</v>
      </c>
      <c r="K85" s="2981">
        <f>F84-J85</f>
        <v>0</v>
      </c>
      <c r="L85" s="1389" t="s">
        <v>4908</v>
      </c>
    </row>
    <row r="86" spans="1:12" ht="30" customHeight="1" x14ac:dyDescent="0.2">
      <c r="A86" s="4896"/>
      <c r="B86" s="4457" t="s">
        <v>192</v>
      </c>
      <c r="C86" s="4537"/>
      <c r="D86" s="2820">
        <v>100000000</v>
      </c>
      <c r="E86" s="2822">
        <v>7.0000000000000007E-2</v>
      </c>
      <c r="F86" s="2820">
        <f>D86*E86</f>
        <v>7000000.0000000009</v>
      </c>
      <c r="G86" s="4413">
        <v>86750000</v>
      </c>
      <c r="H86" s="4413" t="s">
        <v>4848</v>
      </c>
      <c r="I86" s="4413" t="s">
        <v>2540</v>
      </c>
      <c r="J86" s="4413">
        <f>G86</f>
        <v>86750000</v>
      </c>
      <c r="K86" s="4413"/>
      <c r="L86" s="4571" t="s">
        <v>4809</v>
      </c>
    </row>
    <row r="87" spans="1:12" ht="30" customHeight="1" x14ac:dyDescent="0.2">
      <c r="A87" s="4955"/>
      <c r="B87" s="4488"/>
      <c r="C87" s="4540"/>
      <c r="D87" s="2820">
        <v>49500000</v>
      </c>
      <c r="E87" s="2822">
        <v>0.05</v>
      </c>
      <c r="F87" s="2820">
        <f>D87*E87</f>
        <v>2475000</v>
      </c>
      <c r="G87" s="4414"/>
      <c r="H87" s="4414"/>
      <c r="I87" s="4414"/>
      <c r="J87" s="4414"/>
      <c r="K87" s="4414"/>
      <c r="L87" s="4839"/>
    </row>
    <row r="88" spans="1:12" ht="30" customHeight="1" x14ac:dyDescent="0.2">
      <c r="A88" s="4897"/>
      <c r="B88" s="4458"/>
      <c r="C88" s="4538"/>
      <c r="D88" s="2820">
        <v>500000</v>
      </c>
      <c r="E88" s="2822">
        <v>0.05</v>
      </c>
      <c r="F88" s="2820">
        <f>D88*E88</f>
        <v>25000</v>
      </c>
      <c r="G88" s="4415"/>
      <c r="H88" s="4415"/>
      <c r="I88" s="4415"/>
      <c r="J88" s="4415"/>
      <c r="K88" s="4415"/>
      <c r="L88" s="2837"/>
    </row>
    <row r="89" spans="1:12" ht="30" customHeight="1" x14ac:dyDescent="0.2">
      <c r="A89" s="4459"/>
      <c r="B89" s="4457" t="s">
        <v>193</v>
      </c>
      <c r="C89" s="4537" t="s">
        <v>1294</v>
      </c>
      <c r="D89" s="4413">
        <v>850000000</v>
      </c>
      <c r="E89" s="4476">
        <v>7.0000000000000007E-2</v>
      </c>
      <c r="F89" s="4413">
        <v>60000000</v>
      </c>
      <c r="G89" s="3115">
        <v>31000000</v>
      </c>
      <c r="H89" s="3115" t="s">
        <v>5018</v>
      </c>
      <c r="I89" s="3115" t="s">
        <v>5019</v>
      </c>
      <c r="J89" s="4413">
        <f>G89+G90</f>
        <v>62000000</v>
      </c>
      <c r="K89" s="4413">
        <f>F89+2000000-J89</f>
        <v>0</v>
      </c>
      <c r="L89" s="1389" t="s">
        <v>3725</v>
      </c>
    </row>
    <row r="90" spans="1:12" ht="30" customHeight="1" x14ac:dyDescent="0.2">
      <c r="A90" s="4460"/>
      <c r="B90" s="4458"/>
      <c r="C90" s="4538"/>
      <c r="D90" s="4415"/>
      <c r="E90" s="4477"/>
      <c r="F90" s="4415"/>
      <c r="G90" s="3104">
        <v>31000000</v>
      </c>
      <c r="H90" s="3104" t="s">
        <v>5045</v>
      </c>
      <c r="I90" s="3145" t="s">
        <v>5019</v>
      </c>
      <c r="J90" s="4415"/>
      <c r="K90" s="4415"/>
      <c r="L90" s="764" t="s">
        <v>4490</v>
      </c>
    </row>
    <row r="91" spans="1:12" ht="30" customHeight="1" x14ac:dyDescent="0.2">
      <c r="A91" s="4459">
        <v>54</v>
      </c>
      <c r="B91" s="4457" t="s">
        <v>1060</v>
      </c>
      <c r="C91" s="4537"/>
      <c r="D91" s="2821">
        <v>35000000</v>
      </c>
      <c r="E91" s="2823">
        <v>7.1999999999999995E-2</v>
      </c>
      <c r="F91" s="2821">
        <v>2500000</v>
      </c>
      <c r="G91" s="4742">
        <v>3500000</v>
      </c>
      <c r="H91" s="4742" t="s">
        <v>4848</v>
      </c>
      <c r="I91" s="4756" t="s">
        <v>4850</v>
      </c>
      <c r="J91" s="4742">
        <f>G91</f>
        <v>3500000</v>
      </c>
      <c r="K91" s="4742">
        <f>(F91+F92)-J91</f>
        <v>0</v>
      </c>
      <c r="L91" s="4599"/>
    </row>
    <row r="92" spans="1:12" ht="30" customHeight="1" x14ac:dyDescent="0.2">
      <c r="A92" s="4464"/>
      <c r="B92" s="4458"/>
      <c r="C92" s="4538"/>
      <c r="D92" s="2821">
        <v>13000000</v>
      </c>
      <c r="E92" s="2871">
        <v>7.6999999999999999E-2</v>
      </c>
      <c r="F92" s="2821">
        <v>1000000</v>
      </c>
      <c r="G92" s="4743"/>
      <c r="H92" s="4743"/>
      <c r="I92" s="4757"/>
      <c r="J92" s="4743"/>
      <c r="K92" s="4743"/>
      <c r="L92" s="4607"/>
    </row>
    <row r="93" spans="1:12" ht="30" customHeight="1" x14ac:dyDescent="0.2">
      <c r="A93" s="4459">
        <v>55</v>
      </c>
      <c r="B93" s="4457" t="s">
        <v>1247</v>
      </c>
      <c r="C93" s="4537" t="s">
        <v>1295</v>
      </c>
      <c r="D93" s="2848">
        <v>175000000</v>
      </c>
      <c r="E93" s="2871">
        <v>0.52</v>
      </c>
      <c r="F93" s="2848">
        <v>9000000</v>
      </c>
      <c r="G93" s="5073" t="s">
        <v>4804</v>
      </c>
      <c r="H93" s="5074"/>
      <c r="I93" s="5074"/>
      <c r="J93" s="5075"/>
      <c r="K93" s="4322">
        <f>(F93+F94+F95)-J93</f>
        <v>18250000</v>
      </c>
      <c r="L93" s="4492"/>
    </row>
    <row r="94" spans="1:12" ht="30" customHeight="1" x14ac:dyDescent="0.2">
      <c r="A94" s="4464"/>
      <c r="B94" s="4488"/>
      <c r="C94" s="4540"/>
      <c r="D94" s="2820">
        <f>85000000+20000000</f>
        <v>105000000</v>
      </c>
      <c r="E94" s="2822">
        <v>7.0000000000000007E-2</v>
      </c>
      <c r="F94" s="2820">
        <v>7500000</v>
      </c>
      <c r="G94" s="5076"/>
      <c r="H94" s="5077"/>
      <c r="I94" s="5077"/>
      <c r="J94" s="5078"/>
      <c r="K94" s="4322"/>
      <c r="L94" s="4684"/>
    </row>
    <row r="95" spans="1:12" ht="30" customHeight="1" x14ac:dyDescent="0.2">
      <c r="A95" s="4460"/>
      <c r="B95" s="4458"/>
      <c r="C95" s="4538"/>
      <c r="D95" s="2848">
        <v>35000000</v>
      </c>
      <c r="E95" s="2871">
        <v>0.05</v>
      </c>
      <c r="F95" s="2848">
        <f>D95*E95</f>
        <v>1750000</v>
      </c>
      <c r="G95" s="5079"/>
      <c r="H95" s="5080"/>
      <c r="I95" s="5080"/>
      <c r="J95" s="5081"/>
      <c r="K95" s="4322"/>
      <c r="L95" s="4493"/>
    </row>
    <row r="96" spans="1:12" ht="30" customHeight="1" x14ac:dyDescent="0.2">
      <c r="A96" s="4459">
        <v>56</v>
      </c>
      <c r="B96" s="4457" t="s">
        <v>35</v>
      </c>
      <c r="C96" s="4537" t="s">
        <v>1295</v>
      </c>
      <c r="D96" s="4413">
        <v>3284000000</v>
      </c>
      <c r="E96" s="4476">
        <v>7.0000000000000007E-2</v>
      </c>
      <c r="F96" s="4413">
        <v>229880000</v>
      </c>
      <c r="G96" s="2821">
        <v>50000000</v>
      </c>
      <c r="H96" s="2821" t="s">
        <v>4876</v>
      </c>
      <c r="I96" s="21" t="s">
        <v>4947</v>
      </c>
      <c r="J96" s="4975">
        <f>G96+G97+G98+G99</f>
        <v>229880000</v>
      </c>
      <c r="K96" s="4413">
        <f>F96-J96</f>
        <v>0</v>
      </c>
      <c r="L96" s="638"/>
    </row>
    <row r="97" spans="1:12" ht="30" customHeight="1" x14ac:dyDescent="0.2">
      <c r="A97" s="4464"/>
      <c r="B97" s="4488"/>
      <c r="C97" s="4540"/>
      <c r="D97" s="4414"/>
      <c r="E97" s="4516"/>
      <c r="F97" s="4414"/>
      <c r="G97" s="2821">
        <v>100000000</v>
      </c>
      <c r="H97" s="2821" t="s">
        <v>4941</v>
      </c>
      <c r="I97" s="21" t="s">
        <v>4947</v>
      </c>
      <c r="J97" s="4520"/>
      <c r="K97" s="4414"/>
      <c r="L97" s="180"/>
    </row>
    <row r="98" spans="1:12" ht="30" customHeight="1" x14ac:dyDescent="0.2">
      <c r="A98" s="4464"/>
      <c r="B98" s="4488"/>
      <c r="C98" s="4540"/>
      <c r="D98" s="4414"/>
      <c r="E98" s="4516"/>
      <c r="F98" s="4414"/>
      <c r="G98" s="2821">
        <v>79880000</v>
      </c>
      <c r="H98" s="2821" t="s">
        <v>4961</v>
      </c>
      <c r="I98" s="3058" t="s">
        <v>4947</v>
      </c>
      <c r="J98" s="4520"/>
      <c r="K98" s="4414"/>
      <c r="L98" s="180"/>
    </row>
    <row r="99" spans="1:12" ht="30" customHeight="1" x14ac:dyDescent="0.2">
      <c r="A99" s="4464"/>
      <c r="B99" s="4488"/>
      <c r="C99" s="4538"/>
      <c r="D99" s="4415"/>
      <c r="E99" s="4477"/>
      <c r="F99" s="4415"/>
      <c r="G99" s="2821"/>
      <c r="H99" s="2821"/>
      <c r="I99" s="21"/>
      <c r="J99" s="4479"/>
      <c r="K99" s="4415"/>
      <c r="L99" s="1612"/>
    </row>
    <row r="100" spans="1:12" ht="30" customHeight="1" x14ac:dyDescent="0.2">
      <c r="A100" s="4464"/>
      <c r="B100" s="4488"/>
      <c r="C100" s="4537" t="s">
        <v>1306</v>
      </c>
      <c r="D100" s="4413">
        <f>1891929000+151354320+22190000-320</f>
        <v>2065473000</v>
      </c>
      <c r="E100" s="4476">
        <v>0.08</v>
      </c>
      <c r="F100" s="4413">
        <f>D100*E100</f>
        <v>165237840</v>
      </c>
      <c r="G100" s="2821">
        <v>70000000</v>
      </c>
      <c r="H100" s="2821" t="s">
        <v>5230</v>
      </c>
      <c r="I100" s="2821" t="s">
        <v>4947</v>
      </c>
      <c r="J100" s="4413">
        <f>G100+G102+77810000</f>
        <v>165237840</v>
      </c>
      <c r="K100" s="4413">
        <f>F100-J100</f>
        <v>0</v>
      </c>
      <c r="L100" s="1612"/>
    </row>
    <row r="101" spans="1:12" ht="30" customHeight="1" x14ac:dyDescent="0.2">
      <c r="A101" s="4464"/>
      <c r="B101" s="4488"/>
      <c r="C101" s="4540"/>
      <c r="D101" s="4414"/>
      <c r="E101" s="4516"/>
      <c r="F101" s="4414"/>
      <c r="G101" s="5054" t="s">
        <v>5235</v>
      </c>
      <c r="H101" s="5055"/>
      <c r="I101" s="5056"/>
      <c r="J101" s="4414"/>
      <c r="K101" s="4414"/>
      <c r="L101" s="1612"/>
    </row>
    <row r="102" spans="1:12" ht="30" customHeight="1" x14ac:dyDescent="0.2">
      <c r="A102" s="4464"/>
      <c r="B102" s="4458"/>
      <c r="C102" s="4538"/>
      <c r="D102" s="4415"/>
      <c r="E102" s="4477"/>
      <c r="F102" s="4415"/>
      <c r="G102" s="3355">
        <v>17427840</v>
      </c>
      <c r="H102" s="3355" t="s">
        <v>5108</v>
      </c>
      <c r="I102" s="3355" t="s">
        <v>4947</v>
      </c>
      <c r="J102" s="4415"/>
      <c r="K102" s="4415"/>
      <c r="L102" s="1612"/>
    </row>
    <row r="103" spans="1:12" ht="30" customHeight="1" x14ac:dyDescent="0.2">
      <c r="A103" s="4459">
        <v>57</v>
      </c>
      <c r="B103" s="4457" t="s">
        <v>1077</v>
      </c>
      <c r="C103" s="4537" t="s">
        <v>1298</v>
      </c>
      <c r="D103" s="4413">
        <v>317000000</v>
      </c>
      <c r="E103" s="4476">
        <v>7.0000000000000007E-2</v>
      </c>
      <c r="F103" s="4413">
        <f>D103*E103</f>
        <v>22190000.000000004</v>
      </c>
      <c r="G103" s="4793" t="s">
        <v>5231</v>
      </c>
      <c r="H103" s="4794"/>
      <c r="I103" s="4794"/>
      <c r="J103" s="4795"/>
      <c r="K103" s="4413"/>
      <c r="L103" s="4682"/>
    </row>
    <row r="104" spans="1:12" ht="30" customHeight="1" x14ac:dyDescent="0.2">
      <c r="A104" s="4460"/>
      <c r="B104" s="4458"/>
      <c r="C104" s="4538"/>
      <c r="D104" s="4415"/>
      <c r="E104" s="4477"/>
      <c r="F104" s="4415"/>
      <c r="G104" s="4799"/>
      <c r="H104" s="4800"/>
      <c r="I104" s="4800"/>
      <c r="J104" s="4801"/>
      <c r="K104" s="4415"/>
      <c r="L104" s="4683"/>
    </row>
    <row r="105" spans="1:12" ht="30" customHeight="1" x14ac:dyDescent="0.2">
      <c r="A105" s="4459"/>
      <c r="B105" s="4457" t="s">
        <v>5232</v>
      </c>
      <c r="C105" s="4537" t="s">
        <v>1796</v>
      </c>
      <c r="D105" s="3352">
        <v>56000000</v>
      </c>
      <c r="E105" s="3353">
        <v>7.0000000000000007E-2</v>
      </c>
      <c r="F105" s="3352">
        <f>D105*E105</f>
        <v>3920000.0000000005</v>
      </c>
      <c r="G105" s="4838" t="s">
        <v>5233</v>
      </c>
      <c r="H105" s="4838"/>
      <c r="I105" s="4838"/>
      <c r="J105" s="4838"/>
      <c r="K105" s="3351"/>
      <c r="L105" s="180" t="s">
        <v>5282</v>
      </c>
    </row>
    <row r="106" spans="1:12" ht="30" customHeight="1" x14ac:dyDescent="0.2">
      <c r="A106" s="4460"/>
      <c r="B106" s="4458"/>
      <c r="C106" s="4538"/>
      <c r="D106" s="3352">
        <v>100000000</v>
      </c>
      <c r="E106" s="3353">
        <v>7.0000000000000007E-2</v>
      </c>
      <c r="F106" s="3352">
        <f>D106*E106</f>
        <v>7000000.0000000009</v>
      </c>
      <c r="G106" s="4469" t="s">
        <v>5234</v>
      </c>
      <c r="H106" s="4470"/>
      <c r="I106" s="4470"/>
      <c r="J106" s="4471"/>
      <c r="K106" s="3351"/>
      <c r="L106" s="3357"/>
    </row>
    <row r="107" spans="1:12" ht="30" customHeight="1" x14ac:dyDescent="0.2">
      <c r="A107" s="4459">
        <v>58</v>
      </c>
      <c r="B107" s="4615" t="s">
        <v>1064</v>
      </c>
      <c r="C107" s="4620" t="s">
        <v>889</v>
      </c>
      <c r="D107" s="2821">
        <v>11000000</v>
      </c>
      <c r="E107" s="2871">
        <v>7.0000000000000007E-2</v>
      </c>
      <c r="F107" s="2821">
        <v>700000</v>
      </c>
      <c r="G107" s="4413">
        <v>2100000</v>
      </c>
      <c r="H107" s="4413" t="s">
        <v>4862</v>
      </c>
      <c r="I107" s="4558" t="s">
        <v>1066</v>
      </c>
      <c r="J107" s="4413">
        <f>G107</f>
        <v>2100000</v>
      </c>
      <c r="K107" s="4413">
        <f>(F107+F108)-J107</f>
        <v>0</v>
      </c>
      <c r="L107" s="2874"/>
    </row>
    <row r="108" spans="1:12" ht="30" customHeight="1" x14ac:dyDescent="0.2">
      <c r="A108" s="4460"/>
      <c r="B108" s="4615"/>
      <c r="C108" s="4620"/>
      <c r="D108" s="2821">
        <v>20000000</v>
      </c>
      <c r="E108" s="2871">
        <v>7.0000000000000007E-2</v>
      </c>
      <c r="F108" s="2821">
        <f>D108*E108</f>
        <v>1400000.0000000002</v>
      </c>
      <c r="G108" s="4415"/>
      <c r="H108" s="4415"/>
      <c r="I108" s="4560"/>
      <c r="J108" s="4415"/>
      <c r="K108" s="4415"/>
      <c r="L108" s="2898"/>
    </row>
    <row r="109" spans="1:12" ht="30" customHeight="1" x14ac:dyDescent="0.2">
      <c r="A109" s="4459"/>
      <c r="B109" s="4457" t="s">
        <v>194</v>
      </c>
      <c r="C109" s="4537" t="s">
        <v>1295</v>
      </c>
      <c r="D109" s="2821">
        <v>100000000</v>
      </c>
      <c r="E109" s="2871">
        <v>5.1999999999999998E-2</v>
      </c>
      <c r="F109" s="2821">
        <f t="shared" si="11"/>
        <v>5200000</v>
      </c>
      <c r="G109" s="4413">
        <v>6000000</v>
      </c>
      <c r="H109" s="4413" t="s">
        <v>4862</v>
      </c>
      <c r="I109" s="4413" t="s">
        <v>4872</v>
      </c>
      <c r="J109" s="4413">
        <f>G109</f>
        <v>6000000</v>
      </c>
      <c r="K109" s="4413">
        <f>(F109+F110)-J109</f>
        <v>0</v>
      </c>
      <c r="L109" s="638"/>
    </row>
    <row r="110" spans="1:12" ht="30" customHeight="1" x14ac:dyDescent="0.2">
      <c r="A110" s="4464"/>
      <c r="B110" s="4488"/>
      <c r="C110" s="4540"/>
      <c r="D110" s="2821">
        <v>15000000</v>
      </c>
      <c r="E110" s="2871">
        <v>5.5E-2</v>
      </c>
      <c r="F110" s="2821">
        <v>800000</v>
      </c>
      <c r="G110" s="4415"/>
      <c r="H110" s="4415"/>
      <c r="I110" s="4415"/>
      <c r="J110" s="4415"/>
      <c r="K110" s="4415"/>
      <c r="L110" s="180"/>
    </row>
    <row r="111" spans="1:12" ht="30" customHeight="1" x14ac:dyDescent="0.2">
      <c r="A111" s="4464"/>
      <c r="B111" s="4488"/>
      <c r="C111" s="4540"/>
      <c r="D111" s="2821">
        <v>29000000</v>
      </c>
      <c r="E111" s="2871">
        <v>5.1999999999999998E-2</v>
      </c>
      <c r="F111" s="2821">
        <v>1500000</v>
      </c>
      <c r="G111" s="2821"/>
      <c r="H111" s="2821"/>
      <c r="I111" s="2841"/>
      <c r="J111" s="2821"/>
      <c r="K111" s="2821"/>
      <c r="L111" s="180" t="s">
        <v>5923</v>
      </c>
    </row>
    <row r="112" spans="1:12" ht="30" customHeight="1" x14ac:dyDescent="0.2">
      <c r="A112" s="4460"/>
      <c r="B112" s="4458"/>
      <c r="C112" s="4538"/>
      <c r="D112" s="3061">
        <v>6000000</v>
      </c>
      <c r="E112" s="3070">
        <v>5.1999999999999998E-2</v>
      </c>
      <c r="F112" s="3061">
        <v>300000</v>
      </c>
      <c r="G112" s="3061"/>
      <c r="H112" s="3061"/>
      <c r="I112" s="3068"/>
      <c r="J112" s="3061"/>
      <c r="K112" s="3061"/>
      <c r="L112" s="180" t="s">
        <v>4991</v>
      </c>
    </row>
    <row r="113" spans="1:12" ht="30" customHeight="1" x14ac:dyDescent="0.2">
      <c r="A113" s="2876">
        <v>60</v>
      </c>
      <c r="B113" s="2874" t="s">
        <v>1498</v>
      </c>
      <c r="C113" s="2847" t="s">
        <v>889</v>
      </c>
      <c r="D113" s="2821"/>
      <c r="E113" s="2871"/>
      <c r="F113" s="2821">
        <f t="shared" si="11"/>
        <v>0</v>
      </c>
      <c r="G113" s="2821">
        <v>10000000</v>
      </c>
      <c r="H113" s="2821" t="s">
        <v>4862</v>
      </c>
      <c r="I113" s="21" t="s">
        <v>1810</v>
      </c>
      <c r="J113" s="2821">
        <f>G113</f>
        <v>10000000</v>
      </c>
      <c r="K113" s="2821">
        <f>F113-J113</f>
        <v>-10000000</v>
      </c>
      <c r="L113" s="2874"/>
    </row>
    <row r="114" spans="1:12" ht="30" customHeight="1" x14ac:dyDescent="0.2">
      <c r="A114" s="2826">
        <v>61</v>
      </c>
      <c r="B114" s="2874" t="s">
        <v>196</v>
      </c>
      <c r="C114" s="2847"/>
      <c r="D114" s="2821">
        <v>100000000</v>
      </c>
      <c r="E114" s="2871">
        <v>7.0000000000000007E-2</v>
      </c>
      <c r="F114" s="2821">
        <f t="shared" si="11"/>
        <v>7000000.0000000009</v>
      </c>
      <c r="G114" s="2821">
        <v>7000000</v>
      </c>
      <c r="H114" s="2821" t="s">
        <v>4893</v>
      </c>
      <c r="I114" s="21" t="s">
        <v>3466</v>
      </c>
      <c r="J114" s="2821">
        <f>G114</f>
        <v>7000000</v>
      </c>
      <c r="K114" s="2821">
        <f>F114-J114</f>
        <v>0</v>
      </c>
      <c r="L114" s="2874"/>
    </row>
    <row r="115" spans="1:12" ht="30" customHeight="1" x14ac:dyDescent="0.2">
      <c r="A115" s="2887">
        <v>62</v>
      </c>
      <c r="B115" s="1951" t="s">
        <v>197</v>
      </c>
      <c r="C115" s="3420"/>
      <c r="D115" s="3397">
        <v>125000000</v>
      </c>
      <c r="E115" s="2521">
        <v>5.1999999999999998E-2</v>
      </c>
      <c r="F115" s="3397">
        <f t="shared" si="11"/>
        <v>6500000</v>
      </c>
      <c r="G115" s="3397">
        <v>4450000</v>
      </c>
      <c r="H115" s="3397" t="s">
        <v>5229</v>
      </c>
      <c r="I115" s="3397" t="s">
        <v>1251</v>
      </c>
      <c r="J115" s="3397">
        <f>G115</f>
        <v>4450000</v>
      </c>
      <c r="K115" s="3397">
        <f>F115-J115</f>
        <v>2050000</v>
      </c>
      <c r="L115" s="2898"/>
    </row>
    <row r="116" spans="1:12" ht="30" customHeight="1" x14ac:dyDescent="0.2">
      <c r="A116" s="4459">
        <v>63</v>
      </c>
      <c r="B116" s="4457" t="s">
        <v>198</v>
      </c>
      <c r="C116" s="4537" t="s">
        <v>889</v>
      </c>
      <c r="D116" s="2848">
        <v>1900000000</v>
      </c>
      <c r="E116" s="2871">
        <v>6.5000000000000002E-2</v>
      </c>
      <c r="F116" s="2848">
        <f t="shared" si="11"/>
        <v>123500000</v>
      </c>
      <c r="G116" s="2848">
        <v>23500000</v>
      </c>
      <c r="H116" s="2848" t="s">
        <v>4893</v>
      </c>
      <c r="I116" s="2848" t="s">
        <v>3724</v>
      </c>
      <c r="J116" s="2848">
        <f>G116</f>
        <v>23500000</v>
      </c>
      <c r="K116" s="2848">
        <f>F116-100000000-J116</f>
        <v>0</v>
      </c>
      <c r="L116" s="638" t="s">
        <v>3374</v>
      </c>
    </row>
    <row r="117" spans="1:12" ht="30" customHeight="1" x14ac:dyDescent="0.2">
      <c r="A117" s="4464"/>
      <c r="B117" s="4488"/>
      <c r="C117" s="4540"/>
      <c r="D117" s="3384">
        <v>2000000000</v>
      </c>
      <c r="E117" s="897">
        <v>6.5000000000000002E-2</v>
      </c>
      <c r="F117" s="3384">
        <f>D117*E117</f>
        <v>130000000</v>
      </c>
      <c r="G117" s="4916" t="s">
        <v>4810</v>
      </c>
      <c r="H117" s="4917"/>
      <c r="I117" s="4917"/>
      <c r="J117" s="4918"/>
      <c r="K117" s="2821"/>
      <c r="L117" s="29" t="s">
        <v>4811</v>
      </c>
    </row>
    <row r="118" spans="1:12" ht="30" customHeight="1" x14ac:dyDescent="0.2">
      <c r="A118" s="4460"/>
      <c r="B118" s="4458"/>
      <c r="C118" s="4538"/>
      <c r="D118" s="3381">
        <v>300000000</v>
      </c>
      <c r="E118" s="3382">
        <v>6.5000000000000002E-2</v>
      </c>
      <c r="F118" s="3381">
        <f>D118*E118</f>
        <v>19500000</v>
      </c>
      <c r="G118" s="3387"/>
      <c r="H118" s="3388"/>
      <c r="I118" s="3388"/>
      <c r="J118" s="3389"/>
      <c r="K118" s="3368"/>
      <c r="L118" s="29" t="s">
        <v>5241</v>
      </c>
    </row>
    <row r="119" spans="1:12" ht="30" customHeight="1" x14ac:dyDescent="0.2">
      <c r="A119" s="2826">
        <v>64</v>
      </c>
      <c r="B119" s="2829" t="s">
        <v>1336</v>
      </c>
      <c r="C119" s="2847" t="s">
        <v>889</v>
      </c>
      <c r="D119" s="2821">
        <v>200000000</v>
      </c>
      <c r="E119" s="2823">
        <v>5.5E-2</v>
      </c>
      <c r="F119" s="2821">
        <f t="shared" si="11"/>
        <v>11000000</v>
      </c>
      <c r="G119" s="2821">
        <v>11000000</v>
      </c>
      <c r="H119" s="2821" t="s">
        <v>4848</v>
      </c>
      <c r="I119" s="21" t="s">
        <v>3925</v>
      </c>
      <c r="J119" s="2821">
        <f>G119</f>
        <v>11000000</v>
      </c>
      <c r="K119" s="2821">
        <f t="shared" ref="K119:K127" si="12">F119-J119</f>
        <v>0</v>
      </c>
      <c r="L119" s="2898"/>
    </row>
    <row r="120" spans="1:12" ht="30" customHeight="1" x14ac:dyDescent="0.2">
      <c r="A120" s="2904"/>
      <c r="B120" s="2908" t="s">
        <v>4818</v>
      </c>
      <c r="C120" s="2913" t="s">
        <v>889</v>
      </c>
      <c r="D120" s="2914">
        <v>534000000</v>
      </c>
      <c r="E120" s="2916">
        <f>F120/D120</f>
        <v>6.1573033707865168E-2</v>
      </c>
      <c r="F120" s="2914">
        <v>32880000</v>
      </c>
      <c r="G120" s="2848">
        <v>32880000</v>
      </c>
      <c r="H120" s="2848" t="s">
        <v>4862</v>
      </c>
      <c r="I120" s="2868" t="s">
        <v>3501</v>
      </c>
      <c r="J120" s="2848">
        <f>G120</f>
        <v>32880000</v>
      </c>
      <c r="K120" s="2848">
        <f>F120-J120</f>
        <v>0</v>
      </c>
      <c r="L120" s="2834"/>
    </row>
    <row r="121" spans="1:12" ht="30" customHeight="1" x14ac:dyDescent="0.2">
      <c r="A121" s="2825">
        <v>68</v>
      </c>
      <c r="B121" s="2874" t="s">
        <v>202</v>
      </c>
      <c r="C121" s="2873" t="s">
        <v>1295</v>
      </c>
      <c r="D121" s="2848">
        <v>150000000</v>
      </c>
      <c r="E121" s="2871">
        <v>0.05</v>
      </c>
      <c r="F121" s="2848">
        <f t="shared" si="11"/>
        <v>7500000</v>
      </c>
      <c r="G121" s="2848">
        <v>7500000</v>
      </c>
      <c r="H121" s="2848" t="s">
        <v>4848</v>
      </c>
      <c r="I121" s="1539" t="s">
        <v>3926</v>
      </c>
      <c r="J121" s="2848">
        <f t="shared" ref="J121:J125" si="13">G121</f>
        <v>7500000</v>
      </c>
      <c r="K121" s="2848">
        <f t="shared" si="12"/>
        <v>0</v>
      </c>
      <c r="L121" s="2843"/>
    </row>
    <row r="122" spans="1:12" ht="30" customHeight="1" x14ac:dyDescent="0.2">
      <c r="A122" s="1029">
        <v>69</v>
      </c>
      <c r="B122" s="19" t="s">
        <v>203</v>
      </c>
      <c r="C122" s="2873" t="s">
        <v>889</v>
      </c>
      <c r="D122" s="2848">
        <v>280000000</v>
      </c>
      <c r="E122" s="2871">
        <f>F122/D122</f>
        <v>7.0000000000000007E-2</v>
      </c>
      <c r="F122" s="2848">
        <v>19600000</v>
      </c>
      <c r="G122" s="2992">
        <v>19600000</v>
      </c>
      <c r="H122" s="2992" t="s">
        <v>4862</v>
      </c>
      <c r="I122" s="3003" t="s">
        <v>934</v>
      </c>
      <c r="J122" s="2992">
        <f>G122</f>
        <v>19600000</v>
      </c>
      <c r="K122" s="2848">
        <f t="shared" si="12"/>
        <v>0</v>
      </c>
      <c r="L122" s="2860"/>
    </row>
    <row r="123" spans="1:12" ht="30" customHeight="1" x14ac:dyDescent="0.2">
      <c r="A123" s="4459">
        <v>70</v>
      </c>
      <c r="B123" s="4457" t="s">
        <v>204</v>
      </c>
      <c r="C123" s="4537" t="s">
        <v>889</v>
      </c>
      <c r="D123" s="2848">
        <v>100000000</v>
      </c>
      <c r="E123" s="2871">
        <v>0.04</v>
      </c>
      <c r="F123" s="2848">
        <f t="shared" si="11"/>
        <v>4000000</v>
      </c>
      <c r="G123" s="2848">
        <v>4000000</v>
      </c>
      <c r="H123" s="2848" t="s">
        <v>4841</v>
      </c>
      <c r="I123" s="2881" t="s">
        <v>3405</v>
      </c>
      <c r="J123" s="2848">
        <f t="shared" si="13"/>
        <v>4000000</v>
      </c>
      <c r="K123" s="2848">
        <f t="shared" si="12"/>
        <v>0</v>
      </c>
      <c r="L123" s="2843"/>
    </row>
    <row r="124" spans="1:12" ht="30" customHeight="1" x14ac:dyDescent="0.2">
      <c r="A124" s="4460"/>
      <c r="B124" s="4458"/>
      <c r="C124" s="4538"/>
      <c r="D124" s="4303" t="s">
        <v>4932</v>
      </c>
      <c r="E124" s="4324"/>
      <c r="F124" s="4355"/>
      <c r="G124" s="2981">
        <v>500000</v>
      </c>
      <c r="H124" s="2981" t="s">
        <v>4922</v>
      </c>
      <c r="I124" s="2993" t="s">
        <v>1385</v>
      </c>
      <c r="J124" s="2981">
        <f t="shared" si="13"/>
        <v>500000</v>
      </c>
      <c r="K124" s="2981">
        <v>0</v>
      </c>
      <c r="L124" s="3002"/>
    </row>
    <row r="125" spans="1:12" ht="30" customHeight="1" x14ac:dyDescent="0.2">
      <c r="A125" s="4459"/>
      <c r="B125" s="4457" t="s">
        <v>205</v>
      </c>
      <c r="C125" s="4537" t="s">
        <v>889</v>
      </c>
      <c r="D125" s="2821">
        <v>30000000</v>
      </c>
      <c r="E125" s="2823">
        <v>0.05</v>
      </c>
      <c r="F125" s="2821">
        <f t="shared" si="11"/>
        <v>1500000</v>
      </c>
      <c r="G125" s="4413">
        <v>2000000</v>
      </c>
      <c r="H125" s="4413" t="s">
        <v>4862</v>
      </c>
      <c r="I125" s="4413" t="s">
        <v>1407</v>
      </c>
      <c r="J125" s="4413">
        <f t="shared" si="13"/>
        <v>2000000</v>
      </c>
      <c r="K125" s="4413">
        <f t="shared" si="12"/>
        <v>-500000</v>
      </c>
      <c r="L125" s="2833"/>
    </row>
    <row r="126" spans="1:12" ht="30" customHeight="1" x14ac:dyDescent="0.2">
      <c r="A126" s="4460"/>
      <c r="B126" s="4458"/>
      <c r="C126" s="4538"/>
      <c r="D126" s="2831">
        <v>10000000</v>
      </c>
      <c r="E126" s="2836">
        <v>0.05</v>
      </c>
      <c r="F126" s="2831">
        <f t="shared" si="11"/>
        <v>500000</v>
      </c>
      <c r="G126" s="4415"/>
      <c r="H126" s="4415"/>
      <c r="I126" s="4415"/>
      <c r="J126" s="4415"/>
      <c r="K126" s="4415"/>
      <c r="L126" s="2853"/>
    </row>
    <row r="127" spans="1:12" ht="30" customHeight="1" x14ac:dyDescent="0.2">
      <c r="A127" s="4459">
        <v>72</v>
      </c>
      <c r="B127" s="4457" t="s">
        <v>1023</v>
      </c>
      <c r="C127" s="4537" t="s">
        <v>1718</v>
      </c>
      <c r="D127" s="4413">
        <v>1685000000</v>
      </c>
      <c r="E127" s="4476">
        <v>0.06</v>
      </c>
      <c r="F127" s="4413">
        <f t="shared" si="11"/>
        <v>101100000</v>
      </c>
      <c r="G127" s="2821">
        <v>50000000</v>
      </c>
      <c r="H127" s="2821" t="s">
        <v>4941</v>
      </c>
      <c r="I127" s="21" t="s">
        <v>3067</v>
      </c>
      <c r="J127" s="4413">
        <f>G127+G128</f>
        <v>100000000</v>
      </c>
      <c r="K127" s="4413">
        <f t="shared" si="12"/>
        <v>1100000</v>
      </c>
      <c r="L127" s="4652"/>
    </row>
    <row r="128" spans="1:12" ht="30" customHeight="1" x14ac:dyDescent="0.2">
      <c r="A128" s="4460"/>
      <c r="B128" s="4458"/>
      <c r="C128" s="4538"/>
      <c r="D128" s="4415"/>
      <c r="E128" s="4477"/>
      <c r="F128" s="4415"/>
      <c r="G128" s="2821">
        <v>50000000</v>
      </c>
      <c r="H128" s="2821" t="s">
        <v>4938</v>
      </c>
      <c r="I128" s="21" t="s">
        <v>3067</v>
      </c>
      <c r="J128" s="4415"/>
      <c r="K128" s="4415"/>
      <c r="L128" s="4653"/>
    </row>
    <row r="129" spans="1:16" ht="30" customHeight="1" x14ac:dyDescent="0.2">
      <c r="A129" s="2826">
        <v>73</v>
      </c>
      <c r="B129" s="2874" t="s">
        <v>206</v>
      </c>
      <c r="C129" s="2847" t="s">
        <v>1293</v>
      </c>
      <c r="D129" s="2821">
        <v>20000000</v>
      </c>
      <c r="E129" s="2871">
        <v>0.05</v>
      </c>
      <c r="F129" s="2821">
        <f t="shared" si="11"/>
        <v>1000000</v>
      </c>
      <c r="G129" s="2821">
        <v>1000000</v>
      </c>
      <c r="H129" s="2821" t="s">
        <v>4893</v>
      </c>
      <c r="I129" s="21" t="s">
        <v>4901</v>
      </c>
      <c r="J129" s="2821">
        <f>G129</f>
        <v>1000000</v>
      </c>
      <c r="K129" s="2821">
        <f>F129-J129</f>
        <v>0</v>
      </c>
      <c r="L129" s="2874"/>
    </row>
    <row r="130" spans="1:16" ht="30" customHeight="1" x14ac:dyDescent="0.2">
      <c r="A130" s="4459">
        <v>74</v>
      </c>
      <c r="B130" s="4457" t="s">
        <v>4205</v>
      </c>
      <c r="C130" s="4537" t="s">
        <v>2644</v>
      </c>
      <c r="D130" s="2821">
        <v>125000000</v>
      </c>
      <c r="E130" s="2871">
        <v>0.04</v>
      </c>
      <c r="F130" s="2821">
        <f t="shared" si="11"/>
        <v>5000000</v>
      </c>
      <c r="G130" s="4413">
        <v>9500000</v>
      </c>
      <c r="H130" s="4413" t="s">
        <v>4877</v>
      </c>
      <c r="I130" s="4413" t="s">
        <v>3067</v>
      </c>
      <c r="J130" s="4413">
        <f>G130</f>
        <v>9500000</v>
      </c>
      <c r="K130" s="4413">
        <f>(F130+F131)-J130</f>
        <v>0</v>
      </c>
      <c r="L130" s="737"/>
    </row>
    <row r="131" spans="1:16" ht="30" customHeight="1" x14ac:dyDescent="0.2">
      <c r="A131" s="4464"/>
      <c r="B131" s="4488"/>
      <c r="C131" s="4540"/>
      <c r="D131" s="2821">
        <v>90000000</v>
      </c>
      <c r="E131" s="2871">
        <v>0.05</v>
      </c>
      <c r="F131" s="2821">
        <f t="shared" si="11"/>
        <v>4500000</v>
      </c>
      <c r="G131" s="4415"/>
      <c r="H131" s="4415"/>
      <c r="I131" s="4415"/>
      <c r="J131" s="4415"/>
      <c r="K131" s="4415"/>
      <c r="L131" s="737"/>
    </row>
    <row r="132" spans="1:16" ht="30" customHeight="1" x14ac:dyDescent="0.2">
      <c r="A132" s="4460"/>
      <c r="B132" s="4458"/>
      <c r="C132" s="4538"/>
      <c r="D132" s="3061">
        <v>10000000</v>
      </c>
      <c r="E132" s="3070">
        <v>0.05</v>
      </c>
      <c r="F132" s="3061">
        <f t="shared" si="11"/>
        <v>500000</v>
      </c>
      <c r="G132" s="3061"/>
      <c r="H132" s="3061"/>
      <c r="I132" s="3068"/>
      <c r="J132" s="3061"/>
      <c r="K132" s="3061"/>
      <c r="L132" s="737" t="s">
        <v>4974</v>
      </c>
    </row>
    <row r="133" spans="1:16" ht="30" customHeight="1" x14ac:dyDescent="0.2">
      <c r="A133" s="2876"/>
      <c r="B133" s="2874" t="s">
        <v>4207</v>
      </c>
      <c r="C133" s="2847" t="s">
        <v>262</v>
      </c>
      <c r="D133" s="2821">
        <v>200000000</v>
      </c>
      <c r="E133" s="2871">
        <v>0.05</v>
      </c>
      <c r="F133" s="2821">
        <f t="shared" si="11"/>
        <v>10000000</v>
      </c>
      <c r="G133" s="2821">
        <v>10000000</v>
      </c>
      <c r="H133" s="2821" t="s">
        <v>5085</v>
      </c>
      <c r="I133" s="2841" t="s">
        <v>4463</v>
      </c>
      <c r="J133" s="2821">
        <f>G133</f>
        <v>10000000</v>
      </c>
      <c r="K133" s="2821">
        <f>F133-J133</f>
        <v>0</v>
      </c>
      <c r="L133" s="737"/>
    </row>
    <row r="134" spans="1:16" ht="30" customHeight="1" x14ac:dyDescent="0.2">
      <c r="A134" s="2825"/>
      <c r="B134" s="2874" t="s">
        <v>208</v>
      </c>
      <c r="C134" s="2847" t="s">
        <v>392</v>
      </c>
      <c r="D134" s="2821">
        <v>50000000</v>
      </c>
      <c r="E134" s="2871">
        <v>0.05</v>
      </c>
      <c r="F134" s="2821">
        <f t="shared" si="11"/>
        <v>2500000</v>
      </c>
      <c r="G134" s="2821">
        <v>2500000</v>
      </c>
      <c r="H134" s="2821" t="s">
        <v>4877</v>
      </c>
      <c r="I134" s="2841" t="s">
        <v>948</v>
      </c>
      <c r="J134" s="2821">
        <f>G134</f>
        <v>2500000</v>
      </c>
      <c r="K134" s="2821">
        <f>F134-J134</f>
        <v>0</v>
      </c>
      <c r="L134" s="180"/>
    </row>
    <row r="135" spans="1:16" ht="30" customHeight="1" x14ac:dyDescent="0.2">
      <c r="A135" s="2903">
        <v>76</v>
      </c>
      <c r="B135" s="2907" t="s">
        <v>3462</v>
      </c>
      <c r="C135" s="2912" t="s">
        <v>1293</v>
      </c>
      <c r="D135" s="2905">
        <v>150000000</v>
      </c>
      <c r="E135" s="2871">
        <v>0.05</v>
      </c>
      <c r="F135" s="2821">
        <f t="shared" si="11"/>
        <v>7500000</v>
      </c>
      <c r="G135" s="2821">
        <v>7500000</v>
      </c>
      <c r="H135" s="2821" t="s">
        <v>4862</v>
      </c>
      <c r="I135" s="21" t="s">
        <v>4865</v>
      </c>
      <c r="J135" s="2821">
        <f>G135</f>
        <v>7500000</v>
      </c>
      <c r="K135" s="2821">
        <f>F135-J135</f>
        <v>0</v>
      </c>
      <c r="L135" s="180"/>
    </row>
    <row r="136" spans="1:16" ht="30" customHeight="1" x14ac:dyDescent="0.2">
      <c r="A136" s="4459">
        <v>77</v>
      </c>
      <c r="B136" s="4457" t="s">
        <v>210</v>
      </c>
      <c r="C136" s="4537" t="s">
        <v>1717</v>
      </c>
      <c r="D136" s="2821">
        <v>30000000</v>
      </c>
      <c r="E136" s="2871">
        <v>7.0000000000000007E-2</v>
      </c>
      <c r="F136" s="2821">
        <f t="shared" si="11"/>
        <v>2100000</v>
      </c>
      <c r="G136" s="4413">
        <v>3675000</v>
      </c>
      <c r="H136" s="4413" t="s">
        <v>4862</v>
      </c>
      <c r="I136" s="4478" t="s">
        <v>4873</v>
      </c>
      <c r="J136" s="4413">
        <f>G136</f>
        <v>3675000</v>
      </c>
      <c r="K136" s="4413">
        <f>(F136+F137)-J136</f>
        <v>0</v>
      </c>
      <c r="L136" s="4492"/>
    </row>
    <row r="137" spans="1:16" ht="30" customHeight="1" x14ac:dyDescent="0.2">
      <c r="A137" s="4460"/>
      <c r="B137" s="4458"/>
      <c r="C137" s="4538"/>
      <c r="D137" s="2821">
        <v>35000000</v>
      </c>
      <c r="E137" s="2871">
        <v>4.4999999999999998E-2</v>
      </c>
      <c r="F137" s="2821">
        <f t="shared" si="11"/>
        <v>1575000</v>
      </c>
      <c r="G137" s="4415"/>
      <c r="H137" s="4415"/>
      <c r="I137" s="4479"/>
      <c r="J137" s="4415"/>
      <c r="K137" s="4415"/>
      <c r="L137" s="4493"/>
    </row>
    <row r="138" spans="1:16" ht="30" customHeight="1" x14ac:dyDescent="0.2">
      <c r="A138" s="2876">
        <v>78</v>
      </c>
      <c r="B138" s="2874" t="s">
        <v>211</v>
      </c>
      <c r="C138" s="2847" t="s">
        <v>2644</v>
      </c>
      <c r="D138" s="2821">
        <v>45000000</v>
      </c>
      <c r="E138" s="2871">
        <v>4.2000000000000003E-2</v>
      </c>
      <c r="F138" s="2821">
        <v>1900000</v>
      </c>
      <c r="G138" s="2821">
        <v>1900000</v>
      </c>
      <c r="H138" s="2821" t="s">
        <v>4862</v>
      </c>
      <c r="I138" s="2881" t="s">
        <v>1259</v>
      </c>
      <c r="J138" s="2821">
        <f t="shared" ref="J138:J144" si="14">G138</f>
        <v>1900000</v>
      </c>
      <c r="K138" s="2821">
        <f t="shared" ref="K138:K144" si="15">F138-J138</f>
        <v>0</v>
      </c>
      <c r="L138" s="2874"/>
    </row>
    <row r="139" spans="1:16" ht="30" customHeight="1" x14ac:dyDescent="0.2">
      <c r="A139" s="2876">
        <v>79</v>
      </c>
      <c r="B139" s="2874" t="s">
        <v>212</v>
      </c>
      <c r="C139" s="2847" t="s">
        <v>889</v>
      </c>
      <c r="D139" s="2821">
        <v>15000000</v>
      </c>
      <c r="E139" s="2871">
        <v>4.4999999999999998E-2</v>
      </c>
      <c r="F139" s="2821">
        <f t="shared" si="11"/>
        <v>675000</v>
      </c>
      <c r="G139" s="2821">
        <v>675000</v>
      </c>
      <c r="H139" s="2821" t="s">
        <v>4848</v>
      </c>
      <c r="I139" s="21" t="s">
        <v>1766</v>
      </c>
      <c r="J139" s="2821">
        <f t="shared" si="14"/>
        <v>675000</v>
      </c>
      <c r="K139" s="2821">
        <f t="shared" si="15"/>
        <v>0</v>
      </c>
      <c r="L139" s="2874"/>
      <c r="M139" s="366"/>
      <c r="N139" s="366"/>
      <c r="O139" s="366"/>
      <c r="P139" s="366"/>
    </row>
    <row r="140" spans="1:16" ht="30" customHeight="1" x14ac:dyDescent="0.2">
      <c r="A140" s="2876">
        <v>80</v>
      </c>
      <c r="B140" s="2874" t="s">
        <v>182</v>
      </c>
      <c r="C140" s="2847" t="s">
        <v>1293</v>
      </c>
      <c r="D140" s="2821">
        <v>145000000</v>
      </c>
      <c r="E140" s="2871">
        <v>4.4999999999999998E-2</v>
      </c>
      <c r="F140" s="2821">
        <v>6775000</v>
      </c>
      <c r="G140" s="2821">
        <v>6775000</v>
      </c>
      <c r="H140" s="2821" t="s">
        <v>4862</v>
      </c>
      <c r="I140" s="2848" t="s">
        <v>3928</v>
      </c>
      <c r="J140" s="2821">
        <f t="shared" si="14"/>
        <v>6775000</v>
      </c>
      <c r="K140" s="2821">
        <f t="shared" si="15"/>
        <v>0</v>
      </c>
      <c r="L140" s="2874"/>
      <c r="M140" s="366"/>
      <c r="N140" s="366"/>
      <c r="O140" s="366"/>
      <c r="P140" s="366"/>
    </row>
    <row r="141" spans="1:16" ht="30" customHeight="1" x14ac:dyDescent="0.2">
      <c r="A141" s="2876">
        <v>81</v>
      </c>
      <c r="B141" s="2874" t="s">
        <v>213</v>
      </c>
      <c r="C141" s="2847"/>
      <c r="D141" s="2821">
        <v>5000000</v>
      </c>
      <c r="E141" s="2871">
        <v>0.04</v>
      </c>
      <c r="F141" s="2821">
        <f t="shared" si="11"/>
        <v>200000</v>
      </c>
      <c r="G141" s="2821">
        <v>200000</v>
      </c>
      <c r="H141" s="2821" t="s">
        <v>4877</v>
      </c>
      <c r="I141" s="21" t="s">
        <v>1363</v>
      </c>
      <c r="J141" s="2821">
        <f t="shared" si="14"/>
        <v>200000</v>
      </c>
      <c r="K141" s="2821">
        <f t="shared" si="15"/>
        <v>0</v>
      </c>
      <c r="L141" s="2874"/>
      <c r="M141" s="366"/>
      <c r="N141" s="366"/>
      <c r="O141" s="366"/>
      <c r="P141" s="366"/>
    </row>
    <row r="142" spans="1:16" ht="30" customHeight="1" x14ac:dyDescent="0.2">
      <c r="A142" s="2876">
        <v>82</v>
      </c>
      <c r="B142" s="2874" t="s">
        <v>214</v>
      </c>
      <c r="C142" s="2847" t="s">
        <v>2644</v>
      </c>
      <c r="D142" s="2821">
        <v>16000000</v>
      </c>
      <c r="E142" s="2871">
        <v>0.05</v>
      </c>
      <c r="F142" s="2821">
        <f t="shared" si="11"/>
        <v>800000</v>
      </c>
      <c r="G142" s="2821">
        <v>800000</v>
      </c>
      <c r="H142" s="2821" t="s">
        <v>4848</v>
      </c>
      <c r="I142" s="2881" t="s">
        <v>964</v>
      </c>
      <c r="J142" s="2821">
        <f t="shared" si="14"/>
        <v>800000</v>
      </c>
      <c r="K142" s="2821">
        <f t="shared" si="15"/>
        <v>0</v>
      </c>
      <c r="L142" s="2874"/>
      <c r="M142" s="366"/>
      <c r="N142" s="366"/>
      <c r="O142" s="366"/>
      <c r="P142" s="366"/>
    </row>
    <row r="143" spans="1:16" ht="30" customHeight="1" x14ac:dyDescent="0.2">
      <c r="A143" s="2876">
        <v>83</v>
      </c>
      <c r="B143" s="2874" t="s">
        <v>215</v>
      </c>
      <c r="C143" s="2847" t="s">
        <v>889</v>
      </c>
      <c r="D143" s="2821">
        <v>160000000</v>
      </c>
      <c r="E143" s="2871">
        <v>0.05</v>
      </c>
      <c r="F143" s="2821">
        <f>D143*E143</f>
        <v>8000000</v>
      </c>
      <c r="G143" s="2821">
        <v>8000000</v>
      </c>
      <c r="H143" s="2821" t="s">
        <v>4922</v>
      </c>
      <c r="I143" s="2848" t="s">
        <v>3983</v>
      </c>
      <c r="J143" s="2821">
        <f t="shared" si="14"/>
        <v>8000000</v>
      </c>
      <c r="K143" s="2821">
        <f t="shared" si="15"/>
        <v>0</v>
      </c>
      <c r="L143" s="2874"/>
      <c r="M143" s="366"/>
      <c r="N143" s="366"/>
      <c r="O143" s="366"/>
      <c r="P143" s="366"/>
    </row>
    <row r="144" spans="1:16" ht="30" customHeight="1" x14ac:dyDescent="0.2">
      <c r="A144" s="2876">
        <v>84</v>
      </c>
      <c r="B144" s="2874" t="s">
        <v>216</v>
      </c>
      <c r="C144" s="2847"/>
      <c r="D144" s="2821">
        <v>400000000</v>
      </c>
      <c r="E144" s="2871">
        <v>6.0999999999999999E-2</v>
      </c>
      <c r="F144" s="2821">
        <f t="shared" si="11"/>
        <v>24400000</v>
      </c>
      <c r="G144" s="2821">
        <v>24400000</v>
      </c>
      <c r="H144" s="2821" t="s">
        <v>4893</v>
      </c>
      <c r="I144" s="2881" t="s">
        <v>1553</v>
      </c>
      <c r="J144" s="2821">
        <f t="shared" si="14"/>
        <v>24400000</v>
      </c>
      <c r="K144" s="2821">
        <f t="shared" si="15"/>
        <v>0</v>
      </c>
      <c r="L144" s="2874"/>
      <c r="M144" s="366"/>
      <c r="N144" s="366"/>
      <c r="O144" s="366"/>
      <c r="P144" s="366"/>
    </row>
    <row r="145" spans="1:16" ht="30" customHeight="1" x14ac:dyDescent="0.2">
      <c r="A145" s="4459"/>
      <c r="B145" s="4457" t="s">
        <v>975</v>
      </c>
      <c r="C145" s="4537" t="s">
        <v>889</v>
      </c>
      <c r="D145" s="4413">
        <v>850000000</v>
      </c>
      <c r="E145" s="4476">
        <f>F145/D145</f>
        <v>6.1647058823529409E-2</v>
      </c>
      <c r="F145" s="4413">
        <v>52400000</v>
      </c>
      <c r="G145" s="2848">
        <v>25000000</v>
      </c>
      <c r="H145" s="2848" t="s">
        <v>4922</v>
      </c>
      <c r="I145" s="2848" t="s">
        <v>2540</v>
      </c>
      <c r="J145" s="4413">
        <f>G145+G146</f>
        <v>52400000</v>
      </c>
      <c r="K145" s="4413">
        <f>F145-J145</f>
        <v>0</v>
      </c>
      <c r="L145" s="2846"/>
      <c r="M145" s="366"/>
      <c r="N145" s="366"/>
      <c r="O145" s="366"/>
      <c r="P145" s="366"/>
    </row>
    <row r="146" spans="1:16" ht="30" customHeight="1" x14ac:dyDescent="0.2">
      <c r="A146" s="4460"/>
      <c r="B146" s="4458"/>
      <c r="C146" s="4538"/>
      <c r="D146" s="4415"/>
      <c r="E146" s="4477"/>
      <c r="F146" s="4415"/>
      <c r="G146" s="3016">
        <v>27400000</v>
      </c>
      <c r="H146" s="3016" t="s">
        <v>4938</v>
      </c>
      <c r="I146" s="3016" t="s">
        <v>2540</v>
      </c>
      <c r="J146" s="4415"/>
      <c r="K146" s="4415"/>
      <c r="L146" s="3017"/>
      <c r="M146" s="366"/>
      <c r="N146" s="366"/>
      <c r="O146" s="366"/>
      <c r="P146" s="366"/>
    </row>
    <row r="147" spans="1:16" ht="30" customHeight="1" x14ac:dyDescent="0.2">
      <c r="A147" s="4459">
        <v>86</v>
      </c>
      <c r="B147" s="4457" t="s">
        <v>217</v>
      </c>
      <c r="C147" s="4537" t="s">
        <v>889</v>
      </c>
      <c r="D147" s="2848">
        <v>111000000</v>
      </c>
      <c r="E147" s="2871">
        <v>0.05</v>
      </c>
      <c r="F147" s="2848">
        <f t="shared" ref="F147:F150" si="16">D147*E147</f>
        <v>5550000</v>
      </c>
      <c r="G147" s="2848">
        <v>550000</v>
      </c>
      <c r="H147" s="2848" t="s">
        <v>4877</v>
      </c>
      <c r="I147" s="2848" t="s">
        <v>3972</v>
      </c>
      <c r="J147" s="2848">
        <f>G147</f>
        <v>550000</v>
      </c>
      <c r="K147" s="2848">
        <f>F147-J147</f>
        <v>5000000</v>
      </c>
      <c r="L147" s="180"/>
      <c r="M147" s="366"/>
      <c r="N147" s="366"/>
      <c r="O147" s="366"/>
      <c r="P147" s="366"/>
    </row>
    <row r="148" spans="1:16" ht="30" customHeight="1" x14ac:dyDescent="0.2">
      <c r="A148" s="4464"/>
      <c r="B148" s="4488"/>
      <c r="C148" s="4540"/>
      <c r="D148" s="3175">
        <v>5000000</v>
      </c>
      <c r="E148" s="3176">
        <v>0.05</v>
      </c>
      <c r="F148" s="3175">
        <f t="shared" si="16"/>
        <v>250000</v>
      </c>
      <c r="G148" s="4469" t="s">
        <v>4884</v>
      </c>
      <c r="H148" s="4470"/>
      <c r="I148" s="4470"/>
      <c r="J148" s="4470"/>
      <c r="K148" s="4471"/>
      <c r="L148" s="3032"/>
      <c r="M148" s="366"/>
      <c r="N148" s="366"/>
      <c r="O148" s="366"/>
      <c r="P148" s="366"/>
    </row>
    <row r="149" spans="1:16" ht="30" customHeight="1" x14ac:dyDescent="0.2">
      <c r="A149" s="4464"/>
      <c r="B149" s="4488"/>
      <c r="C149" s="4540"/>
      <c r="D149" s="3175">
        <v>10000000</v>
      </c>
      <c r="E149" s="3176">
        <v>0.05</v>
      </c>
      <c r="F149" s="3175">
        <f t="shared" si="16"/>
        <v>500000</v>
      </c>
      <c r="G149" s="4469" t="s">
        <v>5091</v>
      </c>
      <c r="H149" s="4470"/>
      <c r="I149" s="4470"/>
      <c r="J149" s="4470"/>
      <c r="K149" s="4471"/>
      <c r="L149" s="3032"/>
      <c r="M149" s="366"/>
      <c r="N149" s="366"/>
      <c r="O149" s="366"/>
      <c r="P149" s="366"/>
    </row>
    <row r="150" spans="1:16" ht="30" customHeight="1" x14ac:dyDescent="0.2">
      <c r="A150" s="4460"/>
      <c r="B150" s="4458"/>
      <c r="C150" s="4538"/>
      <c r="D150" s="3185">
        <v>126000000</v>
      </c>
      <c r="E150" s="3186">
        <v>0.05</v>
      </c>
      <c r="F150" s="3185">
        <f t="shared" si="16"/>
        <v>6300000</v>
      </c>
      <c r="G150" s="3177"/>
      <c r="H150" s="3178"/>
      <c r="I150" s="3178"/>
      <c r="J150" s="3178"/>
      <c r="K150" s="3179"/>
      <c r="L150" s="3032"/>
      <c r="M150" s="366"/>
      <c r="N150" s="366"/>
      <c r="O150" s="366"/>
      <c r="P150" s="366"/>
    </row>
    <row r="151" spans="1:16" ht="30" customHeight="1" x14ac:dyDescent="0.2">
      <c r="A151" s="1029"/>
      <c r="B151" s="2917" t="s">
        <v>174</v>
      </c>
      <c r="C151" s="2919" t="s">
        <v>889</v>
      </c>
      <c r="D151" s="2905">
        <v>793000000</v>
      </c>
      <c r="E151" s="2906">
        <v>6.6000000000000003E-2</v>
      </c>
      <c r="F151" s="2905">
        <v>52300000</v>
      </c>
      <c r="G151" s="4303" t="s">
        <v>4885</v>
      </c>
      <c r="H151" s="4324"/>
      <c r="I151" s="4324"/>
      <c r="J151" s="4324"/>
      <c r="K151" s="4355"/>
      <c r="L151" s="2918" t="s">
        <v>4551</v>
      </c>
      <c r="M151" s="2931"/>
      <c r="N151" s="2931"/>
      <c r="O151" s="2931"/>
      <c r="P151" s="2301"/>
    </row>
    <row r="152" spans="1:16" ht="30" customHeight="1" x14ac:dyDescent="0.2">
      <c r="A152" s="2876">
        <v>88</v>
      </c>
      <c r="B152" s="2874" t="s">
        <v>218</v>
      </c>
      <c r="C152" s="2847" t="s">
        <v>1295</v>
      </c>
      <c r="D152" s="2821">
        <v>100000000</v>
      </c>
      <c r="E152" s="2871">
        <v>0.06</v>
      </c>
      <c r="F152" s="2821">
        <f>D152*E152</f>
        <v>6000000</v>
      </c>
      <c r="G152" s="2821">
        <v>6000000</v>
      </c>
      <c r="H152" s="2821" t="s">
        <v>4862</v>
      </c>
      <c r="I152" s="18" t="s">
        <v>4868</v>
      </c>
      <c r="J152" s="2821">
        <f>G152</f>
        <v>6000000</v>
      </c>
      <c r="K152" s="2821">
        <f>F152-J152</f>
        <v>0</v>
      </c>
      <c r="L152" s="2874"/>
      <c r="M152" s="366"/>
      <c r="N152" s="366"/>
      <c r="O152" s="366"/>
      <c r="P152" s="366"/>
    </row>
    <row r="153" spans="1:16" ht="30" customHeight="1" x14ac:dyDescent="0.2">
      <c r="A153" s="4459">
        <v>89</v>
      </c>
      <c r="B153" s="4457" t="s">
        <v>219</v>
      </c>
      <c r="C153" s="4537" t="s">
        <v>1293</v>
      </c>
      <c r="D153" s="1856">
        <v>93000000</v>
      </c>
      <c r="E153" s="897">
        <v>7.0000000000000007E-2</v>
      </c>
      <c r="F153" s="1856">
        <v>6500000</v>
      </c>
      <c r="G153" s="4742">
        <v>35781000</v>
      </c>
      <c r="H153" s="4742" t="s">
        <v>4862</v>
      </c>
      <c r="I153" s="4742" t="s">
        <v>2666</v>
      </c>
      <c r="J153" s="4742">
        <f>G153</f>
        <v>35781000</v>
      </c>
      <c r="K153" s="4413">
        <f>(30200000+F155)-J153</f>
        <v>419000</v>
      </c>
      <c r="L153" s="29" t="s">
        <v>3319</v>
      </c>
      <c r="M153" s="366"/>
      <c r="N153" s="366"/>
      <c r="O153" s="366"/>
      <c r="P153" s="366"/>
    </row>
    <row r="154" spans="1:16" ht="30" customHeight="1" x14ac:dyDescent="0.2">
      <c r="A154" s="4464"/>
      <c r="B154" s="4488"/>
      <c r="C154" s="4540"/>
      <c r="D154" s="1856">
        <v>450000000</v>
      </c>
      <c r="E154" s="897">
        <v>0.05</v>
      </c>
      <c r="F154" s="2891">
        <f>D154*E154</f>
        <v>22500000</v>
      </c>
      <c r="G154" s="5057"/>
      <c r="H154" s="5057"/>
      <c r="I154" s="5057"/>
      <c r="J154" s="5057"/>
      <c r="K154" s="4414"/>
      <c r="L154" s="29" t="s">
        <v>4653</v>
      </c>
      <c r="M154" s="366"/>
      <c r="N154" s="366"/>
      <c r="O154" s="366"/>
      <c r="P154" s="366"/>
    </row>
    <row r="155" spans="1:16" ht="30" customHeight="1" x14ac:dyDescent="0.2">
      <c r="A155" s="4460"/>
      <c r="B155" s="4458"/>
      <c r="C155" s="4538"/>
      <c r="D155" s="2891">
        <v>100000000</v>
      </c>
      <c r="E155" s="897">
        <v>0.06</v>
      </c>
      <c r="F155" s="2891">
        <f>D155*E155</f>
        <v>6000000</v>
      </c>
      <c r="G155" s="4743"/>
      <c r="H155" s="4743"/>
      <c r="I155" s="4743"/>
      <c r="J155" s="4743"/>
      <c r="K155" s="4415"/>
      <c r="L155" s="29" t="s">
        <v>4946</v>
      </c>
      <c r="M155" s="366"/>
      <c r="N155" s="366"/>
      <c r="O155" s="366"/>
      <c r="P155" s="366"/>
    </row>
    <row r="156" spans="1:16" ht="30" customHeight="1" x14ac:dyDescent="0.2">
      <c r="A156" s="4459">
        <v>90</v>
      </c>
      <c r="B156" s="4457" t="s">
        <v>220</v>
      </c>
      <c r="C156" s="4537" t="s">
        <v>1172</v>
      </c>
      <c r="D156" s="2821">
        <v>130000000</v>
      </c>
      <c r="E156" s="2871">
        <v>7.0000000000000007E-2</v>
      </c>
      <c r="F156" s="2821">
        <f>D156*E156</f>
        <v>9100000</v>
      </c>
      <c r="G156" s="4413">
        <v>14460000</v>
      </c>
      <c r="H156" s="4413" t="s">
        <v>4938</v>
      </c>
      <c r="I156" s="4478" t="s">
        <v>1808</v>
      </c>
      <c r="J156" s="4413">
        <f>G156</f>
        <v>14460000</v>
      </c>
      <c r="K156" s="4413">
        <f>(F156+F157)-J156</f>
        <v>0</v>
      </c>
      <c r="L156" s="4599"/>
      <c r="M156" s="366"/>
      <c r="N156" s="366"/>
      <c r="O156" s="366"/>
      <c r="P156" s="366"/>
    </row>
    <row r="157" spans="1:16" ht="30" customHeight="1" x14ac:dyDescent="0.2">
      <c r="A157" s="4460"/>
      <c r="B157" s="4458"/>
      <c r="C157" s="4538"/>
      <c r="D157" s="2821">
        <v>100000000</v>
      </c>
      <c r="E157" s="2871">
        <v>5.3999999999999999E-2</v>
      </c>
      <c r="F157" s="2821">
        <v>5360000</v>
      </c>
      <c r="G157" s="4415"/>
      <c r="H157" s="4415"/>
      <c r="I157" s="4479"/>
      <c r="J157" s="4415"/>
      <c r="K157" s="4415"/>
      <c r="L157" s="4607"/>
      <c r="M157" s="366"/>
      <c r="N157" s="366"/>
      <c r="O157" s="366"/>
      <c r="P157" s="366"/>
    </row>
    <row r="158" spans="1:16" ht="30" customHeight="1" x14ac:dyDescent="0.2">
      <c r="A158" s="4459">
        <v>91</v>
      </c>
      <c r="B158" s="4457" t="s">
        <v>4468</v>
      </c>
      <c r="C158" s="4537"/>
      <c r="D158" s="2821">
        <v>50000000</v>
      </c>
      <c r="E158" s="2871">
        <v>0.05</v>
      </c>
      <c r="F158" s="2821">
        <f t="shared" si="11"/>
        <v>2500000</v>
      </c>
      <c r="G158" s="4413">
        <v>14000000</v>
      </c>
      <c r="H158" s="4413" t="s">
        <v>4893</v>
      </c>
      <c r="I158" s="4553" t="s">
        <v>4466</v>
      </c>
      <c r="J158" s="4413">
        <f>G158</f>
        <v>14000000</v>
      </c>
      <c r="K158" s="4413">
        <f>(F158+F159+F160)-J158</f>
        <v>0</v>
      </c>
      <c r="L158" s="638"/>
      <c r="M158" s="366"/>
      <c r="N158" s="366"/>
      <c r="O158" s="366"/>
      <c r="P158" s="366"/>
    </row>
    <row r="159" spans="1:16" ht="30" customHeight="1" x14ac:dyDescent="0.2">
      <c r="A159" s="4464"/>
      <c r="B159" s="4488"/>
      <c r="C159" s="4540"/>
      <c r="D159" s="2821">
        <v>30000000</v>
      </c>
      <c r="E159" s="2871">
        <v>0.05</v>
      </c>
      <c r="F159" s="2821">
        <f>D159*E159</f>
        <v>1500000</v>
      </c>
      <c r="G159" s="4414"/>
      <c r="H159" s="4414"/>
      <c r="I159" s="4950"/>
      <c r="J159" s="4414"/>
      <c r="K159" s="4414"/>
      <c r="L159" s="180"/>
      <c r="M159" s="366"/>
      <c r="N159" s="366"/>
      <c r="O159" s="366"/>
      <c r="P159" s="366"/>
    </row>
    <row r="160" spans="1:16" ht="30" customHeight="1" x14ac:dyDescent="0.2">
      <c r="A160" s="4460"/>
      <c r="B160" s="4458"/>
      <c r="C160" s="4538"/>
      <c r="D160" s="2821">
        <v>200000000</v>
      </c>
      <c r="E160" s="2871">
        <v>0.05</v>
      </c>
      <c r="F160" s="2821">
        <f>D160*E160</f>
        <v>10000000</v>
      </c>
      <c r="G160" s="4415"/>
      <c r="H160" s="4415"/>
      <c r="I160" s="4554"/>
      <c r="J160" s="4415"/>
      <c r="K160" s="4415"/>
      <c r="L160" s="180"/>
      <c r="M160" s="366"/>
      <c r="N160" s="366"/>
      <c r="O160" s="366"/>
      <c r="P160" s="366"/>
    </row>
    <row r="161" spans="1:16" ht="30" customHeight="1" x14ac:dyDescent="0.2">
      <c r="A161" s="4614">
        <v>92</v>
      </c>
      <c r="B161" s="4457" t="s">
        <v>749</v>
      </c>
      <c r="C161" s="2873" t="s">
        <v>889</v>
      </c>
      <c r="D161" s="2848">
        <v>320000000</v>
      </c>
      <c r="E161" s="2916">
        <v>5.2999999999999999E-2</v>
      </c>
      <c r="F161" s="2848">
        <v>17000000</v>
      </c>
      <c r="G161" s="2848">
        <v>17000000</v>
      </c>
      <c r="H161" s="2848" t="s">
        <v>4862</v>
      </c>
      <c r="I161" s="2868" t="s">
        <v>3009</v>
      </c>
      <c r="J161" s="2848">
        <f>G161</f>
        <v>17000000</v>
      </c>
      <c r="K161" s="2848">
        <f>F161-J161</f>
        <v>0</v>
      </c>
      <c r="L161" s="2869"/>
      <c r="M161" s="366"/>
      <c r="N161" s="366"/>
      <c r="O161" s="366"/>
      <c r="P161" s="366"/>
    </row>
    <row r="162" spans="1:16" ht="30" customHeight="1" x14ac:dyDescent="0.2">
      <c r="A162" s="4614"/>
      <c r="B162" s="4488"/>
      <c r="C162" s="4537" t="s">
        <v>1287</v>
      </c>
      <c r="D162" s="2821">
        <v>273000000</v>
      </c>
      <c r="E162" s="2823">
        <f>F162/D162</f>
        <v>5.4615384615384614E-2</v>
      </c>
      <c r="F162" s="2821">
        <v>14910000</v>
      </c>
      <c r="G162" s="4413">
        <v>19910000</v>
      </c>
      <c r="H162" s="4413" t="s">
        <v>5018</v>
      </c>
      <c r="I162" s="4413" t="s">
        <v>3009</v>
      </c>
      <c r="J162" s="4413">
        <f>G162</f>
        <v>19910000</v>
      </c>
      <c r="K162" s="4413">
        <f>(F162+F163)-J162</f>
        <v>0</v>
      </c>
      <c r="L162" s="180"/>
      <c r="M162" s="366"/>
      <c r="N162" s="366"/>
      <c r="O162" s="366"/>
      <c r="P162" s="366"/>
    </row>
    <row r="163" spans="1:16" ht="30" customHeight="1" x14ac:dyDescent="0.2">
      <c r="A163" s="4614"/>
      <c r="B163" s="4488"/>
      <c r="C163" s="4540"/>
      <c r="D163" s="2875">
        <v>100000000</v>
      </c>
      <c r="E163" s="2822">
        <v>0.05</v>
      </c>
      <c r="F163" s="2820">
        <f>D163*E163</f>
        <v>5000000</v>
      </c>
      <c r="G163" s="4415"/>
      <c r="H163" s="4414"/>
      <c r="I163" s="4414"/>
      <c r="J163" s="4415"/>
      <c r="K163" s="4415"/>
      <c r="L163" s="180"/>
      <c r="M163" s="366"/>
      <c r="N163" s="366"/>
      <c r="O163" s="366"/>
      <c r="P163" s="366"/>
    </row>
    <row r="164" spans="1:16" ht="30" customHeight="1" x14ac:dyDescent="0.2">
      <c r="A164" s="4459"/>
      <c r="B164" s="4457" t="s">
        <v>222</v>
      </c>
      <c r="C164" s="4537" t="s">
        <v>889</v>
      </c>
      <c r="D164" s="2848">
        <v>25000000</v>
      </c>
      <c r="E164" s="2968">
        <v>5.5E-2</v>
      </c>
      <c r="F164" s="2848">
        <f>D164*E164</f>
        <v>1375000</v>
      </c>
      <c r="G164" s="4527" t="s">
        <v>4955</v>
      </c>
      <c r="H164" s="4528"/>
      <c r="I164" s="4528"/>
      <c r="J164" s="4529"/>
      <c r="K164" s="2848"/>
      <c r="L164" s="2015" t="s">
        <v>3916</v>
      </c>
      <c r="M164" s="366"/>
      <c r="N164" s="366"/>
      <c r="O164" s="366"/>
      <c r="P164" s="366"/>
    </row>
    <row r="165" spans="1:16" ht="30" customHeight="1" x14ac:dyDescent="0.2">
      <c r="A165" s="4464"/>
      <c r="B165" s="4488"/>
      <c r="C165" s="4540"/>
      <c r="D165" s="3047">
        <v>15000000</v>
      </c>
      <c r="E165" s="3048">
        <v>5.5E-2</v>
      </c>
      <c r="F165" s="3047">
        <f>D165*E165</f>
        <v>825000</v>
      </c>
      <c r="G165" s="4527" t="s">
        <v>4956</v>
      </c>
      <c r="H165" s="4528"/>
      <c r="I165" s="4528"/>
      <c r="J165" s="4529"/>
      <c r="K165" s="3047"/>
      <c r="L165" s="2015"/>
      <c r="M165" s="366"/>
      <c r="N165" s="366"/>
      <c r="O165" s="366"/>
      <c r="P165" s="366"/>
    </row>
    <row r="166" spans="1:16" ht="30" customHeight="1" x14ac:dyDescent="0.2">
      <c r="A166" s="4460"/>
      <c r="B166" s="4458"/>
      <c r="C166" s="4538"/>
      <c r="D166" s="3047">
        <v>40000000</v>
      </c>
      <c r="E166" s="3048">
        <v>5.5E-2</v>
      </c>
      <c r="F166" s="3047">
        <f>D166*E166</f>
        <v>2200000</v>
      </c>
      <c r="G166" s="4527" t="s">
        <v>4957</v>
      </c>
      <c r="H166" s="4528"/>
      <c r="I166" s="4528"/>
      <c r="J166" s="4529"/>
      <c r="K166" s="3047"/>
      <c r="L166" s="2015"/>
      <c r="M166" s="366"/>
      <c r="N166" s="366"/>
      <c r="O166" s="366"/>
      <c r="P166" s="366"/>
    </row>
    <row r="167" spans="1:16" ht="30" customHeight="1" x14ac:dyDescent="0.2">
      <c r="A167" s="2876">
        <v>94</v>
      </c>
      <c r="B167" s="2874" t="s">
        <v>1144</v>
      </c>
      <c r="C167" s="2847"/>
      <c r="D167" s="2821">
        <v>25000000</v>
      </c>
      <c r="E167" s="2871">
        <v>0.04</v>
      </c>
      <c r="F167" s="2821">
        <f>D167*E167</f>
        <v>1000000</v>
      </c>
      <c r="G167" s="2821">
        <v>1000000</v>
      </c>
      <c r="H167" s="2821" t="s">
        <v>4893</v>
      </c>
      <c r="I167" s="21" t="s">
        <v>1146</v>
      </c>
      <c r="J167" s="2821">
        <f>G167</f>
        <v>1000000</v>
      </c>
      <c r="K167" s="2821">
        <f t="shared" ref="K167:K172" si="17">F167-J167</f>
        <v>0</v>
      </c>
      <c r="L167" s="2874"/>
      <c r="M167" s="366"/>
      <c r="N167" s="366"/>
      <c r="O167" s="366"/>
      <c r="P167" s="366"/>
    </row>
    <row r="168" spans="1:16" ht="30" customHeight="1" x14ac:dyDescent="0.2">
      <c r="A168" s="2826"/>
      <c r="B168" s="19" t="s">
        <v>223</v>
      </c>
      <c r="C168" s="2873"/>
      <c r="D168" s="2848">
        <v>355000000</v>
      </c>
      <c r="E168" s="2871">
        <v>0.05</v>
      </c>
      <c r="F168" s="2848">
        <v>17800000</v>
      </c>
      <c r="G168" s="2848">
        <v>17800000</v>
      </c>
      <c r="H168" s="2848" t="s">
        <v>4893</v>
      </c>
      <c r="I168" s="2868" t="s">
        <v>3431</v>
      </c>
      <c r="J168" s="2848">
        <f>G168</f>
        <v>17800000</v>
      </c>
      <c r="K168" s="2848">
        <f t="shared" si="17"/>
        <v>0</v>
      </c>
      <c r="L168" s="378"/>
      <c r="M168" s="366"/>
      <c r="N168" s="366"/>
      <c r="O168" s="366"/>
      <c r="P168" s="366"/>
    </row>
    <row r="169" spans="1:16" ht="30" customHeight="1" x14ac:dyDescent="0.2">
      <c r="A169" s="2876">
        <v>96</v>
      </c>
      <c r="B169" s="2874" t="s">
        <v>224</v>
      </c>
      <c r="C169" s="2847"/>
      <c r="D169" s="2821">
        <v>70000000</v>
      </c>
      <c r="E169" s="2871">
        <v>0.05</v>
      </c>
      <c r="F169" s="2821">
        <f>D169*E169</f>
        <v>3500000</v>
      </c>
      <c r="G169" s="2821"/>
      <c r="H169" s="2821"/>
      <c r="I169" s="2848" t="s">
        <v>1440</v>
      </c>
      <c r="J169" s="2821">
        <f>F169</f>
        <v>3500000</v>
      </c>
      <c r="K169" s="2821">
        <f t="shared" si="17"/>
        <v>0</v>
      </c>
      <c r="L169" s="2874"/>
      <c r="M169" s="366"/>
      <c r="N169" s="366"/>
      <c r="O169" s="366"/>
      <c r="P169" s="366"/>
    </row>
    <row r="170" spans="1:16" ht="30" customHeight="1" x14ac:dyDescent="0.2">
      <c r="A170" s="2876">
        <v>98</v>
      </c>
      <c r="B170" s="2874" t="s">
        <v>226</v>
      </c>
      <c r="C170" s="2847"/>
      <c r="D170" s="2821">
        <v>20000000</v>
      </c>
      <c r="E170" s="2871">
        <v>0.05</v>
      </c>
      <c r="F170" s="2821">
        <f t="shared" ref="F170" si="18">D170*E170</f>
        <v>1000000</v>
      </c>
      <c r="G170" s="2821"/>
      <c r="H170" s="2821"/>
      <c r="I170" s="2848" t="s">
        <v>789</v>
      </c>
      <c r="J170" s="2821">
        <f>G170</f>
        <v>0</v>
      </c>
      <c r="K170" s="2821">
        <f t="shared" si="17"/>
        <v>1000000</v>
      </c>
      <c r="L170" s="2874"/>
      <c r="M170" s="366"/>
      <c r="N170" s="366"/>
      <c r="O170" s="366"/>
      <c r="P170" s="366"/>
    </row>
    <row r="171" spans="1:16" ht="30" customHeight="1" x14ac:dyDescent="0.2">
      <c r="A171" s="2876">
        <v>99</v>
      </c>
      <c r="B171" s="2874" t="s">
        <v>227</v>
      </c>
      <c r="C171" s="2847" t="s">
        <v>1297</v>
      </c>
      <c r="D171" s="2821">
        <v>100000000</v>
      </c>
      <c r="E171" s="2871">
        <v>0.04</v>
      </c>
      <c r="F171" s="2821">
        <f>D171*E171</f>
        <v>4000000</v>
      </c>
      <c r="G171" s="2821">
        <v>4000000</v>
      </c>
      <c r="H171" s="2821" t="s">
        <v>4848</v>
      </c>
      <c r="I171" s="2881" t="s">
        <v>4849</v>
      </c>
      <c r="J171" s="2821">
        <f>G171</f>
        <v>4000000</v>
      </c>
      <c r="K171" s="2821">
        <f t="shared" si="17"/>
        <v>0</v>
      </c>
      <c r="L171" s="2874"/>
      <c r="M171" s="366"/>
      <c r="N171" s="366"/>
      <c r="O171" s="366"/>
      <c r="P171" s="366"/>
    </row>
    <row r="172" spans="1:16" ht="30" customHeight="1" x14ac:dyDescent="0.2">
      <c r="A172" s="2876">
        <v>100</v>
      </c>
      <c r="B172" s="2874" t="s">
        <v>228</v>
      </c>
      <c r="C172" s="2847" t="s">
        <v>392</v>
      </c>
      <c r="D172" s="2821">
        <v>101000000</v>
      </c>
      <c r="E172" s="2871">
        <v>5.0999999999999997E-2</v>
      </c>
      <c r="F172" s="2821">
        <v>5100000</v>
      </c>
      <c r="G172" s="2821">
        <v>5100000</v>
      </c>
      <c r="H172" s="2821" t="s">
        <v>5018</v>
      </c>
      <c r="I172" s="21" t="s">
        <v>2860</v>
      </c>
      <c r="J172" s="2821">
        <f>G172</f>
        <v>5100000</v>
      </c>
      <c r="K172" s="2821">
        <f t="shared" si="17"/>
        <v>0</v>
      </c>
      <c r="L172" s="2874"/>
      <c r="M172" s="366"/>
      <c r="N172" s="366"/>
      <c r="O172" s="366"/>
      <c r="P172" s="366"/>
    </row>
    <row r="173" spans="1:16" ht="30" customHeight="1" x14ac:dyDescent="0.2">
      <c r="A173" s="4533"/>
      <c r="B173" s="4457" t="s">
        <v>177</v>
      </c>
      <c r="C173" s="4537" t="s">
        <v>1080</v>
      </c>
      <c r="D173" s="4413">
        <v>100000000</v>
      </c>
      <c r="E173" s="4476">
        <v>0.06</v>
      </c>
      <c r="F173" s="4413">
        <f>D173*E173</f>
        <v>6000000</v>
      </c>
      <c r="G173" s="4413">
        <v>6000000</v>
      </c>
      <c r="H173" s="4413" t="s">
        <v>4841</v>
      </c>
      <c r="I173" s="4413" t="s">
        <v>3345</v>
      </c>
      <c r="J173" s="4413">
        <f>G173</f>
        <v>6000000</v>
      </c>
      <c r="K173" s="4413">
        <f>F173-J173</f>
        <v>0</v>
      </c>
      <c r="L173" s="2866" t="s">
        <v>3303</v>
      </c>
      <c r="M173" s="366"/>
      <c r="N173" s="366"/>
      <c r="O173" s="366"/>
      <c r="P173" s="366"/>
    </row>
    <row r="174" spans="1:16" ht="30" customHeight="1" x14ac:dyDescent="0.2">
      <c r="A174" s="4534"/>
      <c r="B174" s="4458"/>
      <c r="C174" s="4538"/>
      <c r="D174" s="4415"/>
      <c r="E174" s="4477"/>
      <c r="F174" s="4415"/>
      <c r="G174" s="4415"/>
      <c r="H174" s="4415"/>
      <c r="I174" s="4415"/>
      <c r="J174" s="4415"/>
      <c r="K174" s="4415"/>
      <c r="L174" s="2866" t="s">
        <v>3917</v>
      </c>
      <c r="M174" s="366"/>
      <c r="N174" s="366"/>
      <c r="O174" s="366"/>
      <c r="P174" s="366"/>
    </row>
    <row r="175" spans="1:16" s="1540" customFormat="1" ht="30" customHeight="1" x14ac:dyDescent="0.2">
      <c r="A175" s="4474"/>
      <c r="B175" s="4457" t="s">
        <v>230</v>
      </c>
      <c r="C175" s="4537" t="s">
        <v>1172</v>
      </c>
      <c r="D175" s="2848">
        <v>37000000</v>
      </c>
      <c r="E175" s="2871">
        <v>5.5E-2</v>
      </c>
      <c r="F175" s="2848">
        <v>2000000</v>
      </c>
      <c r="G175" s="2848">
        <v>2000000</v>
      </c>
      <c r="H175" s="2848" t="s">
        <v>4893</v>
      </c>
      <c r="I175" s="2848" t="s">
        <v>4264</v>
      </c>
      <c r="J175" s="2848">
        <f>G175</f>
        <v>2000000</v>
      </c>
      <c r="K175" s="2848">
        <f>F175-J175</f>
        <v>0</v>
      </c>
      <c r="L175" s="2015"/>
      <c r="M175" s="9"/>
      <c r="N175" s="9"/>
      <c r="O175" s="9"/>
      <c r="P175" s="9"/>
    </row>
    <row r="176" spans="1:16" s="184" customFormat="1" ht="30" customHeight="1" x14ac:dyDescent="0.2">
      <c r="A176" s="4475"/>
      <c r="B176" s="4458"/>
      <c r="C176" s="4538"/>
      <c r="D176" s="4303" t="s">
        <v>4262</v>
      </c>
      <c r="E176" s="4324"/>
      <c r="F176" s="4355"/>
      <c r="G176" s="3105">
        <v>3750000</v>
      </c>
      <c r="H176" s="3105" t="s">
        <v>4938</v>
      </c>
      <c r="I176" s="3114" t="s">
        <v>1551</v>
      </c>
      <c r="J176" s="3105">
        <f>G176</f>
        <v>3750000</v>
      </c>
      <c r="K176" s="3105"/>
      <c r="L176" s="3122"/>
      <c r="M176" s="1660"/>
      <c r="N176" s="1660"/>
      <c r="O176" s="1660"/>
      <c r="P176" s="1660"/>
    </row>
    <row r="177" spans="1:16" ht="30" customHeight="1" x14ac:dyDescent="0.2">
      <c r="A177" s="2826">
        <v>104</v>
      </c>
      <c r="B177" s="2829" t="s">
        <v>231</v>
      </c>
      <c r="C177" s="2847" t="s">
        <v>1172</v>
      </c>
      <c r="D177" s="2821">
        <v>20000000</v>
      </c>
      <c r="E177" s="2823">
        <v>0.05</v>
      </c>
      <c r="F177" s="2821">
        <f t="shared" si="11"/>
        <v>1000000</v>
      </c>
      <c r="G177" s="2821">
        <v>1000000</v>
      </c>
      <c r="H177" s="2821" t="s">
        <v>4938</v>
      </c>
      <c r="I177" s="21" t="s">
        <v>3437</v>
      </c>
      <c r="J177" s="2821">
        <f>G177</f>
        <v>1000000</v>
      </c>
      <c r="K177" s="2821">
        <f>F177-J177</f>
        <v>0</v>
      </c>
      <c r="L177" s="2829"/>
      <c r="M177" s="366"/>
      <c r="N177" s="366"/>
      <c r="O177" s="366"/>
      <c r="P177" s="366"/>
    </row>
    <row r="178" spans="1:16" ht="30" customHeight="1" x14ac:dyDescent="0.2">
      <c r="A178" s="2961"/>
      <c r="B178" s="2962" t="s">
        <v>4842</v>
      </c>
      <c r="C178" s="2964"/>
      <c r="D178" s="2959">
        <v>10000000</v>
      </c>
      <c r="E178" s="2960">
        <v>0.05</v>
      </c>
      <c r="F178" s="2959">
        <f>D178*E178</f>
        <v>500000</v>
      </c>
      <c r="G178" s="2959">
        <v>500000</v>
      </c>
      <c r="H178" s="2959" t="s">
        <v>4841</v>
      </c>
      <c r="I178" s="2966" t="s">
        <v>4843</v>
      </c>
      <c r="J178" s="2959"/>
      <c r="K178" s="2959"/>
      <c r="L178" s="2962"/>
      <c r="M178" s="366"/>
      <c r="N178" s="366"/>
      <c r="O178" s="366"/>
      <c r="P178" s="366"/>
    </row>
    <row r="179" spans="1:16" ht="30" customHeight="1" x14ac:dyDescent="0.2">
      <c r="A179" s="2903">
        <v>105</v>
      </c>
      <c r="B179" s="19" t="s">
        <v>232</v>
      </c>
      <c r="C179" s="2919"/>
      <c r="D179" s="2902"/>
      <c r="E179" s="2521"/>
      <c r="F179" s="2902">
        <f t="shared" ref="F179:F212" si="19">D179*E179</f>
        <v>0</v>
      </c>
      <c r="G179" s="2914">
        <v>1900000</v>
      </c>
      <c r="H179" s="2914" t="s">
        <v>4877</v>
      </c>
      <c r="I179" s="2922" t="s">
        <v>3548</v>
      </c>
      <c r="J179" s="2914">
        <f>G179</f>
        <v>1900000</v>
      </c>
      <c r="K179" s="2902">
        <f>F179-J179</f>
        <v>-1900000</v>
      </c>
      <c r="L179" s="2910" t="s">
        <v>3549</v>
      </c>
    </row>
    <row r="180" spans="1:16" ht="30" customHeight="1" x14ac:dyDescent="0.2">
      <c r="A180" s="4459">
        <v>108</v>
      </c>
      <c r="B180" s="4457" t="s">
        <v>235</v>
      </c>
      <c r="C180" s="4537" t="s">
        <v>1172</v>
      </c>
      <c r="D180" s="2848">
        <v>1430000000</v>
      </c>
      <c r="E180" s="2871">
        <v>5.5E-2</v>
      </c>
      <c r="F180" s="2848">
        <f t="shared" si="19"/>
        <v>78650000</v>
      </c>
      <c r="G180" s="2922"/>
      <c r="H180" s="2922"/>
      <c r="I180" s="2922"/>
      <c r="J180" s="2922"/>
      <c r="K180" s="2848">
        <v>0</v>
      </c>
      <c r="L180" s="2873"/>
    </row>
    <row r="181" spans="1:16" ht="30" customHeight="1" x14ac:dyDescent="0.2">
      <c r="A181" s="4464"/>
      <c r="B181" s="4488"/>
      <c r="C181" s="4540"/>
      <c r="D181" s="2821">
        <v>150000000</v>
      </c>
      <c r="E181" s="2823">
        <v>5.5E-2</v>
      </c>
      <c r="F181" s="2821">
        <f>D181*E181</f>
        <v>8250000</v>
      </c>
      <c r="G181" s="2914"/>
      <c r="H181" s="2914"/>
      <c r="I181" s="2914"/>
      <c r="J181" s="2914"/>
      <c r="K181" s="2821"/>
      <c r="L181" s="2835" t="s">
        <v>4649</v>
      </c>
    </row>
    <row r="182" spans="1:16" ht="30" customHeight="1" x14ac:dyDescent="0.2">
      <c r="A182" s="4464"/>
      <c r="B182" s="4488"/>
      <c r="C182" s="4540"/>
      <c r="D182" s="3115">
        <v>30000000</v>
      </c>
      <c r="E182" s="3117">
        <v>5.5E-2</v>
      </c>
      <c r="F182" s="3115">
        <f>D182*E182</f>
        <v>1650000</v>
      </c>
      <c r="G182" s="3115"/>
      <c r="H182" s="3115"/>
      <c r="I182" s="3115"/>
      <c r="J182" s="3115"/>
      <c r="K182" s="3105"/>
      <c r="L182" s="3192" t="s">
        <v>5043</v>
      </c>
    </row>
    <row r="183" spans="1:16" ht="30" customHeight="1" x14ac:dyDescent="0.2">
      <c r="A183" s="4464"/>
      <c r="B183" s="4488"/>
      <c r="C183" s="4540"/>
      <c r="D183" s="2655">
        <f>SUM(D180:D182)</f>
        <v>1610000000</v>
      </c>
      <c r="E183" s="2654">
        <v>5.5E-2</v>
      </c>
      <c r="F183" s="2655">
        <f>D183*E183</f>
        <v>88550000</v>
      </c>
      <c r="G183" s="2914"/>
      <c r="H183" s="2914"/>
      <c r="I183" s="2914"/>
      <c r="J183" s="2914"/>
      <c r="K183" s="2821"/>
      <c r="L183" s="3108" t="s">
        <v>5136</v>
      </c>
    </row>
    <row r="184" spans="1:16" ht="30" customHeight="1" x14ac:dyDescent="0.2">
      <c r="A184" s="4464"/>
      <c r="B184" s="4488"/>
      <c r="C184" s="4540"/>
      <c r="D184" s="5082" t="s">
        <v>5196</v>
      </c>
      <c r="E184" s="5082"/>
      <c r="F184" s="5082"/>
      <c r="G184" s="3290"/>
      <c r="H184" s="3290"/>
      <c r="I184" s="3294"/>
      <c r="J184" s="3290"/>
      <c r="K184" s="3290"/>
      <c r="L184" s="3287"/>
    </row>
    <row r="185" spans="1:16" ht="30" customHeight="1" x14ac:dyDescent="0.2">
      <c r="A185" s="4460"/>
      <c r="B185" s="4458"/>
      <c r="C185" s="4538"/>
      <c r="D185" s="3307">
        <f>D183-200000000</f>
        <v>1410000000</v>
      </c>
      <c r="E185" s="2654">
        <v>5.5E-2</v>
      </c>
      <c r="F185" s="2655">
        <f>D185*E185</f>
        <v>77550000</v>
      </c>
      <c r="G185" s="3290"/>
      <c r="H185" s="3290"/>
      <c r="I185" s="3294"/>
      <c r="J185" s="3290"/>
      <c r="K185" s="3290"/>
      <c r="L185" s="3287"/>
    </row>
    <row r="186" spans="1:16" ht="30" customHeight="1" x14ac:dyDescent="0.2">
      <c r="A186" s="4459">
        <v>109</v>
      </c>
      <c r="B186" s="4457" t="s">
        <v>236</v>
      </c>
      <c r="C186" s="4537"/>
      <c r="D186" s="4322">
        <v>1000000000</v>
      </c>
      <c r="E186" s="4476">
        <v>0.05</v>
      </c>
      <c r="F186" s="4413">
        <f t="shared" si="19"/>
        <v>50000000</v>
      </c>
      <c r="G186" s="2821"/>
      <c r="H186" s="2821"/>
      <c r="I186" s="21" t="s">
        <v>4429</v>
      </c>
      <c r="J186" s="2821">
        <f t="shared" ref="J186:J192" si="20">G186</f>
        <v>0</v>
      </c>
      <c r="K186" s="2821">
        <f t="shared" ref="K186:K192" si="21">F186-J186</f>
        <v>50000000</v>
      </c>
      <c r="L186" s="2835"/>
    </row>
    <row r="187" spans="1:16" ht="30" customHeight="1" x14ac:dyDescent="0.2">
      <c r="A187" s="4460"/>
      <c r="B187" s="4458"/>
      <c r="C187" s="4538"/>
      <c r="D187" s="4322"/>
      <c r="E187" s="4477"/>
      <c r="F187" s="4415"/>
      <c r="G187" s="2821"/>
      <c r="H187" s="2821"/>
      <c r="I187" s="21" t="s">
        <v>4429</v>
      </c>
      <c r="J187" s="2821">
        <f>G187</f>
        <v>0</v>
      </c>
      <c r="K187" s="2821"/>
      <c r="L187" s="2835" t="s">
        <v>4819</v>
      </c>
    </row>
    <row r="188" spans="1:16" ht="30" customHeight="1" x14ac:dyDescent="0.2">
      <c r="A188" s="2876">
        <v>110</v>
      </c>
      <c r="B188" s="2869" t="s">
        <v>1842</v>
      </c>
      <c r="C188" s="2846" t="s">
        <v>1292</v>
      </c>
      <c r="D188" s="2831">
        <v>14000000</v>
      </c>
      <c r="E188" s="2822">
        <v>4.2999999999999997E-2</v>
      </c>
      <c r="F188" s="2821">
        <v>600000</v>
      </c>
      <c r="G188" s="2821">
        <v>600000</v>
      </c>
      <c r="H188" s="2821" t="s">
        <v>5017</v>
      </c>
      <c r="I188" s="21" t="s">
        <v>1852</v>
      </c>
      <c r="J188" s="2848">
        <f t="shared" si="20"/>
        <v>600000</v>
      </c>
      <c r="K188" s="2848">
        <f>F188-J188</f>
        <v>0</v>
      </c>
      <c r="L188" s="2835"/>
    </row>
    <row r="189" spans="1:16" ht="30" customHeight="1" x14ac:dyDescent="0.2">
      <c r="A189" s="2826"/>
      <c r="B189" s="19" t="s">
        <v>237</v>
      </c>
      <c r="C189" s="2873" t="s">
        <v>392</v>
      </c>
      <c r="D189" s="2848">
        <v>30000000</v>
      </c>
      <c r="E189" s="2871">
        <v>0.05</v>
      </c>
      <c r="F189" s="2821">
        <f>D189*E189</f>
        <v>1500000</v>
      </c>
      <c r="G189" s="2848">
        <v>1500000</v>
      </c>
      <c r="H189" s="2848" t="s">
        <v>4877</v>
      </c>
      <c r="I189" s="2848" t="s">
        <v>3927</v>
      </c>
      <c r="J189" s="2848">
        <f t="shared" si="20"/>
        <v>1500000</v>
      </c>
      <c r="K189" s="2821">
        <f t="shared" si="21"/>
        <v>0</v>
      </c>
      <c r="L189" s="2835"/>
    </row>
    <row r="190" spans="1:16" ht="30" customHeight="1" x14ac:dyDescent="0.2">
      <c r="A190" s="4459">
        <v>112</v>
      </c>
      <c r="B190" s="4457" t="s">
        <v>238</v>
      </c>
      <c r="C190" s="4537" t="s">
        <v>889</v>
      </c>
      <c r="D190" s="2821">
        <v>40000000</v>
      </c>
      <c r="E190" s="2871">
        <v>0.05</v>
      </c>
      <c r="F190" s="2821">
        <f t="shared" si="19"/>
        <v>2000000</v>
      </c>
      <c r="G190" s="5051" t="s">
        <v>4880</v>
      </c>
      <c r="H190" s="5052"/>
      <c r="I190" s="5052"/>
      <c r="J190" s="5053"/>
      <c r="K190" s="2821">
        <f t="shared" si="21"/>
        <v>2000000</v>
      </c>
      <c r="L190" s="2874"/>
    </row>
    <row r="191" spans="1:16" ht="30" customHeight="1" x14ac:dyDescent="0.2">
      <c r="A191" s="4460"/>
      <c r="B191" s="4458"/>
      <c r="C191" s="4538"/>
      <c r="D191" s="2982">
        <v>45000000</v>
      </c>
      <c r="E191" s="2995"/>
      <c r="F191" s="2982"/>
      <c r="G191" s="5051" t="s">
        <v>5910</v>
      </c>
      <c r="H191" s="5052"/>
      <c r="I191" s="5052"/>
      <c r="J191" s="5053"/>
      <c r="K191" s="2982"/>
      <c r="L191" s="2015" t="s">
        <v>4881</v>
      </c>
    </row>
    <row r="192" spans="1:16" ht="30" customHeight="1" x14ac:dyDescent="0.2">
      <c r="A192" s="2826"/>
      <c r="B192" s="2828" t="s">
        <v>239</v>
      </c>
      <c r="C192" s="2873" t="s">
        <v>402</v>
      </c>
      <c r="D192" s="2821">
        <v>250000000</v>
      </c>
      <c r="E192" s="2871">
        <v>0.05</v>
      </c>
      <c r="F192" s="2821">
        <f>D192*E192</f>
        <v>12500000</v>
      </c>
      <c r="G192" s="2848">
        <v>12500000</v>
      </c>
      <c r="H192" s="2848" t="s">
        <v>4893</v>
      </c>
      <c r="I192" s="2848" t="s">
        <v>3990</v>
      </c>
      <c r="J192" s="2848">
        <f t="shared" si="20"/>
        <v>12500000</v>
      </c>
      <c r="K192" s="2821">
        <f t="shared" si="21"/>
        <v>0</v>
      </c>
      <c r="L192" s="2835"/>
    </row>
    <row r="193" spans="1:12" ht="30" customHeight="1" x14ac:dyDescent="0.2">
      <c r="A193" s="2876">
        <v>114</v>
      </c>
      <c r="B193" s="2874" t="s">
        <v>240</v>
      </c>
      <c r="C193" s="2847"/>
      <c r="D193" s="2821">
        <v>100000000</v>
      </c>
      <c r="E193" s="2871">
        <v>4.4999999999999998E-2</v>
      </c>
      <c r="F193" s="2821">
        <f t="shared" si="19"/>
        <v>4500000</v>
      </c>
      <c r="G193" s="2821"/>
      <c r="H193" s="2821"/>
      <c r="I193" s="84"/>
      <c r="J193" s="2821">
        <f>G193</f>
        <v>0</v>
      </c>
      <c r="K193" s="2821">
        <f>F193-J193</f>
        <v>4500000</v>
      </c>
      <c r="L193" s="2874"/>
    </row>
    <row r="194" spans="1:12" ht="30" customHeight="1" x14ac:dyDescent="0.2">
      <c r="A194" s="5017">
        <v>115</v>
      </c>
      <c r="B194" s="4962" t="s">
        <v>241</v>
      </c>
      <c r="C194" s="4964" t="s">
        <v>1138</v>
      </c>
      <c r="D194" s="3359">
        <v>20000000</v>
      </c>
      <c r="E194" s="3365">
        <v>0.05</v>
      </c>
      <c r="F194" s="3359">
        <f t="shared" si="19"/>
        <v>1000000</v>
      </c>
      <c r="G194" s="3360">
        <v>1000000</v>
      </c>
      <c r="H194" s="3360" t="s">
        <v>4841</v>
      </c>
      <c r="I194" s="287" t="s">
        <v>1372</v>
      </c>
      <c r="J194" s="3360">
        <f>G194</f>
        <v>1000000</v>
      </c>
      <c r="K194" s="3360">
        <f>F194-J194</f>
        <v>0</v>
      </c>
      <c r="L194" s="2834"/>
    </row>
    <row r="195" spans="1:12" ht="30" customHeight="1" x14ac:dyDescent="0.2">
      <c r="A195" s="5029"/>
      <c r="B195" s="5028"/>
      <c r="C195" s="4999"/>
      <c r="D195" s="5000" t="s">
        <v>5225</v>
      </c>
      <c r="E195" s="5001"/>
      <c r="F195" s="5002"/>
      <c r="G195" s="3360">
        <v>1000000</v>
      </c>
      <c r="H195" s="4951" t="s">
        <v>5107</v>
      </c>
      <c r="I195" s="5030" t="s">
        <v>5226</v>
      </c>
      <c r="J195" s="4951">
        <f>G196+G195</f>
        <v>21000000</v>
      </c>
      <c r="K195" s="4951">
        <f>21000000-J195</f>
        <v>0</v>
      </c>
      <c r="L195" s="3354"/>
    </row>
    <row r="196" spans="1:12" ht="30" customHeight="1" x14ac:dyDescent="0.2">
      <c r="A196" s="5018"/>
      <c r="B196" s="4963"/>
      <c r="C196" s="4965"/>
      <c r="D196" s="5006"/>
      <c r="E196" s="5007"/>
      <c r="F196" s="5008"/>
      <c r="G196" s="3360">
        <v>20000000</v>
      </c>
      <c r="H196" s="4952"/>
      <c r="I196" s="5031"/>
      <c r="J196" s="4952"/>
      <c r="K196" s="4952"/>
      <c r="L196" s="3354"/>
    </row>
    <row r="197" spans="1:12" ht="30" customHeight="1" x14ac:dyDescent="0.2">
      <c r="A197" s="1029"/>
      <c r="B197" s="19" t="s">
        <v>243</v>
      </c>
      <c r="C197" s="2873" t="s">
        <v>889</v>
      </c>
      <c r="D197" s="2848">
        <v>445000000</v>
      </c>
      <c r="E197" s="2871">
        <v>4.4999999999999998E-2</v>
      </c>
      <c r="F197" s="2848">
        <v>20000000</v>
      </c>
      <c r="G197" s="2821">
        <v>20000000</v>
      </c>
      <c r="H197" s="2821" t="s">
        <v>4862</v>
      </c>
      <c r="I197" s="84" t="s">
        <v>2646</v>
      </c>
      <c r="J197" s="2821">
        <f>G197</f>
        <v>20000000</v>
      </c>
      <c r="K197" s="2821">
        <f>F197-J197</f>
        <v>0</v>
      </c>
      <c r="L197" s="2898"/>
    </row>
    <row r="198" spans="1:12" ht="30" customHeight="1" x14ac:dyDescent="0.2">
      <c r="A198" s="4459">
        <v>118</v>
      </c>
      <c r="B198" s="4457" t="s">
        <v>244</v>
      </c>
      <c r="C198" s="4537" t="s">
        <v>4225</v>
      </c>
      <c r="D198" s="4413">
        <v>33000000</v>
      </c>
      <c r="E198" s="4476">
        <v>0.05</v>
      </c>
      <c r="F198" s="4413">
        <f>D198*E198</f>
        <v>1650000</v>
      </c>
      <c r="G198" s="4413">
        <v>1650000</v>
      </c>
      <c r="H198" s="4413" t="s">
        <v>5085</v>
      </c>
      <c r="I198" s="5014" t="s">
        <v>611</v>
      </c>
      <c r="J198" s="4413">
        <f>G198</f>
        <v>1650000</v>
      </c>
      <c r="K198" s="4413">
        <f>F198-J198</f>
        <v>0</v>
      </c>
      <c r="L198" s="2898"/>
    </row>
    <row r="199" spans="1:12" ht="30" customHeight="1" x14ac:dyDescent="0.2">
      <c r="A199" s="4464"/>
      <c r="B199" s="4488"/>
      <c r="C199" s="4538"/>
      <c r="D199" s="4415"/>
      <c r="E199" s="4477"/>
      <c r="F199" s="4415"/>
      <c r="G199" s="4415"/>
      <c r="H199" s="4415"/>
      <c r="I199" s="5015"/>
      <c r="J199" s="4415"/>
      <c r="K199" s="4415"/>
      <c r="L199" s="2898"/>
    </row>
    <row r="200" spans="1:12" ht="30" customHeight="1" x14ac:dyDescent="0.2">
      <c r="A200" s="3102">
        <v>120</v>
      </c>
      <c r="B200" s="19" t="s">
        <v>246</v>
      </c>
      <c r="C200" s="3119" t="s">
        <v>371</v>
      </c>
      <c r="D200" s="3115">
        <v>617000000</v>
      </c>
      <c r="E200" s="3117">
        <v>7.0000000000000007E-2</v>
      </c>
      <c r="F200" s="3115">
        <v>43200000</v>
      </c>
      <c r="G200" s="3115">
        <v>43200000</v>
      </c>
      <c r="H200" s="3115" t="s">
        <v>5017</v>
      </c>
      <c r="I200" s="3121" t="s">
        <v>2866</v>
      </c>
      <c r="J200" s="3115">
        <f>G200</f>
        <v>43200000</v>
      </c>
      <c r="K200" s="3115">
        <f>F200-J200</f>
        <v>0</v>
      </c>
      <c r="L200" s="3120"/>
    </row>
    <row r="201" spans="1:12" ht="30" customHeight="1" x14ac:dyDescent="0.2">
      <c r="A201" s="2876">
        <v>122</v>
      </c>
      <c r="B201" s="3107" t="s">
        <v>248</v>
      </c>
      <c r="C201" s="2847"/>
      <c r="D201" s="2821">
        <v>50000000</v>
      </c>
      <c r="E201" s="3106">
        <v>4.4999999999999998E-2</v>
      </c>
      <c r="F201" s="2821">
        <f t="shared" si="19"/>
        <v>2250000</v>
      </c>
      <c r="G201" s="2821">
        <v>2250000</v>
      </c>
      <c r="H201" s="2821" t="s">
        <v>5011</v>
      </c>
      <c r="I201" s="3116" t="s">
        <v>5012</v>
      </c>
      <c r="J201" s="2821">
        <f>G201</f>
        <v>2250000</v>
      </c>
      <c r="K201" s="2821">
        <f>F201-J201</f>
        <v>0</v>
      </c>
      <c r="L201" s="2874"/>
    </row>
    <row r="202" spans="1:12" ht="30" customHeight="1" x14ac:dyDescent="0.2">
      <c r="A202" s="4459">
        <v>123</v>
      </c>
      <c r="B202" s="4457" t="s">
        <v>1650</v>
      </c>
      <c r="C202" s="4537" t="s">
        <v>1176</v>
      </c>
      <c r="D202" s="2848">
        <v>60000000</v>
      </c>
      <c r="E202" s="2871">
        <v>0.05</v>
      </c>
      <c r="F202" s="2848">
        <f t="shared" si="19"/>
        <v>3000000</v>
      </c>
      <c r="G202" s="4413">
        <v>7000000</v>
      </c>
      <c r="H202" s="4413" t="s">
        <v>5017</v>
      </c>
      <c r="I202" s="4478" t="s">
        <v>2776</v>
      </c>
      <c r="J202" s="4413">
        <f>G202</f>
        <v>7000000</v>
      </c>
      <c r="K202" s="4413">
        <f>(F202+F203+F204)-G202</f>
        <v>0</v>
      </c>
      <c r="L202" s="4599"/>
    </row>
    <row r="203" spans="1:12" ht="30" customHeight="1" x14ac:dyDescent="0.2">
      <c r="A203" s="4464"/>
      <c r="B203" s="4488"/>
      <c r="C203" s="4540"/>
      <c r="D203" s="2848">
        <v>20000000</v>
      </c>
      <c r="E203" s="2871">
        <v>7.0000000000000007E-2</v>
      </c>
      <c r="F203" s="2848">
        <f t="shared" si="19"/>
        <v>1400000.0000000002</v>
      </c>
      <c r="G203" s="4414"/>
      <c r="H203" s="4414"/>
      <c r="I203" s="4520"/>
      <c r="J203" s="4414"/>
      <c r="K203" s="4414"/>
      <c r="L203" s="4600"/>
    </row>
    <row r="204" spans="1:12" ht="30" customHeight="1" x14ac:dyDescent="0.2">
      <c r="A204" s="4464"/>
      <c r="B204" s="4458"/>
      <c r="C204" s="4538"/>
      <c r="D204" s="2848">
        <v>52000000</v>
      </c>
      <c r="E204" s="2871">
        <v>0.05</v>
      </c>
      <c r="F204" s="2848">
        <f>D204*E204</f>
        <v>2600000</v>
      </c>
      <c r="G204" s="4415"/>
      <c r="H204" s="4415"/>
      <c r="I204" s="4479"/>
      <c r="J204" s="4415"/>
      <c r="K204" s="4415"/>
      <c r="L204" s="3174"/>
    </row>
    <row r="205" spans="1:12" ht="30" customHeight="1" x14ac:dyDescent="0.2">
      <c r="A205" s="4459">
        <v>124</v>
      </c>
      <c r="B205" s="4457" t="s">
        <v>250</v>
      </c>
      <c r="C205" s="4537" t="s">
        <v>392</v>
      </c>
      <c r="D205" s="2821">
        <v>200000000</v>
      </c>
      <c r="E205" s="2823">
        <v>0.05</v>
      </c>
      <c r="F205" s="2821">
        <f t="shared" si="19"/>
        <v>10000000</v>
      </c>
      <c r="G205" s="4413">
        <v>50000000</v>
      </c>
      <c r="H205" s="4413" t="s">
        <v>4941</v>
      </c>
      <c r="I205" s="4553" t="s">
        <v>1401</v>
      </c>
      <c r="J205" s="4413">
        <f t="shared" ref="J205:J218" si="22">G205</f>
        <v>50000000</v>
      </c>
      <c r="K205" s="4413">
        <f>(F205+F206)-J205</f>
        <v>-4000000</v>
      </c>
      <c r="L205" s="3009"/>
    </row>
    <row r="206" spans="1:12" ht="30" customHeight="1" x14ac:dyDescent="0.2">
      <c r="A206" s="4460"/>
      <c r="B206" s="4458"/>
      <c r="C206" s="4538"/>
      <c r="D206" s="3011">
        <v>600000000</v>
      </c>
      <c r="E206" s="3012">
        <v>0.06</v>
      </c>
      <c r="F206" s="3011">
        <f t="shared" si="19"/>
        <v>36000000</v>
      </c>
      <c r="G206" s="4415"/>
      <c r="H206" s="4415"/>
      <c r="I206" s="4554"/>
      <c r="J206" s="4415"/>
      <c r="K206" s="4415"/>
      <c r="L206" s="3010"/>
    </row>
    <row r="207" spans="1:12" ht="30" customHeight="1" x14ac:dyDescent="0.2">
      <c r="A207" s="4459">
        <v>125</v>
      </c>
      <c r="B207" s="4457" t="s">
        <v>251</v>
      </c>
      <c r="C207" s="378"/>
      <c r="D207" s="2848">
        <v>160000000</v>
      </c>
      <c r="E207" s="2871">
        <v>7.0000000000000007E-2</v>
      </c>
      <c r="F207" s="2848">
        <v>11000000</v>
      </c>
      <c r="G207" s="2821">
        <v>11000000</v>
      </c>
      <c r="H207" s="2821" t="s">
        <v>4922</v>
      </c>
      <c r="I207" s="21" t="s">
        <v>4928</v>
      </c>
      <c r="J207" s="2821">
        <f t="shared" si="22"/>
        <v>11000000</v>
      </c>
      <c r="K207" s="2821">
        <f t="shared" ref="K207:K218" si="23">F207-J207</f>
        <v>0</v>
      </c>
      <c r="L207" s="2015" t="s">
        <v>4929</v>
      </c>
    </row>
    <row r="208" spans="1:12" ht="30" customHeight="1" x14ac:dyDescent="0.2">
      <c r="A208" s="4464"/>
      <c r="B208" s="4488"/>
      <c r="C208" s="4537" t="s">
        <v>1287</v>
      </c>
      <c r="D208" s="4413">
        <v>100000000</v>
      </c>
      <c r="E208" s="4476">
        <v>0.06</v>
      </c>
      <c r="F208" s="4413">
        <f>D208*E208</f>
        <v>6000000</v>
      </c>
      <c r="G208" s="4469" t="s">
        <v>4857</v>
      </c>
      <c r="H208" s="4470"/>
      <c r="I208" s="4470"/>
      <c r="J208" s="4471"/>
      <c r="K208" s="2982"/>
      <c r="L208" s="2996"/>
    </row>
    <row r="209" spans="1:12" ht="30" customHeight="1" x14ac:dyDescent="0.2">
      <c r="A209" s="4460"/>
      <c r="B209" s="4458"/>
      <c r="C209" s="4538"/>
      <c r="D209" s="4415"/>
      <c r="E209" s="4477"/>
      <c r="F209" s="4415"/>
      <c r="G209" s="3199">
        <v>2400000</v>
      </c>
      <c r="H209" s="3199" t="s">
        <v>5045</v>
      </c>
      <c r="I209" s="3199" t="s">
        <v>1630</v>
      </c>
      <c r="J209" s="3199">
        <f>G209</f>
        <v>2400000</v>
      </c>
      <c r="K209" s="3191"/>
      <c r="L209" s="2015" t="s">
        <v>5125</v>
      </c>
    </row>
    <row r="210" spans="1:12" ht="30" customHeight="1" x14ac:dyDescent="0.2">
      <c r="A210" s="3008"/>
      <c r="B210" s="19" t="s">
        <v>4855</v>
      </c>
      <c r="C210" s="2997" t="s">
        <v>1287</v>
      </c>
      <c r="D210" s="2992">
        <v>100000000</v>
      </c>
      <c r="E210" s="2995"/>
      <c r="F210" s="2992"/>
      <c r="G210" s="4469" t="s">
        <v>4856</v>
      </c>
      <c r="H210" s="4470"/>
      <c r="I210" s="4470"/>
      <c r="J210" s="4471"/>
      <c r="K210" s="2982"/>
      <c r="L210" s="86" t="s">
        <v>4854</v>
      </c>
    </row>
    <row r="211" spans="1:12" ht="30" customHeight="1" x14ac:dyDescent="0.2">
      <c r="A211" s="2825">
        <v>127</v>
      </c>
      <c r="B211" s="2869" t="s">
        <v>253</v>
      </c>
      <c r="C211" s="2873" t="s">
        <v>889</v>
      </c>
      <c r="D211" s="2848">
        <v>800000000</v>
      </c>
      <c r="E211" s="2871">
        <v>0.05</v>
      </c>
      <c r="F211" s="2848">
        <f t="shared" si="19"/>
        <v>40000000</v>
      </c>
      <c r="G211" s="2848">
        <v>40000000</v>
      </c>
      <c r="H211" s="2848" t="s">
        <v>4876</v>
      </c>
      <c r="I211" s="2868" t="s">
        <v>2540</v>
      </c>
      <c r="J211" s="2848">
        <f t="shared" si="22"/>
        <v>40000000</v>
      </c>
      <c r="K211" s="2848">
        <f t="shared" si="23"/>
        <v>0</v>
      </c>
      <c r="L211" s="3197"/>
    </row>
    <row r="212" spans="1:12" ht="30" customHeight="1" x14ac:dyDescent="0.2">
      <c r="A212" s="2876">
        <v>128</v>
      </c>
      <c r="B212" s="2874" t="s">
        <v>254</v>
      </c>
      <c r="C212" s="2847"/>
      <c r="D212" s="2838"/>
      <c r="E212" s="2839"/>
      <c r="F212" s="2838">
        <f t="shared" si="19"/>
        <v>0</v>
      </c>
      <c r="G212" s="2821"/>
      <c r="H212" s="2821"/>
      <c r="I212" s="21"/>
      <c r="J212" s="2821">
        <f t="shared" si="22"/>
        <v>0</v>
      </c>
      <c r="K212" s="2838">
        <f t="shared" si="23"/>
        <v>0</v>
      </c>
      <c r="L212" s="2874"/>
    </row>
    <row r="213" spans="1:12" ht="30" customHeight="1" x14ac:dyDescent="0.2">
      <c r="A213" s="2876">
        <v>129</v>
      </c>
      <c r="B213" s="3331" t="s">
        <v>255</v>
      </c>
      <c r="C213" s="3033" t="s">
        <v>1107</v>
      </c>
      <c r="D213" s="2550">
        <v>200000000</v>
      </c>
      <c r="E213" s="2551">
        <v>0.06</v>
      </c>
      <c r="F213" s="2550">
        <f>D213*E213</f>
        <v>12000000</v>
      </c>
      <c r="G213" s="3324"/>
      <c r="H213" s="3324"/>
      <c r="I213" s="287" t="s">
        <v>3252</v>
      </c>
      <c r="J213" s="3324">
        <f t="shared" si="22"/>
        <v>0</v>
      </c>
      <c r="K213" s="3324">
        <f t="shared" si="23"/>
        <v>12000000</v>
      </c>
      <c r="L213" s="3332"/>
    </row>
    <row r="214" spans="1:12" ht="30" customHeight="1" x14ac:dyDescent="0.2">
      <c r="A214" s="4459"/>
      <c r="B214" s="4457" t="s">
        <v>5217</v>
      </c>
      <c r="C214" s="4537"/>
      <c r="D214" s="3321">
        <v>200000000</v>
      </c>
      <c r="E214" s="3322">
        <v>0.06</v>
      </c>
      <c r="F214" s="3321">
        <f>D214*E214</f>
        <v>12000000</v>
      </c>
      <c r="G214" s="4413">
        <v>16000000</v>
      </c>
      <c r="H214" s="4413" t="s">
        <v>5108</v>
      </c>
      <c r="I214" s="4478" t="s">
        <v>5317</v>
      </c>
      <c r="J214" s="4413">
        <f>G214</f>
        <v>16000000</v>
      </c>
      <c r="K214" s="4413">
        <f>F216-J214</f>
        <v>0</v>
      </c>
      <c r="L214" s="3318"/>
    </row>
    <row r="215" spans="1:12" ht="30" customHeight="1" x14ac:dyDescent="0.2">
      <c r="A215" s="4464"/>
      <c r="B215" s="4488"/>
      <c r="C215" s="4540"/>
      <c r="D215" s="3321">
        <v>70000000</v>
      </c>
      <c r="E215" s="3322">
        <v>0.06</v>
      </c>
      <c r="F215" s="3321">
        <f>D215*E215</f>
        <v>4200000</v>
      </c>
      <c r="G215" s="4414"/>
      <c r="H215" s="4414"/>
      <c r="I215" s="4520"/>
      <c r="J215" s="4414"/>
      <c r="K215" s="4414"/>
      <c r="L215" s="3323"/>
    </row>
    <row r="216" spans="1:12" ht="30" customHeight="1" x14ac:dyDescent="0.2">
      <c r="A216" s="4460"/>
      <c r="B216" s="4458"/>
      <c r="C216" s="4538"/>
      <c r="D216" s="3328">
        <v>270000000</v>
      </c>
      <c r="E216" s="897">
        <v>0.06</v>
      </c>
      <c r="F216" s="3328">
        <v>16000000</v>
      </c>
      <c r="G216" s="4415"/>
      <c r="H216" s="4415"/>
      <c r="I216" s="4479"/>
      <c r="J216" s="4415"/>
      <c r="K216" s="4415"/>
      <c r="L216" s="3319"/>
    </row>
    <row r="217" spans="1:12" ht="30" customHeight="1" x14ac:dyDescent="0.2">
      <c r="A217" s="3325"/>
      <c r="B217" s="3305" t="s">
        <v>1171</v>
      </c>
      <c r="C217" s="3304" t="s">
        <v>1299</v>
      </c>
      <c r="D217" s="3297">
        <v>150000000</v>
      </c>
      <c r="E217" s="3303">
        <v>0.05</v>
      </c>
      <c r="F217" s="3297">
        <f>D217*E217</f>
        <v>7500000</v>
      </c>
      <c r="G217" s="3297">
        <v>7500000</v>
      </c>
      <c r="H217" s="3297" t="s">
        <v>5156</v>
      </c>
      <c r="I217" s="3297" t="s">
        <v>1840</v>
      </c>
      <c r="J217" s="3297">
        <f t="shared" si="22"/>
        <v>7500000</v>
      </c>
      <c r="K217" s="3297">
        <f t="shared" si="23"/>
        <v>0</v>
      </c>
      <c r="L217" s="48"/>
    </row>
    <row r="218" spans="1:12" ht="30" customHeight="1" x14ac:dyDescent="0.2">
      <c r="A218" s="4459">
        <v>131</v>
      </c>
      <c r="B218" s="4457" t="s">
        <v>256</v>
      </c>
      <c r="C218" s="4537"/>
      <c r="D218" s="4413">
        <v>400000000</v>
      </c>
      <c r="E218" s="4476">
        <v>0.05</v>
      </c>
      <c r="F218" s="4413">
        <f>D218*E218</f>
        <v>20000000</v>
      </c>
      <c r="G218" s="4413">
        <v>20000000</v>
      </c>
      <c r="H218" s="4413" t="s">
        <v>4922</v>
      </c>
      <c r="I218" s="4413" t="s">
        <v>3436</v>
      </c>
      <c r="J218" s="4413">
        <f t="shared" si="22"/>
        <v>20000000</v>
      </c>
      <c r="K218" s="4413">
        <f t="shared" si="23"/>
        <v>0</v>
      </c>
      <c r="L218" s="3013"/>
    </row>
    <row r="219" spans="1:12" ht="30" customHeight="1" x14ac:dyDescent="0.2">
      <c r="A219" s="4460"/>
      <c r="B219" s="4458"/>
      <c r="C219" s="4538"/>
      <c r="D219" s="4415"/>
      <c r="E219" s="4477"/>
      <c r="F219" s="4415"/>
      <c r="G219" s="4415"/>
      <c r="H219" s="4415"/>
      <c r="I219" s="4415"/>
      <c r="J219" s="4415"/>
      <c r="K219" s="4415"/>
      <c r="L219" s="3018" t="s">
        <v>4014</v>
      </c>
    </row>
    <row r="220" spans="1:12" ht="30" customHeight="1" x14ac:dyDescent="0.2">
      <c r="A220" s="1029"/>
      <c r="B220" s="19" t="s">
        <v>1218</v>
      </c>
      <c r="C220" s="2997" t="s">
        <v>1652</v>
      </c>
      <c r="D220" s="2992">
        <v>490000000</v>
      </c>
      <c r="E220" s="2995">
        <v>0.06</v>
      </c>
      <c r="F220" s="2992">
        <f>D220*E220</f>
        <v>29400000</v>
      </c>
      <c r="G220" s="2992">
        <v>29500000</v>
      </c>
      <c r="H220" s="2992" t="s">
        <v>4893</v>
      </c>
      <c r="I220" s="2992" t="s">
        <v>4899</v>
      </c>
      <c r="J220" s="2992">
        <f>G220</f>
        <v>29500000</v>
      </c>
      <c r="K220" s="2992">
        <f>F220-J220</f>
        <v>-100000</v>
      </c>
      <c r="L220" s="2834" t="s">
        <v>4900</v>
      </c>
    </row>
    <row r="221" spans="1:12" ht="30" customHeight="1" x14ac:dyDescent="0.2">
      <c r="A221" s="2876">
        <v>133</v>
      </c>
      <c r="B221" s="2829" t="s">
        <v>175</v>
      </c>
      <c r="C221" s="2847" t="s">
        <v>1718</v>
      </c>
      <c r="D221" s="2821">
        <v>100000000</v>
      </c>
      <c r="E221" s="2823">
        <v>0.05</v>
      </c>
      <c r="F221" s="2821">
        <f t="shared" ref="F221:F311" si="24">D221*E221</f>
        <v>5000000</v>
      </c>
      <c r="G221" s="2821">
        <v>5000000</v>
      </c>
      <c r="H221" s="2821" t="s">
        <v>5011</v>
      </c>
      <c r="I221" s="21" t="s">
        <v>4414</v>
      </c>
      <c r="J221" s="2821">
        <f>G221</f>
        <v>5000000</v>
      </c>
      <c r="K221" s="2821">
        <f>F221-J221</f>
        <v>0</v>
      </c>
      <c r="L221" s="2834"/>
    </row>
    <row r="222" spans="1:12" ht="30" customHeight="1" x14ac:dyDescent="0.2">
      <c r="A222" s="2825">
        <v>134</v>
      </c>
      <c r="B222" s="2869" t="s">
        <v>166</v>
      </c>
      <c r="C222" s="2873" t="s">
        <v>1652</v>
      </c>
      <c r="D222" s="2848">
        <v>110000000</v>
      </c>
      <c r="E222" s="2871">
        <v>0.04</v>
      </c>
      <c r="F222" s="2848">
        <f t="shared" si="24"/>
        <v>4400000</v>
      </c>
      <c r="G222" s="2821">
        <v>4400000</v>
      </c>
      <c r="H222" s="2821" t="s">
        <v>4938</v>
      </c>
      <c r="I222" s="21" t="s">
        <v>4101</v>
      </c>
      <c r="J222" s="2820">
        <f>G222</f>
        <v>4400000</v>
      </c>
      <c r="K222" s="2820">
        <f>F222-J222</f>
        <v>0</v>
      </c>
      <c r="L222" s="2843"/>
    </row>
    <row r="223" spans="1:12" ht="30" customHeight="1" x14ac:dyDescent="0.2">
      <c r="A223" s="4459">
        <v>135</v>
      </c>
      <c r="B223" s="4457" t="s">
        <v>4365</v>
      </c>
      <c r="C223" s="2873" t="s">
        <v>392</v>
      </c>
      <c r="D223" s="2821">
        <v>100000000</v>
      </c>
      <c r="E223" s="2871">
        <v>0.05</v>
      </c>
      <c r="F223" s="2821">
        <f t="shared" si="24"/>
        <v>5000000</v>
      </c>
      <c r="G223" s="2821">
        <v>5000000</v>
      </c>
      <c r="H223" s="2821" t="s">
        <v>4848</v>
      </c>
      <c r="I223" s="26" t="s">
        <v>1549</v>
      </c>
      <c r="J223" s="4413">
        <f>G223+G224</f>
        <v>11000000</v>
      </c>
      <c r="K223" s="4413">
        <f>(F223+F224)-J223</f>
        <v>0</v>
      </c>
      <c r="L223" s="4599"/>
    </row>
    <row r="224" spans="1:12" ht="30" customHeight="1" x14ac:dyDescent="0.2">
      <c r="A224" s="4460"/>
      <c r="B224" s="4488"/>
      <c r="C224" s="2873" t="s">
        <v>1299</v>
      </c>
      <c r="D224" s="2821">
        <v>124000000</v>
      </c>
      <c r="E224" s="2871">
        <v>4.9000000000000002E-2</v>
      </c>
      <c r="F224" s="2821">
        <v>6000000</v>
      </c>
      <c r="G224" s="2821">
        <v>6000000</v>
      </c>
      <c r="H224" s="2821" t="s">
        <v>5176</v>
      </c>
      <c r="I224" s="52" t="s">
        <v>1549</v>
      </c>
      <c r="J224" s="4415"/>
      <c r="K224" s="4415"/>
      <c r="L224" s="4607"/>
    </row>
    <row r="225" spans="1:12" ht="30" customHeight="1" x14ac:dyDescent="0.2">
      <c r="A225" s="3064"/>
      <c r="B225" s="4458"/>
      <c r="C225" s="3072" t="s">
        <v>392</v>
      </c>
      <c r="D225" s="3067">
        <v>100000000</v>
      </c>
      <c r="E225" s="3062">
        <v>0.05</v>
      </c>
      <c r="F225" s="3067">
        <f>D225*E225</f>
        <v>5000000</v>
      </c>
      <c r="G225" s="3061"/>
      <c r="H225" s="3061"/>
      <c r="I225" s="52"/>
      <c r="J225" s="3061"/>
      <c r="K225" s="3061"/>
      <c r="L225" s="3065" t="s">
        <v>4968</v>
      </c>
    </row>
    <row r="226" spans="1:12" ht="30" customHeight="1" x14ac:dyDescent="0.2">
      <c r="A226" s="4459">
        <v>136</v>
      </c>
      <c r="B226" s="4457" t="s">
        <v>4003</v>
      </c>
      <c r="C226" s="4620"/>
      <c r="D226" s="4506"/>
      <c r="E226" s="4512"/>
      <c r="F226" s="4506">
        <f t="shared" si="24"/>
        <v>0</v>
      </c>
      <c r="G226" s="2821"/>
      <c r="H226" s="2821"/>
      <c r="I226" s="24" t="s">
        <v>3969</v>
      </c>
      <c r="J226" s="2821">
        <f>G226</f>
        <v>0</v>
      </c>
      <c r="K226" s="2838">
        <f>F226-J226</f>
        <v>0</v>
      </c>
      <c r="L226" s="2834"/>
    </row>
    <row r="227" spans="1:12" ht="30" customHeight="1" x14ac:dyDescent="0.2">
      <c r="A227" s="4464"/>
      <c r="B227" s="4488"/>
      <c r="C227" s="4620"/>
      <c r="D227" s="4507"/>
      <c r="E227" s="4513"/>
      <c r="F227" s="4507"/>
      <c r="G227" s="2848"/>
      <c r="H227" s="2848"/>
      <c r="I227" s="234" t="s">
        <v>3969</v>
      </c>
      <c r="J227" s="2848">
        <f>G227</f>
        <v>0</v>
      </c>
      <c r="K227" s="2819"/>
      <c r="L227" s="2898"/>
    </row>
    <row r="228" spans="1:12" ht="30" customHeight="1" x14ac:dyDescent="0.2">
      <c r="A228" s="4460"/>
      <c r="B228" s="4458"/>
      <c r="C228" s="4620"/>
      <c r="D228" s="4508"/>
      <c r="E228" s="4514"/>
      <c r="F228" s="4508"/>
      <c r="G228" s="2914"/>
      <c r="H228" s="2914"/>
      <c r="I228" s="2914"/>
      <c r="J228" s="2914"/>
      <c r="K228" s="2819"/>
      <c r="L228" s="2898"/>
    </row>
    <row r="229" spans="1:12" ht="30" customHeight="1" x14ac:dyDescent="0.2">
      <c r="A229" s="2825"/>
      <c r="B229" s="2828" t="s">
        <v>257</v>
      </c>
      <c r="C229" s="2849" t="s">
        <v>1652</v>
      </c>
      <c r="D229" s="2821">
        <v>100000000</v>
      </c>
      <c r="E229" s="2871">
        <v>0.05</v>
      </c>
      <c r="F229" s="2821">
        <f>D229*E229</f>
        <v>5000000</v>
      </c>
      <c r="G229" s="2831">
        <v>5000000</v>
      </c>
      <c r="H229" s="2831" t="s">
        <v>4922</v>
      </c>
      <c r="I229" s="1611" t="s">
        <v>4004</v>
      </c>
      <c r="J229" s="2831">
        <f>G229</f>
        <v>5000000</v>
      </c>
      <c r="K229" s="2831">
        <f>F229-J229</f>
        <v>0</v>
      </c>
      <c r="L229" s="2853"/>
    </row>
    <row r="230" spans="1:12" ht="30" customHeight="1" x14ac:dyDescent="0.2">
      <c r="A230" s="4459"/>
      <c r="B230" s="4457" t="s">
        <v>179</v>
      </c>
      <c r="C230" s="4537" t="s">
        <v>1176</v>
      </c>
      <c r="D230" s="2848">
        <v>80000000</v>
      </c>
      <c r="E230" s="2871">
        <v>0.05</v>
      </c>
      <c r="F230" s="2848">
        <f>D230*E230</f>
        <v>4000000</v>
      </c>
      <c r="G230" s="4413">
        <v>6100000</v>
      </c>
      <c r="H230" s="4413" t="s">
        <v>4938</v>
      </c>
      <c r="I230" s="4413" t="s">
        <v>1711</v>
      </c>
      <c r="J230" s="4413">
        <f>G230</f>
        <v>6100000</v>
      </c>
      <c r="K230" s="4413">
        <f>(F230+F231)-J230</f>
        <v>0</v>
      </c>
      <c r="L230" s="4492"/>
    </row>
    <row r="231" spans="1:12" ht="30" customHeight="1" x14ac:dyDescent="0.2">
      <c r="A231" s="4460"/>
      <c r="B231" s="4458"/>
      <c r="C231" s="4538"/>
      <c r="D231" s="2820">
        <v>30000000</v>
      </c>
      <c r="E231" s="2822">
        <v>7.0000000000000007E-2</v>
      </c>
      <c r="F231" s="2820">
        <f>D231*E231</f>
        <v>2100000</v>
      </c>
      <c r="G231" s="4415"/>
      <c r="H231" s="4415"/>
      <c r="I231" s="4415"/>
      <c r="J231" s="4415"/>
      <c r="K231" s="4415"/>
      <c r="L231" s="4493"/>
    </row>
    <row r="232" spans="1:12" ht="30" customHeight="1" x14ac:dyDescent="0.2">
      <c r="A232" s="4459">
        <v>138</v>
      </c>
      <c r="B232" s="2920" t="s">
        <v>259</v>
      </c>
      <c r="C232" s="4620" t="s">
        <v>1172</v>
      </c>
      <c r="D232" s="2914">
        <v>1429600000</v>
      </c>
      <c r="E232" s="2916">
        <v>6.5000000000000002E-2</v>
      </c>
      <c r="F232" s="2914">
        <f>D232*E232</f>
        <v>92924000</v>
      </c>
      <c r="G232" s="4838" t="s">
        <v>4821</v>
      </c>
      <c r="H232" s="4838"/>
      <c r="I232" s="4838"/>
      <c r="J232" s="4563">
        <f>D233+G234</f>
        <v>93400000</v>
      </c>
      <c r="K232" s="4322">
        <v>0</v>
      </c>
      <c r="L232" s="4684" t="s">
        <v>4812</v>
      </c>
    </row>
    <row r="233" spans="1:12" ht="30" customHeight="1" x14ac:dyDescent="0.2">
      <c r="A233" s="4464"/>
      <c r="B233" s="2921"/>
      <c r="C233" s="4620"/>
      <c r="D233" s="2905">
        <v>70400000</v>
      </c>
      <c r="E233" s="2906"/>
      <c r="F233" s="2905"/>
      <c r="G233" s="4838"/>
      <c r="H233" s="4838"/>
      <c r="I233" s="4838"/>
      <c r="J233" s="4613"/>
      <c r="K233" s="4322"/>
      <c r="L233" s="4493"/>
    </row>
    <row r="234" spans="1:12" ht="30" customHeight="1" x14ac:dyDescent="0.2">
      <c r="A234" s="4464"/>
      <c r="B234" s="2921"/>
      <c r="C234" s="4620"/>
      <c r="D234" s="4303" t="s">
        <v>4935</v>
      </c>
      <c r="E234" s="4324"/>
      <c r="F234" s="4355"/>
      <c r="G234" s="2914">
        <v>23000000</v>
      </c>
      <c r="H234" s="2914" t="s">
        <v>4922</v>
      </c>
      <c r="I234" s="2914" t="s">
        <v>4934</v>
      </c>
      <c r="J234" s="4565"/>
      <c r="K234" s="4322"/>
      <c r="L234" s="2924"/>
    </row>
    <row r="235" spans="1:12" ht="30" customHeight="1" x14ac:dyDescent="0.2">
      <c r="A235" s="4464"/>
      <c r="B235" s="2921"/>
      <c r="C235" s="4620"/>
      <c r="D235" s="2927">
        <f>D232+D233</f>
        <v>1500000000</v>
      </c>
      <c r="E235" s="2928">
        <v>7.0000000000000007E-2</v>
      </c>
      <c r="F235" s="2927">
        <f>D235*E235</f>
        <v>105000000.00000001</v>
      </c>
      <c r="G235" s="4919" t="s">
        <v>4820</v>
      </c>
      <c r="H235" s="4920"/>
      <c r="I235" s="4920"/>
      <c r="J235" s="4921"/>
      <c r="K235" s="7"/>
      <c r="L235" s="180" t="s">
        <v>4813</v>
      </c>
    </row>
    <row r="236" spans="1:12" ht="30" customHeight="1" x14ac:dyDescent="0.2">
      <c r="A236" s="2876">
        <v>139</v>
      </c>
      <c r="B236" s="19" t="s">
        <v>160</v>
      </c>
      <c r="C236" s="2847" t="s">
        <v>1718</v>
      </c>
      <c r="D236" s="2848">
        <v>110000000</v>
      </c>
      <c r="E236" s="2871">
        <v>0.05</v>
      </c>
      <c r="F236" s="2848">
        <f t="shared" si="24"/>
        <v>5500000</v>
      </c>
      <c r="G236" s="2821">
        <v>5500000</v>
      </c>
      <c r="H236" s="2821" t="s">
        <v>4941</v>
      </c>
      <c r="I236" s="26" t="s">
        <v>2757</v>
      </c>
      <c r="J236" s="2848">
        <f>G236</f>
        <v>5500000</v>
      </c>
      <c r="K236" s="2848">
        <f>F236-J236</f>
        <v>0</v>
      </c>
      <c r="L236" s="19"/>
    </row>
    <row r="237" spans="1:12" ht="30" customHeight="1" x14ac:dyDescent="0.2">
      <c r="A237" s="2876"/>
      <c r="B237" s="19" t="s">
        <v>2270</v>
      </c>
      <c r="C237" s="2847" t="s">
        <v>262</v>
      </c>
      <c r="D237" s="2848">
        <v>50000000</v>
      </c>
      <c r="E237" s="2871">
        <v>0.05</v>
      </c>
      <c r="F237" s="2848">
        <f>D237*E237</f>
        <v>2500000</v>
      </c>
      <c r="G237" s="2821">
        <v>2500000</v>
      </c>
      <c r="H237" s="2821" t="s">
        <v>5085</v>
      </c>
      <c r="I237" s="26" t="s">
        <v>2757</v>
      </c>
      <c r="J237" s="2848">
        <f>G237</f>
        <v>2500000</v>
      </c>
      <c r="K237" s="2848">
        <f>F237-J237</f>
        <v>0</v>
      </c>
      <c r="L237" s="19"/>
    </row>
    <row r="238" spans="1:12" ht="30" customHeight="1" x14ac:dyDescent="0.2">
      <c r="A238" s="2876">
        <v>140</v>
      </c>
      <c r="B238" s="2874" t="s">
        <v>533</v>
      </c>
      <c r="C238" s="2847" t="s">
        <v>372</v>
      </c>
      <c r="D238" s="2821">
        <v>150000000</v>
      </c>
      <c r="E238" s="2871">
        <v>0.04</v>
      </c>
      <c r="F238" s="2821">
        <f t="shared" si="24"/>
        <v>6000000</v>
      </c>
      <c r="G238" s="2821">
        <v>6000000</v>
      </c>
      <c r="H238" s="2821" t="s">
        <v>4938</v>
      </c>
      <c r="I238" s="18" t="s">
        <v>2682</v>
      </c>
      <c r="J238" s="2821">
        <f>G238</f>
        <v>6000000</v>
      </c>
      <c r="K238" s="2821">
        <f>F238-J238</f>
        <v>0</v>
      </c>
      <c r="L238" s="2874"/>
    </row>
    <row r="239" spans="1:12" ht="30" customHeight="1" x14ac:dyDescent="0.2">
      <c r="A239" s="1029">
        <v>141</v>
      </c>
      <c r="B239" s="19" t="s">
        <v>7</v>
      </c>
      <c r="C239" s="2919"/>
      <c r="D239" s="2914">
        <v>30000000</v>
      </c>
      <c r="E239" s="2916">
        <v>0.05</v>
      </c>
      <c r="F239" s="2914">
        <f t="shared" si="24"/>
        <v>1500000</v>
      </c>
      <c r="G239" s="2821"/>
      <c r="H239" s="2821"/>
      <c r="I239" s="21" t="s">
        <v>535</v>
      </c>
      <c r="J239" s="2821">
        <f>G239</f>
        <v>0</v>
      </c>
      <c r="K239" s="2821">
        <f>F239-J239</f>
        <v>1500000</v>
      </c>
      <c r="L239" s="2834"/>
    </row>
    <row r="240" spans="1:12" ht="30" customHeight="1" x14ac:dyDescent="0.2">
      <c r="A240" s="4459">
        <v>142</v>
      </c>
      <c r="B240" s="4457" t="s">
        <v>8</v>
      </c>
      <c r="C240" s="4537"/>
      <c r="D240" s="4413">
        <v>2000000000</v>
      </c>
      <c r="E240" s="4476">
        <v>0.08</v>
      </c>
      <c r="F240" s="4413">
        <f>D240*E240</f>
        <v>160000000</v>
      </c>
      <c r="G240" s="2914">
        <v>23000000</v>
      </c>
      <c r="H240" s="4325" t="s">
        <v>4822</v>
      </c>
      <c r="I240" s="4563"/>
      <c r="J240" s="4322"/>
      <c r="K240" s="4322"/>
      <c r="L240" s="4492" t="s">
        <v>4721</v>
      </c>
    </row>
    <row r="241" spans="1:12" ht="30" customHeight="1" x14ac:dyDescent="0.2">
      <c r="A241" s="4464"/>
      <c r="B241" s="4488"/>
      <c r="C241" s="4540"/>
      <c r="D241" s="4414"/>
      <c r="E241" s="4516"/>
      <c r="F241" s="4414"/>
      <c r="G241" s="2905">
        <v>50000000</v>
      </c>
      <c r="H241" s="4564"/>
      <c r="I241" s="4565"/>
      <c r="J241" s="4322"/>
      <c r="K241" s="4322"/>
      <c r="L241" s="4684"/>
    </row>
    <row r="242" spans="1:12" ht="30" customHeight="1" x14ac:dyDescent="0.2">
      <c r="A242" s="4464"/>
      <c r="B242" s="4488"/>
      <c r="C242" s="4540"/>
      <c r="D242" s="4414"/>
      <c r="E242" s="4516"/>
      <c r="F242" s="4414"/>
      <c r="G242" s="2821">
        <v>20000000</v>
      </c>
      <c r="H242" s="2821"/>
      <c r="I242" s="2868" t="s">
        <v>1937</v>
      </c>
      <c r="J242" s="4322"/>
      <c r="K242" s="4322"/>
      <c r="L242" s="4684"/>
    </row>
    <row r="243" spans="1:12" ht="30" customHeight="1" x14ac:dyDescent="0.2">
      <c r="A243" s="4464"/>
      <c r="B243" s="4488"/>
      <c r="C243" s="4540"/>
      <c r="D243" s="4414"/>
      <c r="E243" s="4516"/>
      <c r="F243" s="4414"/>
      <c r="G243" s="3404">
        <v>100000000</v>
      </c>
      <c r="H243" s="3404" t="s">
        <v>5107</v>
      </c>
      <c r="I243" s="910" t="s">
        <v>1937</v>
      </c>
      <c r="J243" s="4322"/>
      <c r="K243" s="4322"/>
      <c r="L243" s="4684"/>
    </row>
    <row r="244" spans="1:12" ht="30" customHeight="1" x14ac:dyDescent="0.2">
      <c r="A244" s="4464"/>
      <c r="B244" s="4488"/>
      <c r="C244" s="4540"/>
      <c r="D244" s="4414"/>
      <c r="E244" s="4516"/>
      <c r="F244" s="4414"/>
      <c r="G244" s="3396">
        <v>49950000</v>
      </c>
      <c r="H244" s="3396" t="s">
        <v>5107</v>
      </c>
      <c r="I244" s="3417" t="s">
        <v>1937</v>
      </c>
      <c r="J244" s="4322"/>
      <c r="K244" s="4322"/>
      <c r="L244" s="4684"/>
    </row>
    <row r="245" spans="1:12" ht="30" customHeight="1" x14ac:dyDescent="0.2">
      <c r="A245" s="4464"/>
      <c r="B245" s="4488"/>
      <c r="C245" s="4540"/>
      <c r="D245" s="4414"/>
      <c r="E245" s="4516"/>
      <c r="F245" s="4414"/>
      <c r="G245" s="3396">
        <v>4000</v>
      </c>
      <c r="H245" s="3396" t="s">
        <v>5107</v>
      </c>
      <c r="I245" s="3417" t="s">
        <v>1937</v>
      </c>
      <c r="J245" s="4322"/>
      <c r="K245" s="4322"/>
      <c r="L245" s="4684"/>
    </row>
    <row r="246" spans="1:12" ht="30" customHeight="1" x14ac:dyDescent="0.2">
      <c r="A246" s="4464"/>
      <c r="B246" s="4488"/>
      <c r="C246" s="4540"/>
      <c r="D246" s="4414"/>
      <c r="E246" s="4516"/>
      <c r="F246" s="4414"/>
      <c r="G246" s="3396">
        <v>40000</v>
      </c>
      <c r="H246" s="3396" t="s">
        <v>5107</v>
      </c>
      <c r="I246" s="3417" t="s">
        <v>1937</v>
      </c>
      <c r="J246" s="4322"/>
      <c r="K246" s="4322"/>
      <c r="L246" s="4684"/>
    </row>
    <row r="247" spans="1:12" ht="30" customHeight="1" x14ac:dyDescent="0.2">
      <c r="A247" s="4464"/>
      <c r="B247" s="4488"/>
      <c r="C247" s="4540"/>
      <c r="D247" s="4414"/>
      <c r="E247" s="4516"/>
      <c r="F247" s="4414"/>
      <c r="G247" s="3396">
        <v>50000000</v>
      </c>
      <c r="H247" s="3396" t="s">
        <v>5107</v>
      </c>
      <c r="I247" s="3417" t="s">
        <v>1937</v>
      </c>
      <c r="J247" s="4322"/>
      <c r="K247" s="4322"/>
      <c r="L247" s="4684"/>
    </row>
    <row r="248" spans="1:12" ht="30" customHeight="1" x14ac:dyDescent="0.2">
      <c r="A248" s="4464"/>
      <c r="B248" s="4488"/>
      <c r="C248" s="4540"/>
      <c r="D248" s="4414"/>
      <c r="E248" s="4516"/>
      <c r="F248" s="4414"/>
      <c r="G248" s="3396"/>
      <c r="H248" s="3396"/>
      <c r="I248" s="3417"/>
      <c r="J248" s="4322"/>
      <c r="K248" s="4322"/>
      <c r="L248" s="4684"/>
    </row>
    <row r="249" spans="1:12" ht="30" customHeight="1" x14ac:dyDescent="0.2">
      <c r="A249" s="4464"/>
      <c r="B249" s="4488"/>
      <c r="C249" s="4540"/>
      <c r="D249" s="4414"/>
      <c r="E249" s="4516"/>
      <c r="F249" s="4414"/>
      <c r="G249" s="2821"/>
      <c r="H249" s="2821"/>
      <c r="I249" s="2848"/>
      <c r="J249" s="4322"/>
      <c r="K249" s="4322"/>
      <c r="L249" s="4684"/>
    </row>
    <row r="250" spans="1:12" ht="30" customHeight="1" x14ac:dyDescent="0.2">
      <c r="A250" s="2876">
        <v>143</v>
      </c>
      <c r="B250" s="2874" t="s">
        <v>4148</v>
      </c>
      <c r="C250" s="2873"/>
      <c r="D250" s="2848">
        <v>50000000</v>
      </c>
      <c r="E250" s="2871">
        <v>0.04</v>
      </c>
      <c r="F250" s="2848">
        <f t="shared" si="24"/>
        <v>2000000</v>
      </c>
      <c r="G250" s="2848">
        <v>2000000</v>
      </c>
      <c r="H250" s="2848" t="s">
        <v>4922</v>
      </c>
      <c r="I250" s="26" t="s">
        <v>4926</v>
      </c>
      <c r="J250" s="2848">
        <f>G250</f>
        <v>2000000</v>
      </c>
      <c r="K250" s="2848">
        <f t="shared" ref="K250:K262" si="25">F250-J250</f>
        <v>0</v>
      </c>
      <c r="L250" s="2898" t="s">
        <v>4927</v>
      </c>
    </row>
    <row r="251" spans="1:12" ht="30" customHeight="1" x14ac:dyDescent="0.2">
      <c r="A251" s="2876">
        <v>144</v>
      </c>
      <c r="B251" s="2874" t="s">
        <v>514</v>
      </c>
      <c r="C251" s="2847"/>
      <c r="D251" s="2821">
        <v>5000000</v>
      </c>
      <c r="E251" s="2871">
        <v>0.05</v>
      </c>
      <c r="F251" s="2821">
        <f t="shared" si="24"/>
        <v>250000</v>
      </c>
      <c r="G251" s="2821">
        <v>250000</v>
      </c>
      <c r="H251" s="2821" t="s">
        <v>4922</v>
      </c>
      <c r="I251" s="21" t="s">
        <v>516</v>
      </c>
      <c r="J251" s="2821">
        <f>G251</f>
        <v>250000</v>
      </c>
      <c r="K251" s="2821">
        <f t="shared" si="25"/>
        <v>0</v>
      </c>
      <c r="L251" s="2874"/>
    </row>
    <row r="252" spans="1:12" ht="30" customHeight="1" x14ac:dyDescent="0.2">
      <c r="A252" s="2876">
        <v>145</v>
      </c>
      <c r="B252" s="2874" t="s">
        <v>10</v>
      </c>
      <c r="C252" s="2847" t="s">
        <v>1172</v>
      </c>
      <c r="D252" s="2821">
        <v>100000000</v>
      </c>
      <c r="E252" s="2871">
        <v>0.05</v>
      </c>
      <c r="F252" s="2821">
        <f t="shared" si="24"/>
        <v>5000000</v>
      </c>
      <c r="G252" s="2821">
        <v>5000000</v>
      </c>
      <c r="H252" s="2821" t="s">
        <v>4938</v>
      </c>
      <c r="I252" s="18" t="s">
        <v>3525</v>
      </c>
      <c r="J252" s="2821">
        <f>G252</f>
        <v>5000000</v>
      </c>
      <c r="K252" s="2821">
        <f t="shared" si="25"/>
        <v>0</v>
      </c>
      <c r="L252" s="2874"/>
    </row>
    <row r="253" spans="1:12" ht="30" customHeight="1" x14ac:dyDescent="0.2">
      <c r="A253" s="2876">
        <v>146</v>
      </c>
      <c r="B253" s="2874" t="s">
        <v>11</v>
      </c>
      <c r="C253" s="2847"/>
      <c r="D253" s="2821">
        <v>50000000</v>
      </c>
      <c r="E253" s="2871">
        <v>4.4999999999999998E-2</v>
      </c>
      <c r="F253" s="2821">
        <f t="shared" si="24"/>
        <v>2250000</v>
      </c>
      <c r="G253" s="2821"/>
      <c r="H253" s="2821"/>
      <c r="I253" s="21"/>
      <c r="J253" s="2821"/>
      <c r="K253" s="2821">
        <f t="shared" si="25"/>
        <v>2250000</v>
      </c>
      <c r="L253" s="2874"/>
    </row>
    <row r="254" spans="1:12" ht="30" customHeight="1" x14ac:dyDescent="0.2">
      <c r="A254" s="4459">
        <v>147</v>
      </c>
      <c r="B254" s="4457" t="s">
        <v>12</v>
      </c>
      <c r="C254" s="4537" t="s">
        <v>1295</v>
      </c>
      <c r="D254" s="2821">
        <v>60000000</v>
      </c>
      <c r="E254" s="2871">
        <v>0.05</v>
      </c>
      <c r="F254" s="2821">
        <f t="shared" si="24"/>
        <v>3000000</v>
      </c>
      <c r="G254" s="4413">
        <v>4635000</v>
      </c>
      <c r="H254" s="4413" t="s">
        <v>4841</v>
      </c>
      <c r="I254" s="4898" t="s">
        <v>4845</v>
      </c>
      <c r="J254" s="4413">
        <f>G254</f>
        <v>4635000</v>
      </c>
      <c r="K254" s="4413"/>
      <c r="L254" s="2897"/>
    </row>
    <row r="255" spans="1:12" ht="30" customHeight="1" x14ac:dyDescent="0.2">
      <c r="A255" s="4460"/>
      <c r="B255" s="4458"/>
      <c r="C255" s="4538"/>
      <c r="D255" s="2821">
        <v>70000000</v>
      </c>
      <c r="E255" s="2871">
        <v>0.05</v>
      </c>
      <c r="F255" s="2821">
        <f t="shared" si="24"/>
        <v>3500000</v>
      </c>
      <c r="G255" s="4415"/>
      <c r="H255" s="4415"/>
      <c r="I255" s="4899"/>
      <c r="J255" s="4415"/>
      <c r="K255" s="4415"/>
      <c r="L255" s="2015" t="s">
        <v>4673</v>
      </c>
    </row>
    <row r="256" spans="1:12" ht="30" customHeight="1" x14ac:dyDescent="0.2">
      <c r="A256" s="2825">
        <v>148</v>
      </c>
      <c r="B256" s="2869" t="s">
        <v>13</v>
      </c>
      <c r="C256" s="2873" t="s">
        <v>371</v>
      </c>
      <c r="D256" s="2848">
        <v>50000000</v>
      </c>
      <c r="E256" s="2871">
        <v>0.05</v>
      </c>
      <c r="F256" s="2848">
        <f t="shared" si="24"/>
        <v>2500000</v>
      </c>
      <c r="G256" s="2848">
        <v>2500000</v>
      </c>
      <c r="H256" s="2848" t="s">
        <v>5085</v>
      </c>
      <c r="I256" s="2868" t="s">
        <v>1401</v>
      </c>
      <c r="J256" s="2848">
        <f t="shared" ref="J256:J261" si="26">G256</f>
        <v>2500000</v>
      </c>
      <c r="K256" s="2848">
        <f t="shared" si="25"/>
        <v>0</v>
      </c>
      <c r="L256" s="2015"/>
    </row>
    <row r="257" spans="1:16" ht="30" customHeight="1" x14ac:dyDescent="0.2">
      <c r="A257" s="2876">
        <v>149</v>
      </c>
      <c r="B257" s="2874" t="s">
        <v>14</v>
      </c>
      <c r="C257" s="2847" t="s">
        <v>1291</v>
      </c>
      <c r="D257" s="2821">
        <v>80000000</v>
      </c>
      <c r="E257" s="2823">
        <v>0.05</v>
      </c>
      <c r="F257" s="2821">
        <f t="shared" si="24"/>
        <v>4000000</v>
      </c>
      <c r="G257" s="2821">
        <v>4000000</v>
      </c>
      <c r="H257" s="2821" t="s">
        <v>5018</v>
      </c>
      <c r="I257" s="2901" t="s">
        <v>2580</v>
      </c>
      <c r="J257" s="2821">
        <f t="shared" si="26"/>
        <v>4000000</v>
      </c>
      <c r="K257" s="2821">
        <f t="shared" si="25"/>
        <v>0</v>
      </c>
      <c r="L257" s="2015"/>
    </row>
    <row r="258" spans="1:16" ht="30" customHeight="1" x14ac:dyDescent="0.2">
      <c r="A258" s="2876">
        <v>150</v>
      </c>
      <c r="B258" s="2874" t="s">
        <v>15</v>
      </c>
      <c r="C258" s="2847" t="s">
        <v>1294</v>
      </c>
      <c r="D258" s="2821">
        <v>160000000</v>
      </c>
      <c r="E258" s="2871">
        <v>0.04</v>
      </c>
      <c r="F258" s="2821">
        <f t="shared" si="24"/>
        <v>6400000</v>
      </c>
      <c r="G258" s="2821">
        <v>6400000</v>
      </c>
      <c r="H258" s="2821" t="s">
        <v>5045</v>
      </c>
      <c r="I258" s="21" t="s">
        <v>2986</v>
      </c>
      <c r="J258" s="2821">
        <f t="shared" si="26"/>
        <v>6400000</v>
      </c>
      <c r="K258" s="2821">
        <f t="shared" si="25"/>
        <v>0</v>
      </c>
      <c r="L258" s="2834"/>
    </row>
    <row r="259" spans="1:16" ht="30" customHeight="1" x14ac:dyDescent="0.2">
      <c r="A259" s="2876">
        <v>151</v>
      </c>
      <c r="B259" s="2874" t="s">
        <v>16</v>
      </c>
      <c r="C259" s="2847" t="s">
        <v>3390</v>
      </c>
      <c r="D259" s="2821">
        <v>180000000</v>
      </c>
      <c r="E259" s="2871">
        <v>0.05</v>
      </c>
      <c r="F259" s="2821">
        <f t="shared" si="24"/>
        <v>9000000</v>
      </c>
      <c r="G259" s="2821">
        <v>9000000</v>
      </c>
      <c r="H259" s="2821" t="s">
        <v>5205</v>
      </c>
      <c r="I259" s="21" t="s">
        <v>2149</v>
      </c>
      <c r="J259" s="2821">
        <f t="shared" si="26"/>
        <v>9000000</v>
      </c>
      <c r="K259" s="2821">
        <f t="shared" si="25"/>
        <v>0</v>
      </c>
      <c r="L259" s="2874"/>
    </row>
    <row r="260" spans="1:16" ht="30" customHeight="1" x14ac:dyDescent="0.2">
      <c r="A260" s="2876">
        <v>153</v>
      </c>
      <c r="B260" s="2874" t="s">
        <v>17</v>
      </c>
      <c r="C260" s="2847" t="s">
        <v>1299</v>
      </c>
      <c r="D260" s="2821">
        <v>30000000</v>
      </c>
      <c r="E260" s="2871">
        <v>0.05</v>
      </c>
      <c r="F260" s="2821">
        <f t="shared" si="24"/>
        <v>1500000</v>
      </c>
      <c r="G260" s="2821">
        <v>1500000</v>
      </c>
      <c r="H260" s="2821" t="s">
        <v>5214</v>
      </c>
      <c r="I260" s="21" t="s">
        <v>1143</v>
      </c>
      <c r="J260" s="2821">
        <f t="shared" si="26"/>
        <v>1500000</v>
      </c>
      <c r="K260" s="2821">
        <f t="shared" si="25"/>
        <v>0</v>
      </c>
      <c r="L260" s="2874"/>
    </row>
    <row r="261" spans="1:16" ht="30" customHeight="1" x14ac:dyDescent="0.2">
      <c r="A261" s="2876">
        <v>154</v>
      </c>
      <c r="B261" s="2874" t="s">
        <v>18</v>
      </c>
      <c r="C261" s="2847" t="s">
        <v>1796</v>
      </c>
      <c r="D261" s="2821">
        <v>15000000</v>
      </c>
      <c r="E261" s="2871">
        <v>7.0000000000000007E-2</v>
      </c>
      <c r="F261" s="2821">
        <f t="shared" si="24"/>
        <v>1050000</v>
      </c>
      <c r="G261" s="2821">
        <v>1050000</v>
      </c>
      <c r="H261" s="2821" t="s">
        <v>5229</v>
      </c>
      <c r="I261" s="21" t="s">
        <v>1278</v>
      </c>
      <c r="J261" s="2821">
        <f t="shared" si="26"/>
        <v>1050000</v>
      </c>
      <c r="K261" s="2821">
        <f t="shared" si="25"/>
        <v>0</v>
      </c>
      <c r="L261" s="2874"/>
    </row>
    <row r="262" spans="1:16" ht="30" customHeight="1" x14ac:dyDescent="0.2">
      <c r="A262" s="2876">
        <v>155</v>
      </c>
      <c r="B262" s="2874" t="s">
        <v>19</v>
      </c>
      <c r="C262" s="2847"/>
      <c r="D262" s="2838"/>
      <c r="E262" s="2521"/>
      <c r="F262" s="2838">
        <f t="shared" si="24"/>
        <v>0</v>
      </c>
      <c r="G262" s="2821"/>
      <c r="H262" s="2821"/>
      <c r="I262" s="21"/>
      <c r="J262" s="2821"/>
      <c r="K262" s="2838">
        <f t="shared" si="25"/>
        <v>0</v>
      </c>
      <c r="L262" s="2874"/>
    </row>
    <row r="263" spans="1:16" ht="30" customHeight="1" x14ac:dyDescent="0.2">
      <c r="A263" s="2825">
        <v>156</v>
      </c>
      <c r="B263" s="2869" t="s">
        <v>20</v>
      </c>
      <c r="C263" s="378"/>
      <c r="D263" s="2848">
        <v>50000000</v>
      </c>
      <c r="E263" s="2871">
        <v>0.04</v>
      </c>
      <c r="F263" s="2848">
        <f t="shared" si="24"/>
        <v>2000000</v>
      </c>
      <c r="G263" s="2821">
        <v>2000000</v>
      </c>
      <c r="H263" s="2821" t="s">
        <v>5045</v>
      </c>
      <c r="I263" s="18" t="s">
        <v>5122</v>
      </c>
      <c r="J263" s="2848">
        <f>G263</f>
        <v>2000000</v>
      </c>
      <c r="K263" s="2848">
        <f>F263-J263</f>
        <v>0</v>
      </c>
      <c r="L263" s="2834"/>
      <c r="M263" s="366"/>
      <c r="N263" s="366"/>
      <c r="O263" s="366"/>
      <c r="P263" s="366"/>
    </row>
    <row r="264" spans="1:16" ht="30" customHeight="1" x14ac:dyDescent="0.2">
      <c r="A264" s="2876">
        <v>157</v>
      </c>
      <c r="B264" s="2874" t="s">
        <v>21</v>
      </c>
      <c r="C264" s="2847" t="s">
        <v>1294</v>
      </c>
      <c r="D264" s="2821">
        <v>20000000</v>
      </c>
      <c r="E264" s="2823">
        <v>0.05</v>
      </c>
      <c r="F264" s="2821">
        <f t="shared" si="24"/>
        <v>1000000</v>
      </c>
      <c r="G264" s="2821">
        <v>1000000</v>
      </c>
      <c r="H264" s="2821" t="s">
        <v>5045</v>
      </c>
      <c r="I264" s="21" t="s">
        <v>4525</v>
      </c>
      <c r="J264" s="2821">
        <f>G264</f>
        <v>1000000</v>
      </c>
      <c r="K264" s="2821">
        <f>F264-J264</f>
        <v>0</v>
      </c>
      <c r="L264" s="2874"/>
      <c r="M264" s="366"/>
      <c r="N264" s="366"/>
      <c r="O264" s="366"/>
      <c r="P264" s="366"/>
    </row>
    <row r="265" spans="1:16" ht="30" customHeight="1" x14ac:dyDescent="0.2">
      <c r="A265" s="4459"/>
      <c r="B265" s="4457" t="s">
        <v>822</v>
      </c>
      <c r="C265" s="4537" t="s">
        <v>1306</v>
      </c>
      <c r="D265" s="2927">
        <v>160000000</v>
      </c>
      <c r="E265" s="897">
        <v>0.05</v>
      </c>
      <c r="F265" s="2927">
        <f>D265*E265</f>
        <v>8000000</v>
      </c>
      <c r="G265" s="4413">
        <v>10700000</v>
      </c>
      <c r="H265" s="4413" t="s">
        <v>5214</v>
      </c>
      <c r="I265" s="4413" t="s">
        <v>3129</v>
      </c>
      <c r="J265" s="4413">
        <f>G265</f>
        <v>10700000</v>
      </c>
      <c r="K265" s="4413">
        <f>(F265+F266)-J265</f>
        <v>0</v>
      </c>
      <c r="L265" s="233"/>
      <c r="M265" s="233"/>
      <c r="N265" s="233"/>
      <c r="O265" s="233"/>
      <c r="P265" s="233"/>
    </row>
    <row r="266" spans="1:16" ht="30" customHeight="1" x14ac:dyDescent="0.2">
      <c r="A266" s="4464"/>
      <c r="B266" s="4458"/>
      <c r="C266" s="4538"/>
      <c r="D266" s="2927">
        <f>22000000+9200000+13800000</f>
        <v>45000000</v>
      </c>
      <c r="E266" s="897">
        <v>0.06</v>
      </c>
      <c r="F266" s="2927">
        <f>D266*E266</f>
        <v>2700000</v>
      </c>
      <c r="G266" s="4415"/>
      <c r="H266" s="4415"/>
      <c r="I266" s="4415"/>
      <c r="J266" s="4415"/>
      <c r="K266" s="4415"/>
      <c r="L266" s="2874"/>
      <c r="M266" s="366"/>
      <c r="N266" s="366"/>
      <c r="O266" s="366"/>
      <c r="P266" s="366"/>
    </row>
    <row r="267" spans="1:16" ht="30" customHeight="1" x14ac:dyDescent="0.2">
      <c r="A267" s="2876">
        <v>159</v>
      </c>
      <c r="B267" s="2874" t="s">
        <v>22</v>
      </c>
      <c r="C267" s="2847" t="s">
        <v>1300</v>
      </c>
      <c r="D267" s="2821">
        <v>25000000</v>
      </c>
      <c r="E267" s="2871">
        <v>0.05</v>
      </c>
      <c r="F267" s="2821">
        <f t="shared" si="24"/>
        <v>1250000</v>
      </c>
      <c r="G267" s="2821">
        <v>1250000</v>
      </c>
      <c r="H267" s="2821" t="s">
        <v>4938</v>
      </c>
      <c r="I267" s="21" t="s">
        <v>2192</v>
      </c>
      <c r="J267" s="2821">
        <f t="shared" ref="J267:J270" si="27">G267</f>
        <v>1250000</v>
      </c>
      <c r="K267" s="2821">
        <f t="shared" ref="K267:K281" si="28">F267-J267</f>
        <v>0</v>
      </c>
      <c r="L267" s="388" t="s">
        <v>5262</v>
      </c>
      <c r="M267" s="366"/>
      <c r="N267" s="366"/>
      <c r="O267" s="366"/>
      <c r="P267" s="366"/>
    </row>
    <row r="268" spans="1:16" ht="30" customHeight="1" x14ac:dyDescent="0.2">
      <c r="A268" s="2876">
        <v>160</v>
      </c>
      <c r="B268" s="2874" t="s">
        <v>23</v>
      </c>
      <c r="C268" s="2847"/>
      <c r="D268" s="2821">
        <v>55000000</v>
      </c>
      <c r="E268" s="2871">
        <v>0.05</v>
      </c>
      <c r="F268" s="2821">
        <f t="shared" si="24"/>
        <v>2750000</v>
      </c>
      <c r="G268" s="2821"/>
      <c r="H268" s="2821"/>
      <c r="I268" s="21"/>
      <c r="J268" s="2821">
        <f t="shared" si="27"/>
        <v>0</v>
      </c>
      <c r="K268" s="2821">
        <f t="shared" si="28"/>
        <v>2750000</v>
      </c>
      <c r="L268" s="2874"/>
      <c r="M268" s="366"/>
      <c r="N268" s="366"/>
      <c r="O268" s="366"/>
      <c r="P268" s="366"/>
    </row>
    <row r="269" spans="1:16" ht="30" customHeight="1" x14ac:dyDescent="0.2">
      <c r="A269" s="2876">
        <v>161</v>
      </c>
      <c r="B269" s="2869" t="s">
        <v>24</v>
      </c>
      <c r="C269" s="2873" t="s">
        <v>1306</v>
      </c>
      <c r="D269" s="2821">
        <v>20000000</v>
      </c>
      <c r="E269" s="2871">
        <v>4.4999999999999998E-2</v>
      </c>
      <c r="F269" s="2821">
        <f t="shared" si="24"/>
        <v>900000</v>
      </c>
      <c r="G269" s="2821">
        <v>900000</v>
      </c>
      <c r="H269" s="2821" t="s">
        <v>5214</v>
      </c>
      <c r="I269" s="21" t="s">
        <v>721</v>
      </c>
      <c r="J269" s="2821">
        <f t="shared" si="27"/>
        <v>900000</v>
      </c>
      <c r="K269" s="2821">
        <f t="shared" si="28"/>
        <v>0</v>
      </c>
      <c r="L269" s="2874"/>
      <c r="M269" s="366"/>
      <c r="N269" s="366"/>
      <c r="O269" s="366"/>
      <c r="P269" s="366"/>
    </row>
    <row r="270" spans="1:16" ht="30" customHeight="1" x14ac:dyDescent="0.2">
      <c r="A270" s="2876">
        <v>162</v>
      </c>
      <c r="B270" s="2874" t="s">
        <v>25</v>
      </c>
      <c r="C270" s="2847" t="s">
        <v>1306</v>
      </c>
      <c r="D270" s="2821">
        <v>180000000</v>
      </c>
      <c r="E270" s="2871">
        <v>0.05</v>
      </c>
      <c r="F270" s="2821">
        <f t="shared" si="24"/>
        <v>9000000</v>
      </c>
      <c r="G270" s="2821">
        <v>9000000</v>
      </c>
      <c r="H270" s="2821" t="s">
        <v>5176</v>
      </c>
      <c r="I270" s="21" t="s">
        <v>4578</v>
      </c>
      <c r="J270" s="2821">
        <f t="shared" si="27"/>
        <v>9000000</v>
      </c>
      <c r="K270" s="2821">
        <f t="shared" si="28"/>
        <v>0</v>
      </c>
      <c r="L270" s="2874"/>
      <c r="M270" s="366"/>
      <c r="N270" s="366"/>
      <c r="O270" s="366"/>
      <c r="P270" s="366"/>
    </row>
    <row r="271" spans="1:16" ht="30" customHeight="1" x14ac:dyDescent="0.2">
      <c r="A271" s="4459">
        <v>163</v>
      </c>
      <c r="B271" s="4457" t="s">
        <v>828</v>
      </c>
      <c r="C271" s="4537" t="s">
        <v>1306</v>
      </c>
      <c r="D271" s="3271">
        <v>200000000</v>
      </c>
      <c r="E271" s="436">
        <v>0.06</v>
      </c>
      <c r="F271" s="3271">
        <f t="shared" si="24"/>
        <v>12000000</v>
      </c>
      <c r="G271" s="4413">
        <v>23900000</v>
      </c>
      <c r="H271" s="4413" t="s">
        <v>5214</v>
      </c>
      <c r="I271" s="4478" t="s">
        <v>3732</v>
      </c>
      <c r="J271" s="4413">
        <f>G271</f>
        <v>23900000</v>
      </c>
      <c r="K271" s="4413">
        <f>(F271+F272+F273)-J271</f>
        <v>-1400000</v>
      </c>
      <c r="L271" s="388" t="s">
        <v>4625</v>
      </c>
      <c r="M271" s="366"/>
      <c r="N271" s="366"/>
      <c r="O271" s="366"/>
      <c r="P271" s="366"/>
    </row>
    <row r="272" spans="1:16" ht="30" customHeight="1" x14ac:dyDescent="0.2">
      <c r="A272" s="4464"/>
      <c r="B272" s="4488"/>
      <c r="C272" s="4540"/>
      <c r="D272" s="3271">
        <v>50000000</v>
      </c>
      <c r="E272" s="436">
        <v>7.0000000000000007E-2</v>
      </c>
      <c r="F272" s="3271">
        <f t="shared" si="24"/>
        <v>3500000.0000000005</v>
      </c>
      <c r="G272" s="4414"/>
      <c r="H272" s="4414"/>
      <c r="I272" s="4520"/>
      <c r="J272" s="4414"/>
      <c r="K272" s="4414"/>
      <c r="L272" s="388" t="s">
        <v>4626</v>
      </c>
      <c r="M272" s="366"/>
      <c r="N272" s="366"/>
      <c r="O272" s="366"/>
      <c r="P272" s="366"/>
    </row>
    <row r="273" spans="1:16" ht="30" customHeight="1" x14ac:dyDescent="0.2">
      <c r="A273" s="4460"/>
      <c r="B273" s="4458"/>
      <c r="C273" s="4538"/>
      <c r="D273" s="3293">
        <v>100000000</v>
      </c>
      <c r="E273" s="436">
        <v>7.0000000000000007E-2</v>
      </c>
      <c r="F273" s="3293">
        <f t="shared" si="24"/>
        <v>7000000.0000000009</v>
      </c>
      <c r="G273" s="4415"/>
      <c r="H273" s="4415"/>
      <c r="I273" s="4479"/>
      <c r="J273" s="4415"/>
      <c r="K273" s="4415"/>
      <c r="L273" s="388" t="s">
        <v>5001</v>
      </c>
      <c r="M273" s="366"/>
      <c r="N273" s="366"/>
      <c r="O273" s="366"/>
      <c r="P273" s="366"/>
    </row>
    <row r="274" spans="1:16" ht="30" customHeight="1" x14ac:dyDescent="0.2">
      <c r="A274" s="2876">
        <v>164</v>
      </c>
      <c r="B274" s="2874" t="s">
        <v>26</v>
      </c>
      <c r="C274" s="2847" t="s">
        <v>1306</v>
      </c>
      <c r="D274" s="2821">
        <v>50000000</v>
      </c>
      <c r="E274" s="2871">
        <v>0.05</v>
      </c>
      <c r="F274" s="2821">
        <f t="shared" si="24"/>
        <v>2500000</v>
      </c>
      <c r="G274" s="2821">
        <v>2500000</v>
      </c>
      <c r="H274" s="2821" t="s">
        <v>5205</v>
      </c>
      <c r="I274" s="21" t="s">
        <v>741</v>
      </c>
      <c r="J274" s="2821">
        <f t="shared" ref="J274:J284" si="29">G274</f>
        <v>2500000</v>
      </c>
      <c r="K274" s="2821">
        <f t="shared" si="28"/>
        <v>0</v>
      </c>
      <c r="L274" s="2874"/>
      <c r="M274" s="366"/>
      <c r="N274" s="366"/>
      <c r="O274" s="366"/>
      <c r="P274" s="366"/>
    </row>
    <row r="275" spans="1:16" ht="30" customHeight="1" x14ac:dyDescent="0.2">
      <c r="A275" s="2876">
        <v>165</v>
      </c>
      <c r="B275" s="4962" t="s">
        <v>27</v>
      </c>
      <c r="C275" s="4964" t="s">
        <v>681</v>
      </c>
      <c r="D275" s="3429">
        <v>20000000</v>
      </c>
      <c r="E275" s="2551">
        <v>0.04</v>
      </c>
      <c r="F275" s="3429">
        <f t="shared" si="24"/>
        <v>800000</v>
      </c>
      <c r="G275" s="3429">
        <v>800000</v>
      </c>
      <c r="H275" s="3429" t="s">
        <v>5214</v>
      </c>
      <c r="I275" s="287" t="s">
        <v>3740</v>
      </c>
      <c r="J275" s="3429">
        <f t="shared" si="29"/>
        <v>800000</v>
      </c>
      <c r="K275" s="3429">
        <f t="shared" si="28"/>
        <v>0</v>
      </c>
      <c r="L275" s="2874"/>
      <c r="M275" s="366"/>
      <c r="N275" s="366"/>
      <c r="O275" s="366"/>
      <c r="P275" s="366"/>
    </row>
    <row r="276" spans="1:16" ht="30" customHeight="1" x14ac:dyDescent="0.2">
      <c r="A276" s="3413"/>
      <c r="B276" s="4963"/>
      <c r="C276" s="4965"/>
      <c r="D276" s="4978" t="s">
        <v>1983</v>
      </c>
      <c r="E276" s="4979"/>
      <c r="F276" s="4980"/>
      <c r="G276" s="3429">
        <v>20000000</v>
      </c>
      <c r="H276" s="3429" t="s">
        <v>5229</v>
      </c>
      <c r="I276" s="287" t="s">
        <v>4265</v>
      </c>
      <c r="J276" s="3429">
        <f t="shared" si="29"/>
        <v>20000000</v>
      </c>
      <c r="K276" s="3429"/>
      <c r="L276" s="3414"/>
      <c r="M276" s="366"/>
      <c r="N276" s="366"/>
      <c r="O276" s="366"/>
      <c r="P276" s="366"/>
    </row>
    <row r="277" spans="1:16" ht="30" customHeight="1" x14ac:dyDescent="0.2">
      <c r="A277" s="2876">
        <v>166</v>
      </c>
      <c r="B277" s="2874" t="s">
        <v>28</v>
      </c>
      <c r="C277" s="2847" t="s">
        <v>551</v>
      </c>
      <c r="D277" s="2821">
        <v>100000000</v>
      </c>
      <c r="E277" s="2871">
        <v>0.05</v>
      </c>
      <c r="F277" s="2821">
        <f t="shared" si="24"/>
        <v>5000000</v>
      </c>
      <c r="G277" s="2821">
        <v>5000000</v>
      </c>
      <c r="H277" s="2821" t="s">
        <v>5156</v>
      </c>
      <c r="I277" s="26" t="s">
        <v>4125</v>
      </c>
      <c r="J277" s="2821">
        <f t="shared" si="29"/>
        <v>5000000</v>
      </c>
      <c r="K277" s="2821">
        <f t="shared" si="28"/>
        <v>0</v>
      </c>
      <c r="L277" s="2874"/>
      <c r="M277" s="366"/>
      <c r="N277" s="366"/>
      <c r="O277" s="366"/>
      <c r="P277" s="366"/>
    </row>
    <row r="278" spans="1:16" ht="30" customHeight="1" x14ac:dyDescent="0.2">
      <c r="A278" s="2876">
        <v>167</v>
      </c>
      <c r="B278" s="2874" t="s">
        <v>737</v>
      </c>
      <c r="C278" s="2847" t="s">
        <v>1306</v>
      </c>
      <c r="D278" s="2821">
        <v>50000000</v>
      </c>
      <c r="E278" s="2871">
        <v>0.05</v>
      </c>
      <c r="F278" s="2821">
        <f t="shared" si="24"/>
        <v>2500000</v>
      </c>
      <c r="G278" s="2821">
        <v>2500000</v>
      </c>
      <c r="H278" s="2821" t="s">
        <v>5176</v>
      </c>
      <c r="I278" s="21" t="s">
        <v>739</v>
      </c>
      <c r="J278" s="2821">
        <f t="shared" si="29"/>
        <v>2500000</v>
      </c>
      <c r="K278" s="2821">
        <f t="shared" si="28"/>
        <v>0</v>
      </c>
      <c r="L278" s="2874"/>
      <c r="M278" s="366"/>
      <c r="N278" s="366"/>
      <c r="O278" s="366"/>
      <c r="P278" s="366"/>
    </row>
    <row r="279" spans="1:16" ht="30" customHeight="1" x14ac:dyDescent="0.2">
      <c r="A279" s="4459">
        <v>168</v>
      </c>
      <c r="B279" s="4457" t="s">
        <v>818</v>
      </c>
      <c r="C279" s="4537" t="s">
        <v>1306</v>
      </c>
      <c r="D279" s="2821">
        <v>50000000</v>
      </c>
      <c r="E279" s="2871">
        <v>7.0000000000000007E-2</v>
      </c>
      <c r="F279" s="2821">
        <f t="shared" si="24"/>
        <v>3500000.0000000005</v>
      </c>
      <c r="G279" s="2989">
        <v>50000000</v>
      </c>
      <c r="H279" s="2989" t="s">
        <v>4893</v>
      </c>
      <c r="I279" s="56" t="s">
        <v>4910</v>
      </c>
      <c r="J279" s="2989">
        <f>G279</f>
        <v>50000000</v>
      </c>
      <c r="K279" s="910">
        <f t="shared" si="28"/>
        <v>-46500000</v>
      </c>
      <c r="L279" s="388" t="s">
        <v>5218</v>
      </c>
      <c r="M279" s="366"/>
      <c r="N279" s="366"/>
      <c r="O279" s="366"/>
      <c r="P279" s="366"/>
    </row>
    <row r="280" spans="1:16" ht="30" customHeight="1" x14ac:dyDescent="0.2">
      <c r="A280" s="4460"/>
      <c r="B280" s="4458"/>
      <c r="C280" s="4538"/>
      <c r="D280" s="3007">
        <v>48000000</v>
      </c>
      <c r="E280" s="2995"/>
      <c r="F280" s="2982"/>
      <c r="G280" s="4301" t="s">
        <v>4858</v>
      </c>
      <c r="H280" s="4328"/>
      <c r="I280" s="4328"/>
      <c r="J280" s="4328"/>
      <c r="K280" s="4345"/>
      <c r="L280" s="388" t="s">
        <v>4859</v>
      </c>
      <c r="M280" s="366"/>
      <c r="N280" s="366"/>
      <c r="O280" s="366"/>
      <c r="P280" s="366"/>
    </row>
    <row r="281" spans="1:16" ht="30" customHeight="1" x14ac:dyDescent="0.2">
      <c r="A281" s="2888"/>
      <c r="B281" s="2869" t="s">
        <v>29</v>
      </c>
      <c r="C281" s="3296" t="s">
        <v>1107</v>
      </c>
      <c r="D281" s="2821">
        <v>20000000</v>
      </c>
      <c r="E281" s="2871">
        <v>0.05</v>
      </c>
      <c r="F281" s="2821">
        <f>D281*E281</f>
        <v>1000000</v>
      </c>
      <c r="G281" s="2821">
        <v>1000000</v>
      </c>
      <c r="H281" s="2821" t="s">
        <v>5230</v>
      </c>
      <c r="I281" s="2821" t="s">
        <v>848</v>
      </c>
      <c r="J281" s="2821">
        <f t="shared" si="29"/>
        <v>1000000</v>
      </c>
      <c r="K281" s="2821">
        <f t="shared" si="28"/>
        <v>0</v>
      </c>
      <c r="L281" s="4469"/>
      <c r="M281" s="4470"/>
      <c r="N281" s="4470"/>
      <c r="O281" s="4470"/>
      <c r="P281" s="4471"/>
    </row>
    <row r="282" spans="1:16" ht="30" customHeight="1" x14ac:dyDescent="0.2">
      <c r="A282" s="2876">
        <v>170</v>
      </c>
      <c r="B282" s="2874" t="s">
        <v>30</v>
      </c>
      <c r="C282" s="2847" t="s">
        <v>1107</v>
      </c>
      <c r="D282" s="2821">
        <v>70000000</v>
      </c>
      <c r="E282" s="2871">
        <v>0.05</v>
      </c>
      <c r="F282" s="2821">
        <f t="shared" si="24"/>
        <v>3500000</v>
      </c>
      <c r="G282" s="2821">
        <v>3500000</v>
      </c>
      <c r="H282" s="2821" t="s">
        <v>1491</v>
      </c>
      <c r="I282" s="21" t="s">
        <v>4140</v>
      </c>
      <c r="J282" s="2821">
        <f t="shared" si="29"/>
        <v>3500000</v>
      </c>
      <c r="K282" s="2821">
        <f>F282-J282</f>
        <v>0</v>
      </c>
      <c r="L282" s="2874"/>
      <c r="M282" s="366"/>
      <c r="N282" s="366"/>
      <c r="O282" s="366"/>
      <c r="P282" s="366"/>
    </row>
    <row r="283" spans="1:16" ht="30" customHeight="1" x14ac:dyDescent="0.2">
      <c r="A283" s="2876">
        <v>171</v>
      </c>
      <c r="B283" s="2874" t="s">
        <v>31</v>
      </c>
      <c r="C283" s="2847" t="s">
        <v>1293</v>
      </c>
      <c r="D283" s="2821">
        <v>10000000</v>
      </c>
      <c r="E283" s="2871">
        <v>0.04</v>
      </c>
      <c r="F283" s="2821">
        <f>D283*E283</f>
        <v>400000</v>
      </c>
      <c r="G283" s="2821">
        <v>400000</v>
      </c>
      <c r="H283" s="2821" t="s">
        <v>4877</v>
      </c>
      <c r="I283" s="21" t="s">
        <v>670</v>
      </c>
      <c r="J283" s="2821">
        <f t="shared" si="29"/>
        <v>400000</v>
      </c>
      <c r="K283" s="2821">
        <f>F283-J283</f>
        <v>0</v>
      </c>
      <c r="L283" s="2898"/>
    </row>
    <row r="284" spans="1:16" ht="30" customHeight="1" x14ac:dyDescent="0.2">
      <c r="A284" s="2825">
        <v>172</v>
      </c>
      <c r="B284" s="2869" t="s">
        <v>32</v>
      </c>
      <c r="C284" s="2873" t="s">
        <v>989</v>
      </c>
      <c r="D284" s="2821">
        <v>5000000</v>
      </c>
      <c r="E284" s="2871">
        <v>0.06</v>
      </c>
      <c r="F284" s="2821">
        <f t="shared" si="24"/>
        <v>300000</v>
      </c>
      <c r="G284" s="2821">
        <v>300000</v>
      </c>
      <c r="H284" s="2821" t="s">
        <v>5229</v>
      </c>
      <c r="I284" s="21" t="s">
        <v>632</v>
      </c>
      <c r="J284" s="2821">
        <f t="shared" si="29"/>
        <v>300000</v>
      </c>
      <c r="K284" s="2821">
        <f>F284-J284</f>
        <v>0</v>
      </c>
      <c r="L284" s="388"/>
    </row>
    <row r="285" spans="1:16" ht="30" customHeight="1" x14ac:dyDescent="0.2">
      <c r="A285" s="4459">
        <v>173</v>
      </c>
      <c r="B285" s="4457" t="s">
        <v>33</v>
      </c>
      <c r="C285" s="4537" t="s">
        <v>1306</v>
      </c>
      <c r="D285" s="4413">
        <v>50000000</v>
      </c>
      <c r="E285" s="4476">
        <v>0.05</v>
      </c>
      <c r="F285" s="4413">
        <f t="shared" si="24"/>
        <v>2500000</v>
      </c>
      <c r="G285" s="2821">
        <v>2000000</v>
      </c>
      <c r="H285" s="2821" t="s">
        <v>5265</v>
      </c>
      <c r="I285" s="21" t="s">
        <v>838</v>
      </c>
      <c r="J285" s="4413">
        <f>G285+G286</f>
        <v>2500000</v>
      </c>
      <c r="K285" s="4413">
        <f>F285-J285</f>
        <v>0</v>
      </c>
      <c r="L285" s="2874"/>
    </row>
    <row r="286" spans="1:16" ht="30" customHeight="1" x14ac:dyDescent="0.2">
      <c r="A286" s="4464"/>
      <c r="B286" s="4488"/>
      <c r="C286" s="4540"/>
      <c r="D286" s="4414"/>
      <c r="E286" s="4516"/>
      <c r="F286" s="4414"/>
      <c r="G286" s="3409">
        <v>500000</v>
      </c>
      <c r="H286" s="3409" t="s">
        <v>5230</v>
      </c>
      <c r="I286" s="3432" t="s">
        <v>838</v>
      </c>
      <c r="J286" s="4415"/>
      <c r="K286" s="4415"/>
      <c r="L286" s="3414"/>
    </row>
    <row r="287" spans="1:16" ht="30" customHeight="1" x14ac:dyDescent="0.2">
      <c r="A287" s="4460"/>
      <c r="B287" s="4458"/>
      <c r="C287" s="4538"/>
      <c r="D287" s="4415"/>
      <c r="E287" s="4477"/>
      <c r="F287" s="4415"/>
      <c r="G287" s="3409">
        <v>500000</v>
      </c>
      <c r="H287" s="3409" t="s">
        <v>1491</v>
      </c>
      <c r="I287" s="3432" t="s">
        <v>838</v>
      </c>
      <c r="J287" s="3409">
        <f>G287</f>
        <v>500000</v>
      </c>
      <c r="K287" s="3396"/>
      <c r="L287" s="388" t="s">
        <v>5276</v>
      </c>
    </row>
    <row r="288" spans="1:16" ht="30" customHeight="1" x14ac:dyDescent="0.2">
      <c r="A288" s="4459"/>
      <c r="B288" s="4457" t="s">
        <v>4268</v>
      </c>
      <c r="C288" s="4537" t="s">
        <v>1287</v>
      </c>
      <c r="D288" s="2992">
        <v>5730000000</v>
      </c>
      <c r="E288" s="2995">
        <v>0.08</v>
      </c>
      <c r="F288" s="2992">
        <f>D288*E288</f>
        <v>458400000</v>
      </c>
      <c r="G288" s="4469" t="s">
        <v>4892</v>
      </c>
      <c r="H288" s="4470"/>
      <c r="I288" s="4470"/>
      <c r="J288" s="4471"/>
      <c r="K288" s="233"/>
      <c r="L288" s="1662" t="s">
        <v>5121</v>
      </c>
    </row>
    <row r="289" spans="1:12" ht="30" customHeight="1" x14ac:dyDescent="0.2">
      <c r="A289" s="4460"/>
      <c r="B289" s="4458"/>
      <c r="C289" s="4538"/>
      <c r="D289" s="3404"/>
      <c r="E289" s="3405"/>
      <c r="F289" s="3404"/>
      <c r="G289" s="3435"/>
      <c r="H289" s="3436"/>
      <c r="I289" s="3416"/>
      <c r="J289" s="3437"/>
      <c r="K289" s="178"/>
      <c r="L289" s="1662" t="s">
        <v>5267</v>
      </c>
    </row>
    <row r="290" spans="1:12" ht="30" customHeight="1" x14ac:dyDescent="0.2">
      <c r="A290" s="2876">
        <v>175</v>
      </c>
      <c r="B290" s="2874" t="s">
        <v>36</v>
      </c>
      <c r="C290" s="2847" t="s">
        <v>1306</v>
      </c>
      <c r="D290" s="2821">
        <v>200000000</v>
      </c>
      <c r="E290" s="2823">
        <v>0.05</v>
      </c>
      <c r="F290" s="2821">
        <f t="shared" si="24"/>
        <v>10000000</v>
      </c>
      <c r="G290" s="3290">
        <v>10000000</v>
      </c>
      <c r="H290" s="3290" t="s">
        <v>5205</v>
      </c>
      <c r="I290" s="18" t="s">
        <v>3738</v>
      </c>
      <c r="J290" s="3290">
        <f>G290</f>
        <v>10000000</v>
      </c>
      <c r="K290" s="3409">
        <f t="shared" ref="K290:K295" si="30">F290-J290</f>
        <v>0</v>
      </c>
      <c r="L290" s="2874"/>
    </row>
    <row r="291" spans="1:12" ht="30" customHeight="1" x14ac:dyDescent="0.2">
      <c r="A291" s="2876">
        <v>176</v>
      </c>
      <c r="B291" s="2874" t="s">
        <v>37</v>
      </c>
      <c r="C291" s="2847" t="s">
        <v>1107</v>
      </c>
      <c r="D291" s="2821">
        <v>150000000</v>
      </c>
      <c r="E291" s="2871">
        <v>7.0000000000000007E-2</v>
      </c>
      <c r="F291" s="2821">
        <f t="shared" si="24"/>
        <v>10500000.000000002</v>
      </c>
      <c r="G291" s="2821">
        <v>10500000</v>
      </c>
      <c r="H291" s="2821" t="s">
        <v>5230</v>
      </c>
      <c r="I291" s="21" t="s">
        <v>3223</v>
      </c>
      <c r="J291" s="2821">
        <f t="shared" ref="J291:J297" si="31">G291</f>
        <v>10500000</v>
      </c>
      <c r="K291" s="2821">
        <f t="shared" si="30"/>
        <v>0</v>
      </c>
      <c r="L291" s="2874"/>
    </row>
    <row r="292" spans="1:12" ht="30" customHeight="1" x14ac:dyDescent="0.2">
      <c r="A292" s="2876">
        <v>177</v>
      </c>
      <c r="B292" s="2874" t="s">
        <v>5179</v>
      </c>
      <c r="C292" s="2847" t="s">
        <v>1299</v>
      </c>
      <c r="D292" s="2821">
        <v>25000000</v>
      </c>
      <c r="E292" s="2871">
        <v>0.04</v>
      </c>
      <c r="F292" s="2821">
        <f t="shared" si="24"/>
        <v>1000000</v>
      </c>
      <c r="G292" s="2821">
        <v>1000000</v>
      </c>
      <c r="H292" s="2821" t="s">
        <v>5176</v>
      </c>
      <c r="I292" s="18" t="s">
        <v>746</v>
      </c>
      <c r="J292" s="2821">
        <f t="shared" si="31"/>
        <v>1000000</v>
      </c>
      <c r="K292" s="2821">
        <f t="shared" si="30"/>
        <v>0</v>
      </c>
      <c r="L292" s="2874"/>
    </row>
    <row r="293" spans="1:12" ht="30" customHeight="1" x14ac:dyDescent="0.2">
      <c r="A293" s="2876">
        <v>178</v>
      </c>
      <c r="B293" s="2874" t="s">
        <v>39</v>
      </c>
      <c r="C293" s="2847" t="s">
        <v>1299</v>
      </c>
      <c r="D293" s="2821">
        <v>90000000</v>
      </c>
      <c r="E293" s="2871">
        <v>4.4999999999999998E-2</v>
      </c>
      <c r="F293" s="2821">
        <v>4000000</v>
      </c>
      <c r="G293" s="2821">
        <v>4000000</v>
      </c>
      <c r="H293" s="2821" t="s">
        <v>5214</v>
      </c>
      <c r="I293" s="21" t="s">
        <v>2164</v>
      </c>
      <c r="J293" s="2821">
        <f t="shared" si="31"/>
        <v>4000000</v>
      </c>
      <c r="K293" s="2821">
        <f t="shared" si="30"/>
        <v>0</v>
      </c>
      <c r="L293" s="2874"/>
    </row>
    <row r="294" spans="1:12" ht="30" customHeight="1" x14ac:dyDescent="0.2">
      <c r="A294" s="2887">
        <v>179</v>
      </c>
      <c r="B294" s="2869" t="s">
        <v>40</v>
      </c>
      <c r="C294" s="2846"/>
      <c r="D294" s="2820">
        <v>320000000</v>
      </c>
      <c r="E294" s="2822">
        <v>0.06</v>
      </c>
      <c r="F294" s="2820">
        <f t="shared" si="24"/>
        <v>19200000</v>
      </c>
      <c r="G294" s="2821">
        <v>19200000</v>
      </c>
      <c r="H294" s="2821" t="s">
        <v>5205</v>
      </c>
      <c r="I294" s="21" t="s">
        <v>1090</v>
      </c>
      <c r="J294" s="2820">
        <f t="shared" si="31"/>
        <v>19200000</v>
      </c>
      <c r="K294" s="2820">
        <f t="shared" si="30"/>
        <v>0</v>
      </c>
      <c r="L294" s="2843"/>
    </row>
    <row r="295" spans="1:12" ht="30" customHeight="1" x14ac:dyDescent="0.2">
      <c r="A295" s="2825">
        <v>180</v>
      </c>
      <c r="B295" s="19" t="s">
        <v>41</v>
      </c>
      <c r="C295" s="48" t="s">
        <v>2403</v>
      </c>
      <c r="D295" s="2848">
        <v>300000000</v>
      </c>
      <c r="E295" s="2871">
        <v>5.7000000000000002E-2</v>
      </c>
      <c r="F295" s="2848">
        <v>17000000</v>
      </c>
      <c r="G295" s="2848">
        <v>17000000</v>
      </c>
      <c r="H295" s="2848" t="s">
        <v>5214</v>
      </c>
      <c r="I295" s="2868" t="s">
        <v>2260</v>
      </c>
      <c r="J295" s="2848">
        <f t="shared" si="31"/>
        <v>17000000</v>
      </c>
      <c r="K295" s="2848">
        <f t="shared" si="30"/>
        <v>0</v>
      </c>
      <c r="L295" s="2883"/>
    </row>
    <row r="296" spans="1:12" ht="30" customHeight="1" x14ac:dyDescent="0.2">
      <c r="A296" s="2876">
        <v>181</v>
      </c>
      <c r="B296" s="2829" t="s">
        <v>42</v>
      </c>
      <c r="C296" s="2847" t="s">
        <v>989</v>
      </c>
      <c r="D296" s="2821">
        <v>50000000</v>
      </c>
      <c r="E296" s="2823">
        <v>0.05</v>
      </c>
      <c r="F296" s="2821">
        <f t="shared" si="24"/>
        <v>2500000</v>
      </c>
      <c r="G296" s="2821">
        <v>2500000</v>
      </c>
      <c r="H296" s="2821" t="s">
        <v>1491</v>
      </c>
      <c r="I296" s="21" t="s">
        <v>1076</v>
      </c>
      <c r="J296" s="2821">
        <f t="shared" si="31"/>
        <v>2500000</v>
      </c>
      <c r="K296" s="2821">
        <f>F296-J296</f>
        <v>0</v>
      </c>
      <c r="L296" s="2829"/>
    </row>
    <row r="297" spans="1:12" ht="30" customHeight="1" x14ac:dyDescent="0.2">
      <c r="A297" s="4464"/>
      <c r="B297" s="4457" t="s">
        <v>43</v>
      </c>
      <c r="C297" s="4537" t="s">
        <v>989</v>
      </c>
      <c r="D297" s="4413">
        <v>125000000</v>
      </c>
      <c r="E297" s="4476">
        <v>0.05</v>
      </c>
      <c r="F297" s="4413">
        <f>D297*E297</f>
        <v>6250000</v>
      </c>
      <c r="G297" s="4413">
        <v>6250000</v>
      </c>
      <c r="H297" s="4413" t="s">
        <v>5018</v>
      </c>
      <c r="I297" s="4413" t="s">
        <v>3716</v>
      </c>
      <c r="J297" s="4413">
        <f t="shared" si="31"/>
        <v>6250000</v>
      </c>
      <c r="K297" s="4413">
        <f>F297-J297</f>
        <v>0</v>
      </c>
      <c r="L297" s="3203"/>
    </row>
    <row r="298" spans="1:12" ht="30" customHeight="1" x14ac:dyDescent="0.2">
      <c r="A298" s="4460"/>
      <c r="B298" s="4458"/>
      <c r="C298" s="4538"/>
      <c r="D298" s="4415"/>
      <c r="E298" s="4477"/>
      <c r="F298" s="4415"/>
      <c r="G298" s="4415"/>
      <c r="H298" s="4415"/>
      <c r="I298" s="4415"/>
      <c r="J298" s="4415"/>
      <c r="K298" s="4415"/>
      <c r="L298" s="3204"/>
    </row>
    <row r="299" spans="1:12" ht="30" customHeight="1" x14ac:dyDescent="0.2">
      <c r="A299" s="4459">
        <v>183</v>
      </c>
      <c r="B299" s="4457" t="s">
        <v>4150</v>
      </c>
      <c r="C299" s="4537" t="s">
        <v>1100</v>
      </c>
      <c r="D299" s="2914">
        <v>100000000</v>
      </c>
      <c r="E299" s="2916">
        <v>0.05</v>
      </c>
      <c r="F299" s="2914">
        <f t="shared" si="24"/>
        <v>5000000</v>
      </c>
      <c r="G299" s="2914">
        <v>4700000</v>
      </c>
      <c r="H299" s="2914" t="s">
        <v>5108</v>
      </c>
      <c r="I299" s="21" t="s">
        <v>4776</v>
      </c>
      <c r="J299" s="2821">
        <f t="shared" ref="J299:J309" si="32">G299</f>
        <v>4700000</v>
      </c>
      <c r="K299" s="2821">
        <f t="shared" ref="K299:K304" si="33">F299-J299</f>
        <v>300000</v>
      </c>
      <c r="L299" s="2015"/>
    </row>
    <row r="300" spans="1:12" ht="30" customHeight="1" x14ac:dyDescent="0.2">
      <c r="A300" s="4464"/>
      <c r="B300" s="4488"/>
      <c r="C300" s="4540"/>
      <c r="D300" s="4303" t="s">
        <v>5236</v>
      </c>
      <c r="E300" s="4324"/>
      <c r="F300" s="4355"/>
      <c r="G300" s="3352">
        <v>50000000</v>
      </c>
      <c r="H300" s="3352" t="s">
        <v>5214</v>
      </c>
      <c r="I300" s="3364" t="s">
        <v>5237</v>
      </c>
      <c r="J300" s="3352">
        <f>G300</f>
        <v>50000000</v>
      </c>
      <c r="K300" s="3352"/>
      <c r="L300" s="2015" t="s">
        <v>5238</v>
      </c>
    </row>
    <row r="301" spans="1:12" ht="30" customHeight="1" x14ac:dyDescent="0.2">
      <c r="A301" s="4460"/>
      <c r="B301" s="4458"/>
      <c r="C301" s="4538"/>
      <c r="D301" s="3350">
        <v>50000000</v>
      </c>
      <c r="E301" s="436">
        <v>0.05</v>
      </c>
      <c r="F301" s="3350">
        <f>D301*E301</f>
        <v>2500000</v>
      </c>
      <c r="G301" s="3352"/>
      <c r="H301" s="3352"/>
      <c r="I301" s="3364"/>
      <c r="J301" s="3352"/>
      <c r="K301" s="3352"/>
      <c r="L301" s="2015"/>
    </row>
    <row r="302" spans="1:12" ht="30" customHeight="1" x14ac:dyDescent="0.2">
      <c r="A302" s="2876">
        <v>184</v>
      </c>
      <c r="B302" s="2874" t="s">
        <v>45</v>
      </c>
      <c r="C302" s="2847" t="s">
        <v>989</v>
      </c>
      <c r="D302" s="2821">
        <v>20000000</v>
      </c>
      <c r="E302" s="2906">
        <v>0.05</v>
      </c>
      <c r="F302" s="2821">
        <f t="shared" si="24"/>
        <v>1000000</v>
      </c>
      <c r="G302" s="2821">
        <v>1000000</v>
      </c>
      <c r="H302" s="2821" t="s">
        <v>5230</v>
      </c>
      <c r="I302" s="21" t="s">
        <v>1094</v>
      </c>
      <c r="J302" s="2821">
        <f t="shared" si="32"/>
        <v>1000000</v>
      </c>
      <c r="K302" s="2821">
        <f t="shared" si="33"/>
        <v>0</v>
      </c>
      <c r="L302" s="2874"/>
    </row>
    <row r="303" spans="1:12" ht="30" customHeight="1" x14ac:dyDescent="0.2">
      <c r="A303" s="2876">
        <v>186</v>
      </c>
      <c r="B303" s="2874" t="s">
        <v>47</v>
      </c>
      <c r="C303" s="2847" t="s">
        <v>1107</v>
      </c>
      <c r="D303" s="2821">
        <v>8000000</v>
      </c>
      <c r="E303" s="2871">
        <v>0.04</v>
      </c>
      <c r="F303" s="2821">
        <f t="shared" si="24"/>
        <v>320000</v>
      </c>
      <c r="G303" s="2821">
        <v>320000</v>
      </c>
      <c r="H303" s="2821" t="s">
        <v>1491</v>
      </c>
      <c r="I303" s="21" t="s">
        <v>5278</v>
      </c>
      <c r="J303" s="2821">
        <f t="shared" si="32"/>
        <v>320000</v>
      </c>
      <c r="K303" s="2821">
        <f t="shared" si="33"/>
        <v>0</v>
      </c>
      <c r="L303" s="2874"/>
    </row>
    <row r="304" spans="1:12" ht="30" customHeight="1" x14ac:dyDescent="0.2">
      <c r="A304" s="4459">
        <v>187</v>
      </c>
      <c r="B304" s="4457" t="s">
        <v>2470</v>
      </c>
      <c r="C304" s="4537" t="s">
        <v>1138</v>
      </c>
      <c r="D304" s="4413">
        <v>200000000</v>
      </c>
      <c r="E304" s="4476">
        <v>0.05</v>
      </c>
      <c r="F304" s="4413">
        <f t="shared" si="24"/>
        <v>10000000</v>
      </c>
      <c r="G304" s="2821">
        <v>10000000</v>
      </c>
      <c r="H304" s="2821" t="s">
        <v>4841</v>
      </c>
      <c r="I304" s="21" t="s">
        <v>3331</v>
      </c>
      <c r="J304" s="2821">
        <f t="shared" si="32"/>
        <v>10000000</v>
      </c>
      <c r="K304" s="2821">
        <f t="shared" si="33"/>
        <v>0</v>
      </c>
      <c r="L304" s="2898" t="s">
        <v>4782</v>
      </c>
    </row>
    <row r="305" spans="1:12" ht="30" customHeight="1" x14ac:dyDescent="0.2">
      <c r="A305" s="4460"/>
      <c r="B305" s="4458"/>
      <c r="C305" s="4538"/>
      <c r="D305" s="4415"/>
      <c r="E305" s="4477"/>
      <c r="F305" s="4415"/>
      <c r="G305" s="3444">
        <v>10000000</v>
      </c>
      <c r="H305" s="3444" t="s">
        <v>5108</v>
      </c>
      <c r="I305" s="3475" t="s">
        <v>3331</v>
      </c>
      <c r="J305" s="3444">
        <f t="shared" si="32"/>
        <v>10000000</v>
      </c>
      <c r="K305" s="3445">
        <f>F304-J305</f>
        <v>0</v>
      </c>
      <c r="L305" s="3474" t="s">
        <v>5318</v>
      </c>
    </row>
    <row r="306" spans="1:12" ht="30" customHeight="1" x14ac:dyDescent="0.2">
      <c r="A306" s="4459">
        <v>188</v>
      </c>
      <c r="B306" s="4457" t="s">
        <v>49</v>
      </c>
      <c r="C306" s="4537" t="s">
        <v>1107</v>
      </c>
      <c r="D306" s="2821">
        <v>200000000</v>
      </c>
      <c r="E306" s="2823">
        <v>0.05</v>
      </c>
      <c r="F306" s="2821">
        <f t="shared" si="24"/>
        <v>10000000</v>
      </c>
      <c r="G306" s="4413">
        <v>25000000</v>
      </c>
      <c r="H306" s="4413" t="s">
        <v>5107</v>
      </c>
      <c r="I306" s="4478" t="s">
        <v>5228</v>
      </c>
      <c r="J306" s="4413">
        <f t="shared" si="32"/>
        <v>25000000</v>
      </c>
      <c r="K306" s="4413">
        <f>F307-J306</f>
        <v>0</v>
      </c>
      <c r="L306" s="1662" t="s">
        <v>5227</v>
      </c>
    </row>
    <row r="307" spans="1:12" ht="30" customHeight="1" x14ac:dyDescent="0.2">
      <c r="A307" s="4464"/>
      <c r="B307" s="4488"/>
      <c r="C307" s="4540"/>
      <c r="D307" s="4872">
        <v>500000000</v>
      </c>
      <c r="E307" s="4874">
        <v>0.05</v>
      </c>
      <c r="F307" s="4872">
        <f>D307*E307</f>
        <v>25000000</v>
      </c>
      <c r="G307" s="4414"/>
      <c r="H307" s="4414"/>
      <c r="I307" s="4520"/>
      <c r="J307" s="4414"/>
      <c r="K307" s="4414"/>
      <c r="L307" s="764" t="s">
        <v>5250</v>
      </c>
    </row>
    <row r="308" spans="1:12" ht="30" customHeight="1" x14ac:dyDescent="0.2">
      <c r="A308" s="4460"/>
      <c r="B308" s="4458"/>
      <c r="C308" s="4538"/>
      <c r="D308" s="4873"/>
      <c r="E308" s="4875"/>
      <c r="F308" s="4873"/>
      <c r="G308" s="4415"/>
      <c r="H308" s="4415"/>
      <c r="I308" s="4479"/>
      <c r="J308" s="4415"/>
      <c r="K308" s="4415"/>
      <c r="L308" s="523" t="s">
        <v>5251</v>
      </c>
    </row>
    <row r="309" spans="1:12" ht="30" customHeight="1" x14ac:dyDescent="0.2">
      <c r="A309" s="4459">
        <v>190</v>
      </c>
      <c r="B309" s="4457" t="s">
        <v>51</v>
      </c>
      <c r="C309" s="2847" t="s">
        <v>1100</v>
      </c>
      <c r="D309" s="2821">
        <v>80000000</v>
      </c>
      <c r="E309" s="2871">
        <v>0.05</v>
      </c>
      <c r="F309" s="2821">
        <f t="shared" si="24"/>
        <v>4000000</v>
      </c>
      <c r="G309" s="4413">
        <v>14000000</v>
      </c>
      <c r="H309" s="4413" t="s">
        <v>5229</v>
      </c>
      <c r="I309" s="4478" t="s">
        <v>2967</v>
      </c>
      <c r="J309" s="4413">
        <f t="shared" si="32"/>
        <v>14000000</v>
      </c>
      <c r="K309" s="4413">
        <f>(F309+F310)-J309</f>
        <v>0</v>
      </c>
      <c r="L309" s="4599"/>
    </row>
    <row r="310" spans="1:12" ht="30" customHeight="1" x14ac:dyDescent="0.2">
      <c r="A310" s="4464"/>
      <c r="B310" s="4488"/>
      <c r="C310" s="2847" t="s">
        <v>1100</v>
      </c>
      <c r="D310" s="2821">
        <v>200000000</v>
      </c>
      <c r="E310" s="2871">
        <v>0.05</v>
      </c>
      <c r="F310" s="2821">
        <f t="shared" si="24"/>
        <v>10000000</v>
      </c>
      <c r="G310" s="4415"/>
      <c r="H310" s="4415"/>
      <c r="I310" s="4479"/>
      <c r="J310" s="4415"/>
      <c r="K310" s="4415"/>
      <c r="L310" s="4607"/>
    </row>
    <row r="311" spans="1:12" ht="30" customHeight="1" x14ac:dyDescent="0.2">
      <c r="A311" s="4460"/>
      <c r="B311" s="4458"/>
      <c r="C311" s="2849" t="s">
        <v>262</v>
      </c>
      <c r="D311" s="2831">
        <v>220000000</v>
      </c>
      <c r="E311" s="2822">
        <v>0.05</v>
      </c>
      <c r="F311" s="2831">
        <f t="shared" si="24"/>
        <v>11000000</v>
      </c>
      <c r="G311" s="2821">
        <v>11000000</v>
      </c>
      <c r="H311" s="2821" t="s">
        <v>4938</v>
      </c>
      <c r="I311" s="21" t="s">
        <v>2967</v>
      </c>
      <c r="J311" s="2831">
        <f>G311</f>
        <v>11000000</v>
      </c>
      <c r="K311" s="2831">
        <f>F311-J311</f>
        <v>0</v>
      </c>
      <c r="L311" s="2864"/>
    </row>
    <row r="312" spans="1:12" ht="30" customHeight="1" x14ac:dyDescent="0.2">
      <c r="A312" s="1029">
        <v>191</v>
      </c>
      <c r="B312" s="3055" t="s">
        <v>52</v>
      </c>
      <c r="C312" s="3054" t="s">
        <v>262</v>
      </c>
      <c r="D312" s="3050">
        <v>700000000</v>
      </c>
      <c r="E312" s="3053">
        <v>7.6999999999999999E-2</v>
      </c>
      <c r="F312" s="3050">
        <v>54000000</v>
      </c>
      <c r="G312" s="3050">
        <v>54000000</v>
      </c>
      <c r="H312" s="3050" t="s">
        <v>4961</v>
      </c>
      <c r="I312" s="3052" t="s">
        <v>678</v>
      </c>
      <c r="J312" s="3050">
        <f>G312</f>
        <v>54000000</v>
      </c>
      <c r="K312" s="3050">
        <f>F312-J312</f>
        <v>0</v>
      </c>
      <c r="L312" s="2860"/>
    </row>
    <row r="313" spans="1:12" ht="30" customHeight="1" x14ac:dyDescent="0.2">
      <c r="A313" s="4459">
        <v>192</v>
      </c>
      <c r="B313" s="4457" t="s">
        <v>53</v>
      </c>
      <c r="C313" s="4620" t="s">
        <v>1287</v>
      </c>
      <c r="D313" s="4322">
        <v>1400000000</v>
      </c>
      <c r="E313" s="4608">
        <v>7.0000000000000007E-2</v>
      </c>
      <c r="F313" s="4322">
        <f>D313*E313</f>
        <v>98000000.000000015</v>
      </c>
      <c r="G313" s="3145">
        <v>43000000</v>
      </c>
      <c r="H313" s="4303" t="s">
        <v>5047</v>
      </c>
      <c r="I313" s="4355"/>
      <c r="J313" s="4413">
        <f>G313+G314+G315</f>
        <v>98000000</v>
      </c>
      <c r="K313" s="4413">
        <f>F313-J313</f>
        <v>0</v>
      </c>
      <c r="L313" s="3151"/>
    </row>
    <row r="314" spans="1:12" ht="30" customHeight="1" x14ac:dyDescent="0.2">
      <c r="A314" s="4464"/>
      <c r="B314" s="4488"/>
      <c r="C314" s="4620"/>
      <c r="D314" s="4322"/>
      <c r="E314" s="4608"/>
      <c r="F314" s="4322"/>
      <c r="G314" s="2848">
        <v>15000000</v>
      </c>
      <c r="H314" s="2848" t="s">
        <v>4941</v>
      </c>
      <c r="I314" s="2848" t="s">
        <v>861</v>
      </c>
      <c r="J314" s="4414"/>
      <c r="K314" s="4414"/>
      <c r="L314" s="180"/>
    </row>
    <row r="315" spans="1:12" ht="30" customHeight="1" x14ac:dyDescent="0.2">
      <c r="A315" s="4464"/>
      <c r="B315" s="4488"/>
      <c r="C315" s="4715" t="s">
        <v>5049</v>
      </c>
      <c r="D315" s="4716"/>
      <c r="E315" s="4716"/>
      <c r="F315" s="4717"/>
      <c r="G315" s="2848">
        <v>40000000</v>
      </c>
      <c r="H315" s="4413" t="s">
        <v>5018</v>
      </c>
      <c r="I315" s="4413" t="s">
        <v>861</v>
      </c>
      <c r="J315" s="4415"/>
      <c r="K315" s="4415"/>
      <c r="L315" s="180"/>
    </row>
    <row r="316" spans="1:12" ht="30" customHeight="1" x14ac:dyDescent="0.2">
      <c r="A316" s="4464"/>
      <c r="B316" s="4488"/>
      <c r="C316" s="4718"/>
      <c r="D316" s="4719"/>
      <c r="E316" s="4719"/>
      <c r="F316" s="4720"/>
      <c r="G316" s="2848">
        <v>60000000</v>
      </c>
      <c r="H316" s="4415"/>
      <c r="I316" s="4415"/>
      <c r="J316" s="4413">
        <f>G316+G317+G318</f>
        <v>160500000</v>
      </c>
      <c r="K316" s="4413">
        <v>0</v>
      </c>
      <c r="L316" s="180"/>
    </row>
    <row r="317" spans="1:12" ht="30" customHeight="1" x14ac:dyDescent="0.2">
      <c r="A317" s="4464"/>
      <c r="B317" s="4488"/>
      <c r="C317" s="4718"/>
      <c r="D317" s="4719"/>
      <c r="E317" s="4719"/>
      <c r="F317" s="4720"/>
      <c r="G317" s="3145">
        <v>38500000</v>
      </c>
      <c r="H317" s="3136" t="s">
        <v>5045</v>
      </c>
      <c r="I317" s="3136" t="s">
        <v>861</v>
      </c>
      <c r="J317" s="4414"/>
      <c r="K317" s="4414"/>
      <c r="L317" s="180"/>
    </row>
    <row r="318" spans="1:12" ht="30" customHeight="1" x14ac:dyDescent="0.2">
      <c r="A318" s="4460"/>
      <c r="B318" s="4458"/>
      <c r="C318" s="4721"/>
      <c r="D318" s="4722"/>
      <c r="E318" s="4722"/>
      <c r="F318" s="4723"/>
      <c r="G318" s="2848">
        <v>62000000</v>
      </c>
      <c r="H318" s="2848" t="s">
        <v>5156</v>
      </c>
      <c r="I318" s="2848" t="s">
        <v>4555</v>
      </c>
      <c r="J318" s="4415"/>
      <c r="K318" s="4415"/>
      <c r="L318" s="180"/>
    </row>
    <row r="319" spans="1:12" ht="30" customHeight="1" x14ac:dyDescent="0.2">
      <c r="A319" s="2876">
        <v>193</v>
      </c>
      <c r="B319" s="2829" t="s">
        <v>54</v>
      </c>
      <c r="C319" s="2847" t="s">
        <v>1306</v>
      </c>
      <c r="D319" s="2821">
        <v>45000000</v>
      </c>
      <c r="E319" s="2823">
        <v>0.04</v>
      </c>
      <c r="F319" s="2821">
        <f t="shared" ref="F319:F422" si="34">D319*E319</f>
        <v>1800000</v>
      </c>
      <c r="G319" s="2821">
        <v>1800000</v>
      </c>
      <c r="H319" s="2821" t="s">
        <v>5230</v>
      </c>
      <c r="I319" s="2848" t="s">
        <v>4138</v>
      </c>
      <c r="J319" s="2821">
        <f t="shared" ref="J319:J338" si="35">G319</f>
        <v>1800000</v>
      </c>
      <c r="K319" s="2821">
        <f t="shared" ref="K319:K337" si="36">F319-J319</f>
        <v>0</v>
      </c>
      <c r="L319" s="2874"/>
    </row>
    <row r="320" spans="1:12" ht="30" customHeight="1" x14ac:dyDescent="0.2">
      <c r="A320" s="4459">
        <v>194</v>
      </c>
      <c r="B320" s="4457" t="s">
        <v>55</v>
      </c>
      <c r="C320" s="4537" t="s">
        <v>1287</v>
      </c>
      <c r="D320" s="3050">
        <v>130000000</v>
      </c>
      <c r="E320" s="1028">
        <v>0.05</v>
      </c>
      <c r="F320" s="3050">
        <f t="shared" si="34"/>
        <v>6500000</v>
      </c>
      <c r="G320" s="4907" t="s">
        <v>4959</v>
      </c>
      <c r="H320" s="4908"/>
      <c r="I320" s="4908"/>
      <c r="J320" s="4909"/>
      <c r="K320" s="3050">
        <f t="shared" si="36"/>
        <v>6500000</v>
      </c>
      <c r="L320" s="3383" t="s">
        <v>4960</v>
      </c>
    </row>
    <row r="321" spans="1:16" ht="30" customHeight="1" x14ac:dyDescent="0.2">
      <c r="A321" s="4464"/>
      <c r="B321" s="4488"/>
      <c r="C321" s="4540"/>
      <c r="D321" s="3047">
        <v>6500000</v>
      </c>
      <c r="E321" s="3083">
        <v>0.05</v>
      </c>
      <c r="F321" s="3047">
        <f>D321*E321</f>
        <v>325000</v>
      </c>
      <c r="G321" s="4913"/>
      <c r="H321" s="4914"/>
      <c r="I321" s="4914"/>
      <c r="J321" s="4915"/>
      <c r="K321" s="3047"/>
      <c r="L321" s="3049"/>
    </row>
    <row r="322" spans="1:16" ht="30" customHeight="1" x14ac:dyDescent="0.2">
      <c r="A322" s="4464"/>
      <c r="B322" s="4488"/>
      <c r="C322" s="4540"/>
      <c r="D322" s="3047">
        <v>10000000</v>
      </c>
      <c r="E322" s="3083">
        <v>0.05</v>
      </c>
      <c r="F322" s="3047">
        <f>D322*E322</f>
        <v>500000</v>
      </c>
      <c r="G322" s="4469" t="s">
        <v>4958</v>
      </c>
      <c r="H322" s="4470"/>
      <c r="I322" s="4470"/>
      <c r="J322" s="4471"/>
      <c r="K322" s="3047"/>
      <c r="L322" s="3049"/>
    </row>
    <row r="323" spans="1:16" ht="30" customHeight="1" x14ac:dyDescent="0.2">
      <c r="A323" s="4464"/>
      <c r="B323" s="4488"/>
      <c r="C323" s="4540"/>
      <c r="D323" s="3136">
        <v>13500000</v>
      </c>
      <c r="E323" s="3083">
        <v>0.05</v>
      </c>
      <c r="F323" s="3136">
        <f>D323*E323</f>
        <v>675000</v>
      </c>
      <c r="G323" s="4469" t="s">
        <v>5256</v>
      </c>
      <c r="H323" s="4470"/>
      <c r="I323" s="4470"/>
      <c r="J323" s="4471"/>
      <c r="K323" s="3136"/>
      <c r="L323" s="3143"/>
    </row>
    <row r="324" spans="1:16" ht="30" customHeight="1" x14ac:dyDescent="0.2">
      <c r="A324" s="4460"/>
      <c r="B324" s="4458"/>
      <c r="C324" s="4538"/>
      <c r="D324" s="1543">
        <f>SUM(D320:D323)</f>
        <v>160000000</v>
      </c>
      <c r="E324" s="3084">
        <v>0.05</v>
      </c>
      <c r="F324" s="1543">
        <f>D324*E324</f>
        <v>8000000</v>
      </c>
      <c r="G324" s="4469" t="s">
        <v>5257</v>
      </c>
      <c r="H324" s="4470"/>
      <c r="I324" s="4470"/>
      <c r="J324" s="4471"/>
      <c r="K324" s="3047"/>
      <c r="L324" s="3057"/>
    </row>
    <row r="325" spans="1:16" ht="30" customHeight="1" x14ac:dyDescent="0.2">
      <c r="A325" s="2876">
        <v>195</v>
      </c>
      <c r="B325" s="2829" t="s">
        <v>56</v>
      </c>
      <c r="C325" s="2847" t="s">
        <v>990</v>
      </c>
      <c r="D325" s="2821">
        <v>10000000</v>
      </c>
      <c r="E325" s="2823">
        <v>0.05</v>
      </c>
      <c r="F325" s="2821">
        <f t="shared" si="34"/>
        <v>500000</v>
      </c>
      <c r="G325" s="2821">
        <v>500000</v>
      </c>
      <c r="H325" s="2821" t="s">
        <v>5229</v>
      </c>
      <c r="I325" s="21" t="s">
        <v>1121</v>
      </c>
      <c r="J325" s="2821">
        <f t="shared" si="35"/>
        <v>500000</v>
      </c>
      <c r="K325" s="2821">
        <f t="shared" si="36"/>
        <v>0</v>
      </c>
      <c r="L325" s="2874"/>
    </row>
    <row r="326" spans="1:16" ht="30" customHeight="1" x14ac:dyDescent="0.2">
      <c r="A326" s="4459">
        <v>196</v>
      </c>
      <c r="B326" s="4457" t="s">
        <v>57</v>
      </c>
      <c r="C326" s="4537" t="s">
        <v>1107</v>
      </c>
      <c r="D326" s="2821">
        <v>20000000</v>
      </c>
      <c r="E326" s="2871">
        <v>0.04</v>
      </c>
      <c r="F326" s="2821">
        <f t="shared" si="34"/>
        <v>800000</v>
      </c>
      <c r="G326" s="4413">
        <v>2300000</v>
      </c>
      <c r="H326" s="4413" t="s">
        <v>1491</v>
      </c>
      <c r="I326" s="4478" t="s">
        <v>3761</v>
      </c>
      <c r="J326" s="4413">
        <f t="shared" si="35"/>
        <v>2300000</v>
      </c>
      <c r="K326" s="4413">
        <f>(F326+F327)-J326</f>
        <v>0</v>
      </c>
      <c r="L326" s="4827"/>
    </row>
    <row r="327" spans="1:16" ht="30" customHeight="1" x14ac:dyDescent="0.2">
      <c r="A327" s="4464"/>
      <c r="B327" s="4488"/>
      <c r="C327" s="4538"/>
      <c r="D327" s="2821">
        <v>30000000</v>
      </c>
      <c r="E327" s="2871">
        <v>0.05</v>
      </c>
      <c r="F327" s="2821">
        <f t="shared" si="34"/>
        <v>1500000</v>
      </c>
      <c r="G327" s="4415"/>
      <c r="H327" s="4415"/>
      <c r="I327" s="4479"/>
      <c r="J327" s="4415"/>
      <c r="K327" s="4415"/>
      <c r="L327" s="4827"/>
    </row>
    <row r="328" spans="1:16" ht="30" customHeight="1" x14ac:dyDescent="0.2">
      <c r="A328" s="4459">
        <v>197</v>
      </c>
      <c r="B328" s="4615" t="s">
        <v>4153</v>
      </c>
      <c r="C328" s="4537" t="s">
        <v>1134</v>
      </c>
      <c r="D328" s="2848">
        <v>100000000</v>
      </c>
      <c r="E328" s="2871">
        <v>0.05</v>
      </c>
      <c r="F328" s="2848">
        <f t="shared" si="34"/>
        <v>5000000</v>
      </c>
      <c r="G328" s="4413">
        <v>12000000</v>
      </c>
      <c r="H328" s="4413" t="s">
        <v>5230</v>
      </c>
      <c r="I328" s="4413" t="s">
        <v>4154</v>
      </c>
      <c r="J328" s="4413">
        <f t="shared" si="35"/>
        <v>12000000</v>
      </c>
      <c r="K328" s="4413">
        <f>(F328+F329)-J328</f>
        <v>0</v>
      </c>
      <c r="L328" s="737"/>
      <c r="M328" s="366"/>
      <c r="N328" s="366"/>
      <c r="O328" s="366"/>
      <c r="P328" s="366"/>
    </row>
    <row r="329" spans="1:16" ht="30" customHeight="1" x14ac:dyDescent="0.2">
      <c r="A329" s="4460"/>
      <c r="B329" s="4615"/>
      <c r="C329" s="4538"/>
      <c r="D329" s="3269">
        <v>100000000</v>
      </c>
      <c r="E329" s="3270">
        <v>7.0000000000000007E-2</v>
      </c>
      <c r="F329" s="3269">
        <f t="shared" si="34"/>
        <v>7000000.0000000009</v>
      </c>
      <c r="G329" s="4415"/>
      <c r="H329" s="4415"/>
      <c r="I329" s="4415"/>
      <c r="J329" s="4415"/>
      <c r="K329" s="4415"/>
      <c r="L329" s="638" t="s">
        <v>5163</v>
      </c>
      <c r="M329" s="366"/>
      <c r="N329" s="366"/>
      <c r="O329" s="366"/>
      <c r="P329" s="366"/>
    </row>
    <row r="330" spans="1:16" ht="30" customHeight="1" x14ac:dyDescent="0.2">
      <c r="A330" s="4459">
        <v>198</v>
      </c>
      <c r="B330" s="4488" t="s">
        <v>59</v>
      </c>
      <c r="C330" s="2975" t="s">
        <v>1134</v>
      </c>
      <c r="D330" s="2821">
        <v>30000000</v>
      </c>
      <c r="E330" s="2823">
        <v>8.5000000000000006E-2</v>
      </c>
      <c r="F330" s="2821">
        <v>2500000</v>
      </c>
      <c r="G330" s="2821">
        <v>2500000</v>
      </c>
      <c r="H330" s="2821" t="s">
        <v>5214</v>
      </c>
      <c r="I330" s="2821" t="s">
        <v>1164</v>
      </c>
      <c r="J330" s="2821">
        <f t="shared" si="35"/>
        <v>2500000</v>
      </c>
      <c r="K330" s="2821">
        <f t="shared" si="36"/>
        <v>0</v>
      </c>
      <c r="L330" s="4492" t="s">
        <v>4609</v>
      </c>
      <c r="M330" s="366"/>
      <c r="N330" s="366"/>
      <c r="O330" s="366"/>
      <c r="P330" s="366"/>
    </row>
    <row r="331" spans="1:16" ht="30" customHeight="1" x14ac:dyDescent="0.2">
      <c r="A331" s="4460"/>
      <c r="B331" s="4458"/>
      <c r="C331" s="2975" t="s">
        <v>1718</v>
      </c>
      <c r="D331" s="2821">
        <v>100000000</v>
      </c>
      <c r="E331" s="2871">
        <v>7.0000000000000007E-2</v>
      </c>
      <c r="F331" s="2821">
        <f>D331*E331</f>
        <v>7000000.0000000009</v>
      </c>
      <c r="G331" s="2821">
        <v>7000000</v>
      </c>
      <c r="H331" s="2821" t="s">
        <v>4938</v>
      </c>
      <c r="I331" s="3105" t="s">
        <v>1164</v>
      </c>
      <c r="J331" s="2821">
        <f>G331</f>
        <v>7000000</v>
      </c>
      <c r="K331" s="2821">
        <f>F331-J331</f>
        <v>0</v>
      </c>
      <c r="L331" s="4493"/>
      <c r="M331" s="366"/>
      <c r="N331" s="366"/>
      <c r="O331" s="366"/>
      <c r="P331" s="366"/>
    </row>
    <row r="332" spans="1:16" ht="30" customHeight="1" x14ac:dyDescent="0.2">
      <c r="A332" s="2876">
        <v>199</v>
      </c>
      <c r="B332" s="2874" t="s">
        <v>60</v>
      </c>
      <c r="C332" s="2847" t="s">
        <v>1100</v>
      </c>
      <c r="D332" s="2821">
        <v>50000000</v>
      </c>
      <c r="E332" s="2871">
        <v>0.05</v>
      </c>
      <c r="F332" s="2821">
        <f t="shared" si="34"/>
        <v>2500000</v>
      </c>
      <c r="G332" s="2821">
        <v>2500000</v>
      </c>
      <c r="H332" s="2821" t="s">
        <v>5229</v>
      </c>
      <c r="I332" s="2848" t="s">
        <v>4778</v>
      </c>
      <c r="J332" s="2821">
        <f t="shared" si="35"/>
        <v>2500000</v>
      </c>
      <c r="K332" s="2821">
        <f t="shared" si="36"/>
        <v>0</v>
      </c>
      <c r="L332" s="2874"/>
      <c r="M332" s="366"/>
      <c r="N332" s="366"/>
      <c r="O332" s="366"/>
      <c r="P332" s="366"/>
    </row>
    <row r="333" spans="1:16" ht="30" customHeight="1" x14ac:dyDescent="0.2">
      <c r="A333" s="2876">
        <v>200</v>
      </c>
      <c r="B333" s="2874" t="s">
        <v>61</v>
      </c>
      <c r="C333" s="2847" t="s">
        <v>1081</v>
      </c>
      <c r="D333" s="2821">
        <v>350000000</v>
      </c>
      <c r="E333" s="2871">
        <v>7.0000000000000007E-2</v>
      </c>
      <c r="F333" s="2821">
        <f t="shared" si="34"/>
        <v>24500000.000000004</v>
      </c>
      <c r="G333" s="2821"/>
      <c r="H333" s="2821"/>
      <c r="I333" s="21" t="s">
        <v>4786</v>
      </c>
      <c r="J333" s="2821">
        <f>G333</f>
        <v>0</v>
      </c>
      <c r="K333" s="2821">
        <f t="shared" si="36"/>
        <v>24500000.000000004</v>
      </c>
      <c r="L333" s="2015"/>
      <c r="M333" s="366"/>
      <c r="N333" s="366"/>
      <c r="O333" s="366"/>
      <c r="P333" s="366"/>
    </row>
    <row r="334" spans="1:16" ht="30" customHeight="1" x14ac:dyDescent="0.2">
      <c r="A334" s="2876">
        <v>201</v>
      </c>
      <c r="B334" s="2874" t="s">
        <v>62</v>
      </c>
      <c r="C334" s="2847"/>
      <c r="D334" s="2821">
        <v>60000000</v>
      </c>
      <c r="E334" s="2871">
        <v>7.0000000000000007E-2</v>
      </c>
      <c r="F334" s="2821">
        <v>4500000</v>
      </c>
      <c r="G334" s="2821">
        <v>4500000</v>
      </c>
      <c r="H334" s="2821" t="s">
        <v>5229</v>
      </c>
      <c r="I334" s="2881" t="s">
        <v>3900</v>
      </c>
      <c r="J334" s="2821">
        <f t="shared" si="35"/>
        <v>4500000</v>
      </c>
      <c r="K334" s="2821">
        <f t="shared" si="36"/>
        <v>0</v>
      </c>
      <c r="L334" s="2874"/>
      <c r="M334" s="366"/>
      <c r="N334" s="366"/>
      <c r="O334" s="366"/>
      <c r="P334" s="366"/>
    </row>
    <row r="335" spans="1:16" ht="30" customHeight="1" x14ac:dyDescent="0.2">
      <c r="A335" s="2878">
        <v>202</v>
      </c>
      <c r="B335" s="2874" t="s">
        <v>63</v>
      </c>
      <c r="C335" s="2873" t="s">
        <v>1081</v>
      </c>
      <c r="D335" s="2848">
        <v>100000000</v>
      </c>
      <c r="E335" s="2871">
        <v>0.05</v>
      </c>
      <c r="F335" s="2848">
        <f t="shared" si="34"/>
        <v>5000000</v>
      </c>
      <c r="G335" s="2848">
        <v>5000000</v>
      </c>
      <c r="H335" s="2821" t="s">
        <v>5229</v>
      </c>
      <c r="I335" s="21" t="s">
        <v>3889</v>
      </c>
      <c r="J335" s="2821">
        <f t="shared" si="35"/>
        <v>5000000</v>
      </c>
      <c r="K335" s="2821">
        <f t="shared" si="36"/>
        <v>0</v>
      </c>
      <c r="L335" s="2898"/>
      <c r="M335" s="366"/>
      <c r="N335" s="366"/>
      <c r="O335" s="366"/>
      <c r="P335" s="366"/>
    </row>
    <row r="336" spans="1:16" ht="30" customHeight="1" x14ac:dyDescent="0.2">
      <c r="A336" s="2876">
        <v>203</v>
      </c>
      <c r="B336" s="2829" t="s">
        <v>1244</v>
      </c>
      <c r="C336" s="2847" t="s">
        <v>1081</v>
      </c>
      <c r="D336" s="2821">
        <v>60000000</v>
      </c>
      <c r="E336" s="2823">
        <v>0.05</v>
      </c>
      <c r="F336" s="2821">
        <f t="shared" si="34"/>
        <v>3000000</v>
      </c>
      <c r="G336" s="2821">
        <v>3000000</v>
      </c>
      <c r="H336" s="2821" t="s">
        <v>5229</v>
      </c>
      <c r="I336" s="21" t="s">
        <v>1693</v>
      </c>
      <c r="J336" s="2821">
        <f t="shared" si="35"/>
        <v>3000000</v>
      </c>
      <c r="K336" s="2821">
        <f t="shared" si="36"/>
        <v>0</v>
      </c>
      <c r="L336" s="2874"/>
    </row>
    <row r="337" spans="1:12" ht="30" customHeight="1" x14ac:dyDescent="0.2">
      <c r="A337" s="2876">
        <v>205</v>
      </c>
      <c r="B337" s="2874" t="s">
        <v>65</v>
      </c>
      <c r="C337" s="2847" t="s">
        <v>3245</v>
      </c>
      <c r="D337" s="2821">
        <v>15000000</v>
      </c>
      <c r="E337" s="2871">
        <v>0.04</v>
      </c>
      <c r="F337" s="2821">
        <f t="shared" si="34"/>
        <v>600000</v>
      </c>
      <c r="G337" s="2821">
        <v>600000</v>
      </c>
      <c r="H337" s="2821" t="s">
        <v>1491</v>
      </c>
      <c r="I337" s="21" t="s">
        <v>3244</v>
      </c>
      <c r="J337" s="2821">
        <f t="shared" si="35"/>
        <v>600000</v>
      </c>
      <c r="K337" s="2821">
        <f t="shared" si="36"/>
        <v>0</v>
      </c>
      <c r="L337" s="2874"/>
    </row>
    <row r="338" spans="1:12" ht="30" customHeight="1" x14ac:dyDescent="0.2">
      <c r="A338" s="4474">
        <v>207</v>
      </c>
      <c r="B338" s="4457" t="s">
        <v>2676</v>
      </c>
      <c r="C338" s="4537" t="s">
        <v>681</v>
      </c>
      <c r="D338" s="2821">
        <v>45000000</v>
      </c>
      <c r="E338" s="2871">
        <v>0.04</v>
      </c>
      <c r="F338" s="2821">
        <f t="shared" si="34"/>
        <v>1800000</v>
      </c>
      <c r="G338" s="4413">
        <v>3800000</v>
      </c>
      <c r="H338" s="4413" t="s">
        <v>5214</v>
      </c>
      <c r="I338" s="4478" t="s">
        <v>3739</v>
      </c>
      <c r="J338" s="4413">
        <f t="shared" si="35"/>
        <v>3800000</v>
      </c>
      <c r="K338" s="4413">
        <f>(F338+F339)-J338</f>
        <v>0</v>
      </c>
      <c r="L338" s="4492"/>
    </row>
    <row r="339" spans="1:12" ht="30" customHeight="1" x14ac:dyDescent="0.2">
      <c r="A339" s="4487"/>
      <c r="B339" s="4488"/>
      <c r="C339" s="4540"/>
      <c r="D339" s="2821">
        <v>50000000</v>
      </c>
      <c r="E339" s="2871">
        <v>0.04</v>
      </c>
      <c r="F339" s="2821">
        <f t="shared" si="34"/>
        <v>2000000</v>
      </c>
      <c r="G339" s="4415"/>
      <c r="H339" s="4415"/>
      <c r="I339" s="4479"/>
      <c r="J339" s="4415"/>
      <c r="K339" s="4415"/>
      <c r="L339" s="4493"/>
    </row>
    <row r="340" spans="1:12" ht="30" customHeight="1" x14ac:dyDescent="0.2">
      <c r="A340" s="4487"/>
      <c r="B340" s="4488"/>
      <c r="C340" s="4540"/>
      <c r="D340" s="3368">
        <v>55000000</v>
      </c>
      <c r="E340" s="3377">
        <v>0.04</v>
      </c>
      <c r="F340" s="3368">
        <f t="shared" si="34"/>
        <v>2200000</v>
      </c>
      <c r="G340" s="3368"/>
      <c r="H340" s="3368"/>
      <c r="I340" s="3370"/>
      <c r="J340" s="3368"/>
      <c r="K340" s="3368"/>
      <c r="L340" s="3369" t="s">
        <v>5242</v>
      </c>
    </row>
    <row r="341" spans="1:12" ht="30" customHeight="1" x14ac:dyDescent="0.2">
      <c r="A341" s="4475"/>
      <c r="B341" s="4458"/>
      <c r="C341" s="4538"/>
      <c r="D341" s="3381">
        <v>150000000</v>
      </c>
      <c r="E341" s="897">
        <v>0.04</v>
      </c>
      <c r="F341" s="3381">
        <f>D341*E341</f>
        <v>6000000</v>
      </c>
      <c r="G341" s="3368"/>
      <c r="H341" s="3368"/>
      <c r="I341" s="3370"/>
      <c r="J341" s="3368"/>
      <c r="K341" s="3368"/>
      <c r="L341" s="3369"/>
    </row>
    <row r="342" spans="1:12" ht="30" customHeight="1" x14ac:dyDescent="0.2">
      <c r="A342" s="2825">
        <v>208</v>
      </c>
      <c r="B342" s="19" t="s">
        <v>69</v>
      </c>
      <c r="C342" s="378" t="s">
        <v>1100</v>
      </c>
      <c r="D342" s="2848">
        <v>15000000</v>
      </c>
      <c r="E342" s="2871">
        <v>0.04</v>
      </c>
      <c r="F342" s="2848">
        <f t="shared" si="34"/>
        <v>600000</v>
      </c>
      <c r="G342" s="2848">
        <v>600000</v>
      </c>
      <c r="H342" s="2848" t="s">
        <v>5229</v>
      </c>
      <c r="I342" s="2868" t="s">
        <v>1099</v>
      </c>
      <c r="J342" s="2848">
        <f t="shared" ref="J342:J356" si="37">G342</f>
        <v>600000</v>
      </c>
      <c r="K342" s="2848">
        <f t="shared" ref="K342:K359" si="38">F342-J342</f>
        <v>0</v>
      </c>
      <c r="L342" s="2015"/>
    </row>
    <row r="343" spans="1:12" ht="30" customHeight="1" x14ac:dyDescent="0.2">
      <c r="A343" s="2876">
        <v>210</v>
      </c>
      <c r="B343" s="2874" t="s">
        <v>72</v>
      </c>
      <c r="C343" s="4537" t="s">
        <v>392</v>
      </c>
      <c r="D343" s="2821">
        <v>50000000</v>
      </c>
      <c r="E343" s="2871">
        <v>7.0000000000000007E-2</v>
      </c>
      <c r="F343" s="2821">
        <f t="shared" si="34"/>
        <v>3500000.0000000005</v>
      </c>
      <c r="G343" s="2821">
        <v>3500000</v>
      </c>
      <c r="H343" s="4413" t="s">
        <v>4893</v>
      </c>
      <c r="I343" s="4478" t="s">
        <v>4894</v>
      </c>
      <c r="J343" s="2821">
        <f t="shared" si="37"/>
        <v>3500000</v>
      </c>
      <c r="K343" s="2821">
        <f t="shared" si="38"/>
        <v>0</v>
      </c>
      <c r="L343" s="2874"/>
    </row>
    <row r="344" spans="1:12" ht="30" customHeight="1" x14ac:dyDescent="0.2">
      <c r="A344" s="2876"/>
      <c r="B344" s="2917" t="s">
        <v>4823</v>
      </c>
      <c r="C344" s="4538"/>
      <c r="D344" s="2905">
        <v>50000000</v>
      </c>
      <c r="E344" s="2916">
        <v>7.0000000000000007E-2</v>
      </c>
      <c r="F344" s="2905">
        <f t="shared" si="34"/>
        <v>3500000.0000000005</v>
      </c>
      <c r="G344" s="2905">
        <v>3500000</v>
      </c>
      <c r="H344" s="4415"/>
      <c r="I344" s="4479"/>
      <c r="J344" s="2905">
        <f t="shared" si="37"/>
        <v>3500000</v>
      </c>
      <c r="K344" s="2905">
        <f t="shared" si="38"/>
        <v>0</v>
      </c>
      <c r="L344" s="2874"/>
    </row>
    <row r="345" spans="1:12" ht="30" customHeight="1" x14ac:dyDescent="0.2">
      <c r="A345" s="2876">
        <v>211</v>
      </c>
      <c r="B345" s="2874" t="s">
        <v>73</v>
      </c>
      <c r="C345" s="2847" t="s">
        <v>1295</v>
      </c>
      <c r="D345" s="2821">
        <v>100000000</v>
      </c>
      <c r="E345" s="2871">
        <v>0.05</v>
      </c>
      <c r="F345" s="2821">
        <f t="shared" si="34"/>
        <v>5000000</v>
      </c>
      <c r="G345" s="2821">
        <v>5000000</v>
      </c>
      <c r="H345" s="2821" t="s">
        <v>4862</v>
      </c>
      <c r="I345" s="21" t="s">
        <v>4002</v>
      </c>
      <c r="J345" s="2821">
        <f t="shared" si="37"/>
        <v>5000000</v>
      </c>
      <c r="K345" s="2821">
        <f t="shared" si="38"/>
        <v>0</v>
      </c>
      <c r="L345" s="2874"/>
    </row>
    <row r="346" spans="1:12" ht="30" customHeight="1" x14ac:dyDescent="0.2">
      <c r="A346" s="4459">
        <v>212</v>
      </c>
      <c r="B346" s="4457" t="s">
        <v>74</v>
      </c>
      <c r="C346" s="4537" t="s">
        <v>889</v>
      </c>
      <c r="D346" s="2821">
        <v>30000000</v>
      </c>
      <c r="E346" s="2871">
        <v>0.05</v>
      </c>
      <c r="F346" s="2821">
        <f t="shared" si="34"/>
        <v>1500000</v>
      </c>
      <c r="G346" s="4413">
        <v>2000000</v>
      </c>
      <c r="H346" s="4413" t="s">
        <v>4841</v>
      </c>
      <c r="I346" s="4478" t="s">
        <v>1275</v>
      </c>
      <c r="J346" s="4413">
        <f t="shared" si="37"/>
        <v>2000000</v>
      </c>
      <c r="K346" s="4413">
        <f>(F346+F347)-J346</f>
        <v>0</v>
      </c>
      <c r="L346" s="2874"/>
    </row>
    <row r="347" spans="1:12" ht="30" customHeight="1" x14ac:dyDescent="0.2">
      <c r="A347" s="4460"/>
      <c r="B347" s="4458"/>
      <c r="C347" s="4538"/>
      <c r="D347" s="2821">
        <v>10000000</v>
      </c>
      <c r="E347" s="2871">
        <v>0.05</v>
      </c>
      <c r="F347" s="2821">
        <f t="shared" si="34"/>
        <v>500000</v>
      </c>
      <c r="G347" s="4415"/>
      <c r="H347" s="4415"/>
      <c r="I347" s="4479"/>
      <c r="J347" s="4415"/>
      <c r="K347" s="4415"/>
      <c r="L347" s="2874"/>
    </row>
    <row r="348" spans="1:12" ht="30" customHeight="1" x14ac:dyDescent="0.2">
      <c r="A348" s="2876">
        <v>213</v>
      </c>
      <c r="B348" s="2874" t="s">
        <v>5117</v>
      </c>
      <c r="C348" s="2847" t="s">
        <v>889</v>
      </c>
      <c r="D348" s="2821">
        <v>15000000</v>
      </c>
      <c r="E348" s="2871">
        <v>4.7E-2</v>
      </c>
      <c r="F348" s="2821">
        <v>700000</v>
      </c>
      <c r="G348" s="2821">
        <v>700000</v>
      </c>
      <c r="H348" s="2821" t="s">
        <v>5018</v>
      </c>
      <c r="I348" s="21" t="s">
        <v>325</v>
      </c>
      <c r="J348" s="2821">
        <f t="shared" si="37"/>
        <v>700000</v>
      </c>
      <c r="K348" s="2821">
        <f t="shared" si="38"/>
        <v>0</v>
      </c>
      <c r="L348" s="2874"/>
    </row>
    <row r="349" spans="1:12" ht="30" customHeight="1" x14ac:dyDescent="0.2">
      <c r="A349" s="2876">
        <v>214</v>
      </c>
      <c r="B349" s="2874" t="s">
        <v>937</v>
      </c>
      <c r="C349" s="2847"/>
      <c r="D349" s="2821">
        <v>200000000</v>
      </c>
      <c r="E349" s="2871">
        <v>5.5E-2</v>
      </c>
      <c r="F349" s="2821">
        <f t="shared" si="34"/>
        <v>11000000</v>
      </c>
      <c r="G349" s="2821">
        <v>11000000</v>
      </c>
      <c r="H349" s="2821" t="s">
        <v>4941</v>
      </c>
      <c r="I349" s="21" t="s">
        <v>3975</v>
      </c>
      <c r="J349" s="2821">
        <f t="shared" si="37"/>
        <v>11000000</v>
      </c>
      <c r="K349" s="2821">
        <f t="shared" si="38"/>
        <v>0</v>
      </c>
      <c r="L349" s="2874"/>
    </row>
    <row r="350" spans="1:12" ht="30" customHeight="1" x14ac:dyDescent="0.2">
      <c r="A350" s="4459">
        <v>216</v>
      </c>
      <c r="B350" s="4457" t="s">
        <v>77</v>
      </c>
      <c r="C350" s="4537" t="s">
        <v>889</v>
      </c>
      <c r="D350" s="2821">
        <v>250000000</v>
      </c>
      <c r="E350" s="2871">
        <v>0.05</v>
      </c>
      <c r="F350" s="2821">
        <f t="shared" si="34"/>
        <v>12500000</v>
      </c>
      <c r="G350" s="4933" t="s">
        <v>5006</v>
      </c>
      <c r="H350" s="4934"/>
      <c r="I350" s="4934"/>
      <c r="J350" s="4935"/>
      <c r="K350" s="2821">
        <f t="shared" si="38"/>
        <v>12500000</v>
      </c>
      <c r="L350" s="2874"/>
    </row>
    <row r="351" spans="1:12" ht="30" customHeight="1" x14ac:dyDescent="0.2">
      <c r="A351" s="4464"/>
      <c r="B351" s="4488"/>
      <c r="C351" s="4540"/>
      <c r="D351" s="4094">
        <v>12500000</v>
      </c>
      <c r="E351" s="4103">
        <v>0.05</v>
      </c>
      <c r="F351" s="4094">
        <f t="shared" si="34"/>
        <v>625000</v>
      </c>
      <c r="G351" s="4936"/>
      <c r="H351" s="4937"/>
      <c r="I351" s="4937"/>
      <c r="J351" s="4938"/>
      <c r="K351" s="4094">
        <f t="shared" si="38"/>
        <v>625000</v>
      </c>
      <c r="L351" s="4097"/>
    </row>
    <row r="352" spans="1:12" ht="30" customHeight="1" x14ac:dyDescent="0.2">
      <c r="A352" s="4460"/>
      <c r="B352" s="4488"/>
      <c r="C352" s="4540"/>
      <c r="D352" s="2905">
        <v>137500000</v>
      </c>
      <c r="E352" s="2916">
        <v>0.05</v>
      </c>
      <c r="F352" s="2905">
        <f t="shared" si="34"/>
        <v>6875000</v>
      </c>
      <c r="G352" s="4469" t="s">
        <v>5913</v>
      </c>
      <c r="H352" s="4470"/>
      <c r="I352" s="4470"/>
      <c r="J352" s="4471"/>
      <c r="K352" s="2905">
        <f t="shared" si="38"/>
        <v>6875000</v>
      </c>
      <c r="L352" s="2907"/>
    </row>
    <row r="353" spans="1:12" ht="30" customHeight="1" x14ac:dyDescent="0.2">
      <c r="A353" s="4095"/>
      <c r="B353" s="4458"/>
      <c r="C353" s="4538"/>
      <c r="D353" s="4094">
        <f>SUM(D350:D352)</f>
        <v>400000000</v>
      </c>
      <c r="E353" s="4103">
        <v>0.05</v>
      </c>
      <c r="F353" s="4094">
        <f>D353*E353</f>
        <v>20000000</v>
      </c>
      <c r="G353" s="4469" t="s">
        <v>5209</v>
      </c>
      <c r="H353" s="4470"/>
      <c r="I353" s="4470"/>
      <c r="J353" s="4471"/>
      <c r="K353" s="4094">
        <f t="shared" si="38"/>
        <v>20000000</v>
      </c>
      <c r="L353" s="4097"/>
    </row>
    <row r="354" spans="1:12" ht="30" customHeight="1" x14ac:dyDescent="0.2">
      <c r="A354" s="2825">
        <v>217</v>
      </c>
      <c r="B354" s="2874" t="s">
        <v>79</v>
      </c>
      <c r="C354" s="2873"/>
      <c r="D354" s="2848">
        <v>160000000</v>
      </c>
      <c r="E354" s="2871">
        <v>0.05</v>
      </c>
      <c r="F354" s="2848">
        <f t="shared" si="34"/>
        <v>8000000</v>
      </c>
      <c r="G354" s="2848"/>
      <c r="H354" s="2848"/>
      <c r="I354" s="2881"/>
      <c r="J354" s="2848">
        <f t="shared" si="37"/>
        <v>0</v>
      </c>
      <c r="K354" s="2848">
        <f t="shared" si="38"/>
        <v>8000000</v>
      </c>
      <c r="L354" s="2834"/>
    </row>
    <row r="355" spans="1:12" ht="30" customHeight="1" x14ac:dyDescent="0.2">
      <c r="A355" s="4459">
        <v>218</v>
      </c>
      <c r="B355" s="4461" t="s">
        <v>80</v>
      </c>
      <c r="C355" s="4677"/>
      <c r="D355" s="4506">
        <v>45000000</v>
      </c>
      <c r="E355" s="4512">
        <v>0.04</v>
      </c>
      <c r="F355" s="4506">
        <f t="shared" si="34"/>
        <v>1800000</v>
      </c>
      <c r="G355" s="2989"/>
      <c r="H355" s="2989"/>
      <c r="I355" s="3035" t="s">
        <v>1695</v>
      </c>
      <c r="J355" s="2989">
        <f t="shared" si="37"/>
        <v>0</v>
      </c>
      <c r="K355" s="2989">
        <f t="shared" si="38"/>
        <v>1800000</v>
      </c>
      <c r="L355" s="2874"/>
    </row>
    <row r="356" spans="1:12" ht="30" customHeight="1" x14ac:dyDescent="0.2">
      <c r="A356" s="4460"/>
      <c r="B356" s="4463"/>
      <c r="C356" s="4679"/>
      <c r="D356" s="4508"/>
      <c r="E356" s="4514"/>
      <c r="F356" s="4508"/>
      <c r="G356" s="2989"/>
      <c r="H356" s="2989"/>
      <c r="I356" s="3035" t="s">
        <v>3561</v>
      </c>
      <c r="J356" s="2989">
        <f t="shared" si="37"/>
        <v>0</v>
      </c>
      <c r="K356" s="2989"/>
      <c r="L356" s="2015"/>
    </row>
    <row r="357" spans="1:12" ht="30" customHeight="1" x14ac:dyDescent="0.2">
      <c r="A357" s="2876">
        <v>219</v>
      </c>
      <c r="B357" s="2874" t="s">
        <v>1791</v>
      </c>
      <c r="C357" s="2847"/>
      <c r="D357" s="2838"/>
      <c r="E357" s="2521"/>
      <c r="F357" s="2838">
        <f t="shared" si="34"/>
        <v>0</v>
      </c>
      <c r="G357" s="2821"/>
      <c r="H357" s="2821"/>
      <c r="I357" s="21"/>
      <c r="J357" s="2821"/>
      <c r="K357" s="2838">
        <f t="shared" si="38"/>
        <v>0</v>
      </c>
      <c r="L357" s="2874"/>
    </row>
    <row r="358" spans="1:12" ht="30" customHeight="1" x14ac:dyDescent="0.2">
      <c r="A358" s="2876">
        <v>220</v>
      </c>
      <c r="B358" s="2869" t="s">
        <v>81</v>
      </c>
      <c r="C358" s="2846" t="s">
        <v>889</v>
      </c>
      <c r="D358" s="2820">
        <v>203000000</v>
      </c>
      <c r="E358" s="2822">
        <v>0.05</v>
      </c>
      <c r="F358" s="2820">
        <f t="shared" si="34"/>
        <v>10150000</v>
      </c>
      <c r="G358" s="2821">
        <v>10150000</v>
      </c>
      <c r="H358" s="2821" t="s">
        <v>4848</v>
      </c>
      <c r="I358" s="21" t="s">
        <v>3409</v>
      </c>
      <c r="J358" s="2820">
        <f>G358</f>
        <v>10150000</v>
      </c>
      <c r="K358" s="2820">
        <f t="shared" si="38"/>
        <v>0</v>
      </c>
      <c r="L358" s="2874"/>
    </row>
    <row r="359" spans="1:12" ht="30" customHeight="1" x14ac:dyDescent="0.2">
      <c r="A359" s="2876">
        <v>221</v>
      </c>
      <c r="B359" s="2869" t="s">
        <v>326</v>
      </c>
      <c r="C359" s="2846" t="s">
        <v>1652</v>
      </c>
      <c r="D359" s="2820">
        <v>275000000</v>
      </c>
      <c r="E359" s="2822">
        <v>4.2000000000000003E-2</v>
      </c>
      <c r="F359" s="2820">
        <f>D359*E359</f>
        <v>11550000</v>
      </c>
      <c r="G359" s="2831">
        <v>11550000</v>
      </c>
      <c r="H359" s="2831" t="s">
        <v>4922</v>
      </c>
      <c r="I359" s="384" t="s">
        <v>1654</v>
      </c>
      <c r="J359" s="2820">
        <f>G359</f>
        <v>11550000</v>
      </c>
      <c r="K359" s="2820">
        <f t="shared" si="38"/>
        <v>0</v>
      </c>
      <c r="L359" s="2843"/>
    </row>
    <row r="360" spans="1:12" ht="30" customHeight="1" x14ac:dyDescent="0.2">
      <c r="A360" s="4614">
        <v>222</v>
      </c>
      <c r="B360" s="4457" t="s">
        <v>1818</v>
      </c>
      <c r="C360" s="4537" t="s">
        <v>1287</v>
      </c>
      <c r="D360" s="4413">
        <v>700000000</v>
      </c>
      <c r="E360" s="4476">
        <v>0.06</v>
      </c>
      <c r="F360" s="4413">
        <f>D360*E360</f>
        <v>42000000</v>
      </c>
      <c r="G360" s="4413">
        <v>42000000</v>
      </c>
      <c r="H360" s="4413" t="s">
        <v>5045</v>
      </c>
      <c r="I360" s="4478" t="s">
        <v>3724</v>
      </c>
      <c r="J360" s="4413">
        <f>G360</f>
        <v>42000000</v>
      </c>
      <c r="K360" s="4413">
        <f>F360-J360</f>
        <v>0</v>
      </c>
      <c r="L360" s="2860"/>
    </row>
    <row r="361" spans="1:12" ht="30" customHeight="1" x14ac:dyDescent="0.2">
      <c r="A361" s="4614"/>
      <c r="B361" s="4488"/>
      <c r="C361" s="4540"/>
      <c r="D361" s="4414"/>
      <c r="E361" s="4516"/>
      <c r="F361" s="4414"/>
      <c r="G361" s="4414"/>
      <c r="H361" s="4414"/>
      <c r="I361" s="4520"/>
      <c r="J361" s="4414"/>
      <c r="K361" s="4414"/>
      <c r="L361" s="2866"/>
    </row>
    <row r="362" spans="1:12" ht="30" customHeight="1" x14ac:dyDescent="0.2">
      <c r="A362" s="4614"/>
      <c r="B362" s="4458"/>
      <c r="C362" s="4538"/>
      <c r="D362" s="4415"/>
      <c r="E362" s="4477"/>
      <c r="F362" s="4415"/>
      <c r="G362" s="4415"/>
      <c r="H362" s="4415"/>
      <c r="I362" s="4479"/>
      <c r="J362" s="4415"/>
      <c r="K362" s="4415"/>
      <c r="L362" s="2861"/>
    </row>
    <row r="363" spans="1:12" ht="30" customHeight="1" x14ac:dyDescent="0.2">
      <c r="A363" s="4459">
        <v>223</v>
      </c>
      <c r="B363" s="4962" t="s">
        <v>83</v>
      </c>
      <c r="C363" s="4964" t="s">
        <v>1652</v>
      </c>
      <c r="D363" s="3360">
        <v>100000000</v>
      </c>
      <c r="E363" s="2558">
        <v>0.05</v>
      </c>
      <c r="F363" s="3360">
        <f t="shared" si="34"/>
        <v>5000000</v>
      </c>
      <c r="G363" s="3360">
        <v>5000000</v>
      </c>
      <c r="H363" s="3360" t="s">
        <v>4922</v>
      </c>
      <c r="I363" s="287" t="s">
        <v>3491</v>
      </c>
      <c r="J363" s="3360">
        <f t="shared" ref="J363:J370" si="39">G363</f>
        <v>5000000</v>
      </c>
      <c r="K363" s="3360">
        <f t="shared" ref="K363:K370" si="40">F363-J363</f>
        <v>0</v>
      </c>
      <c r="L363" s="2553"/>
    </row>
    <row r="364" spans="1:12" ht="30" customHeight="1" x14ac:dyDescent="0.2">
      <c r="A364" s="4464"/>
      <c r="B364" s="5028"/>
      <c r="C364" s="4999"/>
      <c r="D364" s="5000" t="s">
        <v>5223</v>
      </c>
      <c r="E364" s="5001"/>
      <c r="F364" s="5002"/>
      <c r="G364" s="3360">
        <v>50000000</v>
      </c>
      <c r="H364" s="3360" t="s">
        <v>5214</v>
      </c>
      <c r="I364" s="287" t="s">
        <v>5224</v>
      </c>
      <c r="J364" s="4951">
        <f>G364+G365</f>
        <v>100000000</v>
      </c>
      <c r="K364" s="4951">
        <f>100000000-J364</f>
        <v>0</v>
      </c>
      <c r="L364" s="2553"/>
    </row>
    <row r="365" spans="1:12" ht="30" customHeight="1" x14ac:dyDescent="0.2">
      <c r="A365" s="4460"/>
      <c r="B365" s="4963"/>
      <c r="C365" s="4965"/>
      <c r="D365" s="5006"/>
      <c r="E365" s="5007"/>
      <c r="F365" s="5008"/>
      <c r="G365" s="3360">
        <v>50000000</v>
      </c>
      <c r="H365" s="3360" t="s">
        <v>5107</v>
      </c>
      <c r="I365" s="287" t="s">
        <v>5224</v>
      </c>
      <c r="J365" s="4952"/>
      <c r="K365" s="4952"/>
      <c r="L365" s="2553"/>
    </row>
    <row r="366" spans="1:12" ht="30" customHeight="1" x14ac:dyDescent="0.2">
      <c r="A366" s="1029">
        <v>224</v>
      </c>
      <c r="B366" s="19" t="s">
        <v>2623</v>
      </c>
      <c r="C366" s="2919"/>
      <c r="D366" s="2914">
        <v>10000000</v>
      </c>
      <c r="E366" s="2916">
        <v>0.05</v>
      </c>
      <c r="F366" s="2914">
        <f t="shared" si="34"/>
        <v>500000</v>
      </c>
      <c r="G366" s="2821"/>
      <c r="H366" s="2821"/>
      <c r="I366" s="21" t="s">
        <v>3934</v>
      </c>
      <c r="J366" s="2821">
        <f t="shared" si="39"/>
        <v>0</v>
      </c>
      <c r="K366" s="2821">
        <f t="shared" si="40"/>
        <v>500000</v>
      </c>
      <c r="L366" s="2874"/>
    </row>
    <row r="367" spans="1:12" ht="30" customHeight="1" x14ac:dyDescent="0.2">
      <c r="A367" s="2826">
        <v>226</v>
      </c>
      <c r="B367" s="2870" t="s">
        <v>86</v>
      </c>
      <c r="C367" s="2847" t="s">
        <v>889</v>
      </c>
      <c r="D367" s="2848">
        <v>410000000</v>
      </c>
      <c r="E367" s="2871">
        <v>0.06</v>
      </c>
      <c r="F367" s="2848">
        <f>D367*E367</f>
        <v>24600000</v>
      </c>
      <c r="G367" s="2848">
        <v>24500000</v>
      </c>
      <c r="H367" s="2848" t="s">
        <v>4893</v>
      </c>
      <c r="I367" s="2848" t="s">
        <v>2391</v>
      </c>
      <c r="J367" s="2848">
        <f t="shared" si="39"/>
        <v>24500000</v>
      </c>
      <c r="K367" s="2821">
        <f t="shared" si="40"/>
        <v>100000</v>
      </c>
      <c r="L367" s="2835"/>
    </row>
    <row r="368" spans="1:12" ht="30" customHeight="1" x14ac:dyDescent="0.2">
      <c r="A368" s="1029">
        <v>227</v>
      </c>
      <c r="B368" s="19" t="s">
        <v>87</v>
      </c>
      <c r="C368" s="2919" t="s">
        <v>889</v>
      </c>
      <c r="D368" s="2914">
        <v>20000000</v>
      </c>
      <c r="E368" s="2916">
        <v>0.05</v>
      </c>
      <c r="F368" s="2914">
        <f>D368*E368</f>
        <v>1000000</v>
      </c>
      <c r="G368" s="5067" t="s">
        <v>4824</v>
      </c>
      <c r="H368" s="5025"/>
      <c r="I368" s="5025"/>
      <c r="J368" s="5026"/>
      <c r="K368" s="2821">
        <f t="shared" si="40"/>
        <v>1000000</v>
      </c>
      <c r="L368" s="2015"/>
    </row>
    <row r="369" spans="1:12" ht="30" customHeight="1" x14ac:dyDescent="0.2">
      <c r="A369" s="2876">
        <v>228</v>
      </c>
      <c r="B369" s="2874" t="s">
        <v>88</v>
      </c>
      <c r="C369" s="2847" t="s">
        <v>1176</v>
      </c>
      <c r="D369" s="2821">
        <v>10000000</v>
      </c>
      <c r="E369" s="2871">
        <v>0.04</v>
      </c>
      <c r="F369" s="2821">
        <f t="shared" si="34"/>
        <v>400000</v>
      </c>
      <c r="G369" s="2821">
        <v>400000</v>
      </c>
      <c r="H369" s="2821" t="s">
        <v>5011</v>
      </c>
      <c r="I369" s="26" t="s">
        <v>417</v>
      </c>
      <c r="J369" s="2821">
        <f t="shared" si="39"/>
        <v>400000</v>
      </c>
      <c r="K369" s="2821">
        <f t="shared" si="40"/>
        <v>0</v>
      </c>
      <c r="L369" s="2874"/>
    </row>
    <row r="370" spans="1:12" ht="30" customHeight="1" x14ac:dyDescent="0.2">
      <c r="A370" s="4459">
        <v>229</v>
      </c>
      <c r="B370" s="4457" t="s">
        <v>89</v>
      </c>
      <c r="C370" s="4537" t="s">
        <v>889</v>
      </c>
      <c r="D370" s="2821">
        <v>52000000</v>
      </c>
      <c r="E370" s="2871">
        <v>0.05</v>
      </c>
      <c r="F370" s="2821">
        <f t="shared" si="34"/>
        <v>2600000</v>
      </c>
      <c r="G370" s="2821">
        <v>2600000</v>
      </c>
      <c r="H370" s="2821" t="s">
        <v>4841</v>
      </c>
      <c r="I370" s="21" t="s">
        <v>3970</v>
      </c>
      <c r="J370" s="2821">
        <f t="shared" si="39"/>
        <v>2600000</v>
      </c>
      <c r="K370" s="2821">
        <f t="shared" si="40"/>
        <v>0</v>
      </c>
      <c r="L370" s="2874"/>
    </row>
    <row r="371" spans="1:12" ht="30" customHeight="1" x14ac:dyDescent="0.2">
      <c r="A371" s="4460"/>
      <c r="B371" s="4458"/>
      <c r="C371" s="4538"/>
      <c r="D371" s="3061">
        <v>5000000</v>
      </c>
      <c r="E371" s="3070">
        <v>0.05</v>
      </c>
      <c r="F371" s="3061">
        <f t="shared" si="34"/>
        <v>250000</v>
      </c>
      <c r="G371" s="3061"/>
      <c r="H371" s="3061"/>
      <c r="I371" s="3082"/>
      <c r="J371" s="3061"/>
      <c r="K371" s="3061"/>
      <c r="L371" s="3075" t="s">
        <v>4993</v>
      </c>
    </row>
    <row r="372" spans="1:12" ht="30" customHeight="1" x14ac:dyDescent="0.2">
      <c r="A372" s="4459"/>
      <c r="B372" s="4457" t="s">
        <v>5010</v>
      </c>
      <c r="C372" s="4537" t="s">
        <v>1718</v>
      </c>
      <c r="D372" s="2848">
        <v>35000000</v>
      </c>
      <c r="E372" s="2871">
        <v>0.05</v>
      </c>
      <c r="F372" s="2848">
        <f t="shared" si="34"/>
        <v>1750000</v>
      </c>
      <c r="G372" s="2848">
        <v>1750000</v>
      </c>
      <c r="H372" s="2848" t="s">
        <v>5054</v>
      </c>
      <c r="I372" s="2848" t="s">
        <v>4410</v>
      </c>
      <c r="J372" s="2848">
        <f>G372</f>
        <v>1750000</v>
      </c>
      <c r="K372" s="2848">
        <v>0</v>
      </c>
      <c r="L372" s="1662"/>
    </row>
    <row r="373" spans="1:12" ht="30" customHeight="1" x14ac:dyDescent="0.2">
      <c r="A373" s="4464"/>
      <c r="B373" s="4488"/>
      <c r="C373" s="4540"/>
      <c r="D373" s="3086">
        <v>10000000</v>
      </c>
      <c r="E373" s="3087">
        <v>0.05</v>
      </c>
      <c r="F373" s="3086">
        <f t="shared" si="34"/>
        <v>500000</v>
      </c>
      <c r="G373" s="3086"/>
      <c r="H373" s="3086"/>
      <c r="I373" s="3086"/>
      <c r="J373" s="3086"/>
      <c r="K373" s="3086"/>
      <c r="L373" s="1662" t="s">
        <v>5008</v>
      </c>
    </row>
    <row r="374" spans="1:12" ht="30" customHeight="1" x14ac:dyDescent="0.2">
      <c r="A374" s="4460"/>
      <c r="B374" s="4458"/>
      <c r="C374" s="4538"/>
      <c r="D374" s="3086">
        <v>5000000</v>
      </c>
      <c r="E374" s="3087">
        <v>0.05</v>
      </c>
      <c r="F374" s="3086">
        <f t="shared" si="34"/>
        <v>250000</v>
      </c>
      <c r="G374" s="3086"/>
      <c r="H374" s="3086"/>
      <c r="I374" s="3086"/>
      <c r="J374" s="3086"/>
      <c r="K374" s="3086"/>
      <c r="L374" s="1662" t="s">
        <v>5009</v>
      </c>
    </row>
    <row r="375" spans="1:12" ht="30" customHeight="1" x14ac:dyDescent="0.2">
      <c r="A375" s="2825">
        <v>231</v>
      </c>
      <c r="B375" s="2869" t="s">
        <v>91</v>
      </c>
      <c r="C375" s="2873" t="s">
        <v>1080</v>
      </c>
      <c r="D375" s="2905">
        <v>20000000</v>
      </c>
      <c r="E375" s="2823">
        <v>0.05</v>
      </c>
      <c r="F375" s="2821">
        <f t="shared" si="34"/>
        <v>1000000</v>
      </c>
      <c r="G375" s="2821">
        <v>1000000</v>
      </c>
      <c r="H375" s="2821" t="s">
        <v>4877</v>
      </c>
      <c r="I375" s="2901" t="s">
        <v>1747</v>
      </c>
      <c r="J375" s="2821">
        <f>G375</f>
        <v>1000000</v>
      </c>
      <c r="K375" s="2821">
        <f>F375-G375</f>
        <v>0</v>
      </c>
      <c r="L375" s="2015"/>
    </row>
    <row r="376" spans="1:12" ht="30" customHeight="1" x14ac:dyDescent="0.2">
      <c r="A376" s="2876">
        <v>232</v>
      </c>
      <c r="B376" s="2874" t="s">
        <v>1602</v>
      </c>
      <c r="C376" s="2847" t="s">
        <v>1172</v>
      </c>
      <c r="D376" s="2821">
        <v>55000000</v>
      </c>
      <c r="E376" s="2871">
        <v>0.04</v>
      </c>
      <c r="F376" s="2821">
        <f t="shared" si="34"/>
        <v>2200000</v>
      </c>
      <c r="G376" s="2821">
        <v>2200000</v>
      </c>
      <c r="H376" s="2821" t="s">
        <v>4877</v>
      </c>
      <c r="I376" s="21" t="s">
        <v>4364</v>
      </c>
      <c r="J376" s="2821">
        <f t="shared" ref="J376:J389" si="41">G376</f>
        <v>2200000</v>
      </c>
      <c r="K376" s="2821">
        <f t="shared" ref="K376:K387" si="42">F376-J376</f>
        <v>0</v>
      </c>
      <c r="L376" s="2874"/>
    </row>
    <row r="377" spans="1:12" ht="30" customHeight="1" x14ac:dyDescent="0.2">
      <c r="A377" s="2876">
        <v>233</v>
      </c>
      <c r="B377" s="2874" t="s">
        <v>275</v>
      </c>
      <c r="C377" s="2847" t="s">
        <v>372</v>
      </c>
      <c r="D377" s="2821">
        <v>50000000</v>
      </c>
      <c r="E377" s="2871">
        <v>0.05</v>
      </c>
      <c r="F377" s="2821">
        <f t="shared" si="34"/>
        <v>2500000</v>
      </c>
      <c r="G377" s="2821">
        <v>7500000</v>
      </c>
      <c r="H377" s="2821" t="s">
        <v>5017</v>
      </c>
      <c r="I377" s="21" t="s">
        <v>5098</v>
      </c>
      <c r="J377" s="2821">
        <f t="shared" si="41"/>
        <v>7500000</v>
      </c>
      <c r="K377" s="2821">
        <f t="shared" si="42"/>
        <v>-5000000</v>
      </c>
      <c r="L377" s="2015" t="s">
        <v>5100</v>
      </c>
    </row>
    <row r="378" spans="1:12" ht="30" customHeight="1" x14ac:dyDescent="0.2">
      <c r="A378" s="2876">
        <v>234</v>
      </c>
      <c r="B378" s="2869" t="s">
        <v>93</v>
      </c>
      <c r="C378" s="2873" t="s">
        <v>1293</v>
      </c>
      <c r="D378" s="2848">
        <v>400000000</v>
      </c>
      <c r="E378" s="2871">
        <f>F378/D378</f>
        <v>5.2499999999999998E-2</v>
      </c>
      <c r="F378" s="2848">
        <v>21000000</v>
      </c>
      <c r="G378" s="2848">
        <v>21000000</v>
      </c>
      <c r="H378" s="2848" t="s">
        <v>4922</v>
      </c>
      <c r="I378" s="2868" t="s">
        <v>506</v>
      </c>
      <c r="J378" s="2848">
        <f t="shared" si="41"/>
        <v>21000000</v>
      </c>
      <c r="K378" s="2821">
        <f t="shared" si="42"/>
        <v>0</v>
      </c>
      <c r="L378" s="2860"/>
    </row>
    <row r="379" spans="1:12" ht="30" customHeight="1" x14ac:dyDescent="0.2">
      <c r="A379" s="4459">
        <v>235</v>
      </c>
      <c r="B379" s="4457" t="s">
        <v>94</v>
      </c>
      <c r="C379" s="4620" t="s">
        <v>1172</v>
      </c>
      <c r="D379" s="4413">
        <v>60000000</v>
      </c>
      <c r="E379" s="4476">
        <v>0.05</v>
      </c>
      <c r="F379" s="4413">
        <f t="shared" si="34"/>
        <v>3000000</v>
      </c>
      <c r="G379" s="4322">
        <v>3000000</v>
      </c>
      <c r="H379" s="4322" t="s">
        <v>4938</v>
      </c>
      <c r="I379" s="4828" t="s">
        <v>4386</v>
      </c>
      <c r="J379" s="4413">
        <f t="shared" si="41"/>
        <v>3000000</v>
      </c>
      <c r="K379" s="4413">
        <f t="shared" si="42"/>
        <v>0</v>
      </c>
      <c r="L379" s="638"/>
    </row>
    <row r="380" spans="1:12" ht="30" customHeight="1" x14ac:dyDescent="0.2">
      <c r="A380" s="4464"/>
      <c r="B380" s="4458"/>
      <c r="C380" s="4620"/>
      <c r="D380" s="4415"/>
      <c r="E380" s="4477"/>
      <c r="F380" s="4415"/>
      <c r="G380" s="4322"/>
      <c r="H380" s="4322"/>
      <c r="I380" s="4829"/>
      <c r="J380" s="4415"/>
      <c r="K380" s="4415"/>
      <c r="L380" s="2861"/>
    </row>
    <row r="381" spans="1:12" ht="30" customHeight="1" x14ac:dyDescent="0.2">
      <c r="A381" s="2876">
        <v>236</v>
      </c>
      <c r="B381" s="2874" t="s">
        <v>95</v>
      </c>
      <c r="C381" s="2847"/>
      <c r="D381" s="2821">
        <v>20000000</v>
      </c>
      <c r="E381" s="2871">
        <v>0.05</v>
      </c>
      <c r="F381" s="2821">
        <f>D381*E381</f>
        <v>1000000</v>
      </c>
      <c r="G381" s="2821">
        <v>1000000</v>
      </c>
      <c r="H381" s="2821" t="s">
        <v>5018</v>
      </c>
      <c r="I381" s="2852" t="s">
        <v>334</v>
      </c>
      <c r="J381" s="2821">
        <f t="shared" si="41"/>
        <v>1000000</v>
      </c>
      <c r="K381" s="2821">
        <f t="shared" si="42"/>
        <v>0</v>
      </c>
      <c r="L381" s="2015"/>
    </row>
    <row r="382" spans="1:12" ht="30" customHeight="1" x14ac:dyDescent="0.2">
      <c r="A382" s="4459"/>
      <c r="B382" s="2829" t="s">
        <v>96</v>
      </c>
      <c r="C382" s="4537" t="s">
        <v>1718</v>
      </c>
      <c r="D382" s="2905">
        <v>55000000</v>
      </c>
      <c r="E382" s="2871">
        <v>0.05</v>
      </c>
      <c r="F382" s="2821">
        <f>D382*E382</f>
        <v>2750000</v>
      </c>
      <c r="G382" s="4413">
        <v>5250000</v>
      </c>
      <c r="H382" s="4413" t="s">
        <v>5011</v>
      </c>
      <c r="I382" s="4413" t="s">
        <v>4417</v>
      </c>
      <c r="J382" s="4413">
        <f>G382</f>
        <v>5250000</v>
      </c>
      <c r="K382" s="4413">
        <f>(F382+F383)-J382</f>
        <v>0</v>
      </c>
      <c r="L382" s="2835"/>
    </row>
    <row r="383" spans="1:12" ht="30" customHeight="1" x14ac:dyDescent="0.2">
      <c r="A383" s="4460"/>
      <c r="B383" s="2829" t="s">
        <v>2011</v>
      </c>
      <c r="C383" s="4538"/>
      <c r="D383" s="2905">
        <v>50000000</v>
      </c>
      <c r="E383" s="2871">
        <v>0.05</v>
      </c>
      <c r="F383" s="2821">
        <f>D383*E383</f>
        <v>2500000</v>
      </c>
      <c r="G383" s="4415"/>
      <c r="H383" s="4415"/>
      <c r="I383" s="4415"/>
      <c r="J383" s="4415"/>
      <c r="K383" s="4415"/>
      <c r="L383" s="2835"/>
    </row>
    <row r="384" spans="1:12" ht="30" customHeight="1" x14ac:dyDescent="0.2">
      <c r="A384" s="2826"/>
      <c r="B384" s="2829" t="s">
        <v>4009</v>
      </c>
      <c r="C384" s="2847" t="s">
        <v>262</v>
      </c>
      <c r="D384" s="2905">
        <v>10000000</v>
      </c>
      <c r="E384" s="2871">
        <v>0.05</v>
      </c>
      <c r="F384" s="2821">
        <f>D384*E384</f>
        <v>500000</v>
      </c>
      <c r="G384" s="3145">
        <v>500000</v>
      </c>
      <c r="H384" s="3145" t="s">
        <v>5085</v>
      </c>
      <c r="I384" s="3145" t="s">
        <v>5088</v>
      </c>
      <c r="J384" s="3145">
        <f>G384</f>
        <v>500000</v>
      </c>
      <c r="K384" s="2821">
        <f>F384-J384</f>
        <v>0</v>
      </c>
      <c r="L384" s="2835"/>
    </row>
    <row r="385" spans="1:14" ht="30" customHeight="1" x14ac:dyDescent="0.2">
      <c r="A385" s="2876">
        <v>238</v>
      </c>
      <c r="B385" s="2874" t="s">
        <v>97</v>
      </c>
      <c r="C385" s="2847" t="s">
        <v>1176</v>
      </c>
      <c r="D385" s="2821">
        <v>100000000</v>
      </c>
      <c r="E385" s="2871">
        <v>0.05</v>
      </c>
      <c r="F385" s="2821">
        <f t="shared" si="34"/>
        <v>5000000</v>
      </c>
      <c r="G385" s="2821">
        <v>5000000</v>
      </c>
      <c r="H385" s="2821" t="s">
        <v>4938</v>
      </c>
      <c r="I385" s="18" t="s">
        <v>3492</v>
      </c>
      <c r="J385" s="2821">
        <f t="shared" si="41"/>
        <v>5000000</v>
      </c>
      <c r="K385" s="2821">
        <f t="shared" si="42"/>
        <v>0</v>
      </c>
      <c r="L385" s="2874"/>
    </row>
    <row r="386" spans="1:14" ht="30" customHeight="1" x14ac:dyDescent="0.2">
      <c r="A386" s="2876">
        <v>239</v>
      </c>
      <c r="B386" s="2874" t="s">
        <v>98</v>
      </c>
      <c r="C386" s="2847" t="s">
        <v>372</v>
      </c>
      <c r="D386" s="2821">
        <v>50000000</v>
      </c>
      <c r="E386" s="2871">
        <v>0.05</v>
      </c>
      <c r="F386" s="2821">
        <f t="shared" si="34"/>
        <v>2500000</v>
      </c>
      <c r="G386" s="2821">
        <v>2500000</v>
      </c>
      <c r="H386" s="2821" t="s">
        <v>5045</v>
      </c>
      <c r="I386" s="21" t="s">
        <v>1876</v>
      </c>
      <c r="J386" s="2821">
        <f t="shared" si="41"/>
        <v>2500000</v>
      </c>
      <c r="K386" s="2821">
        <f t="shared" si="42"/>
        <v>0</v>
      </c>
      <c r="L386" s="2835"/>
    </row>
    <row r="387" spans="1:14" ht="30" customHeight="1" x14ac:dyDescent="0.2">
      <c r="A387" s="4459">
        <v>240</v>
      </c>
      <c r="B387" s="4457" t="s">
        <v>2274</v>
      </c>
      <c r="C387" s="4537" t="s">
        <v>990</v>
      </c>
      <c r="D387" s="4413">
        <v>100000000</v>
      </c>
      <c r="E387" s="4476">
        <v>0.04</v>
      </c>
      <c r="F387" s="4413">
        <f t="shared" si="34"/>
        <v>4000000</v>
      </c>
      <c r="G387" s="2821">
        <v>4000000</v>
      </c>
      <c r="H387" s="2821" t="s">
        <v>4938</v>
      </c>
      <c r="I387" s="21" t="s">
        <v>5037</v>
      </c>
      <c r="J387" s="2821">
        <f t="shared" si="41"/>
        <v>4000000</v>
      </c>
      <c r="K387" s="2821">
        <f t="shared" si="42"/>
        <v>0</v>
      </c>
      <c r="L387" s="2898" t="s">
        <v>4439</v>
      </c>
    </row>
    <row r="388" spans="1:14" ht="30" customHeight="1" x14ac:dyDescent="0.2">
      <c r="A388" s="4460"/>
      <c r="B388" s="4458"/>
      <c r="C388" s="4538"/>
      <c r="D388" s="4415"/>
      <c r="E388" s="4477"/>
      <c r="F388" s="4415"/>
      <c r="G388" s="3395">
        <v>4000000</v>
      </c>
      <c r="H388" s="3395" t="s">
        <v>5229</v>
      </c>
      <c r="I388" s="3431" t="s">
        <v>3517</v>
      </c>
      <c r="J388" s="3395">
        <f t="shared" si="41"/>
        <v>4000000</v>
      </c>
      <c r="K388" s="3395">
        <f>F387-J388</f>
        <v>0</v>
      </c>
      <c r="L388" s="3425" t="s">
        <v>4907</v>
      </c>
    </row>
    <row r="389" spans="1:14" ht="30" customHeight="1" x14ac:dyDescent="0.2">
      <c r="A389" s="4459">
        <v>241</v>
      </c>
      <c r="B389" s="4457" t="s">
        <v>559</v>
      </c>
      <c r="C389" s="4620" t="s">
        <v>1796</v>
      </c>
      <c r="D389" s="2848">
        <v>20000000</v>
      </c>
      <c r="E389" s="2871">
        <v>7.0000000000000007E-2</v>
      </c>
      <c r="F389" s="2848">
        <f>D389*E389</f>
        <v>1400000.0000000002</v>
      </c>
      <c r="G389" s="4413">
        <v>2300000</v>
      </c>
      <c r="H389" s="4413" t="s">
        <v>5229</v>
      </c>
      <c r="I389" s="4553" t="s">
        <v>557</v>
      </c>
      <c r="J389" s="4413">
        <f t="shared" si="41"/>
        <v>2300000</v>
      </c>
      <c r="K389" s="4413">
        <f>(F389+F390)-J389</f>
        <v>0</v>
      </c>
      <c r="L389" s="4839"/>
    </row>
    <row r="390" spans="1:14" ht="30" customHeight="1" x14ac:dyDescent="0.2">
      <c r="A390" s="4464"/>
      <c r="B390" s="4458"/>
      <c r="C390" s="4620"/>
      <c r="D390" s="2848">
        <v>10000000</v>
      </c>
      <c r="E390" s="2871">
        <v>0.09</v>
      </c>
      <c r="F390" s="2848">
        <f>D390*E390</f>
        <v>900000</v>
      </c>
      <c r="G390" s="4415"/>
      <c r="H390" s="4415"/>
      <c r="I390" s="4554"/>
      <c r="J390" s="4415"/>
      <c r="K390" s="4415"/>
      <c r="L390" s="4572"/>
    </row>
    <row r="391" spans="1:14" ht="30" customHeight="1" x14ac:dyDescent="0.2">
      <c r="A391" s="2876">
        <v>242</v>
      </c>
      <c r="B391" s="2874" t="s">
        <v>100</v>
      </c>
      <c r="C391" s="2847" t="s">
        <v>1652</v>
      </c>
      <c r="D391" s="2821">
        <v>140000000</v>
      </c>
      <c r="E391" s="2823">
        <v>4.4999999999999998E-2</v>
      </c>
      <c r="F391" s="2821">
        <f t="shared" si="34"/>
        <v>6300000</v>
      </c>
      <c r="G391" s="2821">
        <v>6300000</v>
      </c>
      <c r="H391" s="2821" t="s">
        <v>4922</v>
      </c>
      <c r="I391" s="21" t="s">
        <v>3493</v>
      </c>
      <c r="J391" s="2821">
        <f>G391</f>
        <v>6300000</v>
      </c>
      <c r="K391" s="2821">
        <f t="shared" ref="K391:K397" si="43">F391-J391</f>
        <v>0</v>
      </c>
      <c r="L391" s="2898"/>
    </row>
    <row r="392" spans="1:14" ht="30" customHeight="1" x14ac:dyDescent="0.2">
      <c r="A392" s="2876">
        <v>243</v>
      </c>
      <c r="B392" s="19" t="s">
        <v>507</v>
      </c>
      <c r="C392" s="2873" t="s">
        <v>262</v>
      </c>
      <c r="D392" s="2848">
        <v>20000000</v>
      </c>
      <c r="E392" s="2871">
        <v>0.05</v>
      </c>
      <c r="F392" s="2848">
        <f>D392*E392</f>
        <v>1000000</v>
      </c>
      <c r="G392" s="2848">
        <v>1000000</v>
      </c>
      <c r="H392" s="2848" t="s">
        <v>5011</v>
      </c>
      <c r="I392" s="2848" t="s">
        <v>3564</v>
      </c>
      <c r="J392" s="2848">
        <f>G392</f>
        <v>1000000</v>
      </c>
      <c r="K392" s="2848">
        <f t="shared" si="43"/>
        <v>0</v>
      </c>
      <c r="L392" s="2898"/>
      <c r="M392" s="248"/>
      <c r="N392" s="248"/>
    </row>
    <row r="393" spans="1:14" ht="30" customHeight="1" x14ac:dyDescent="0.2">
      <c r="A393" s="4459">
        <v>244</v>
      </c>
      <c r="B393" s="4457" t="s">
        <v>101</v>
      </c>
      <c r="C393" s="4537" t="s">
        <v>372</v>
      </c>
      <c r="D393" s="2821">
        <v>50000000</v>
      </c>
      <c r="E393" s="2871">
        <v>0.05</v>
      </c>
      <c r="F393" s="2821">
        <f t="shared" si="34"/>
        <v>2500000</v>
      </c>
      <c r="G393" s="2821">
        <v>2500000</v>
      </c>
      <c r="H393" s="2821" t="s">
        <v>4938</v>
      </c>
      <c r="I393" s="21" t="s">
        <v>3530</v>
      </c>
      <c r="J393" s="2821">
        <f>G393</f>
        <v>2500000</v>
      </c>
      <c r="K393" s="2821">
        <f t="shared" si="43"/>
        <v>0</v>
      </c>
      <c r="L393" s="2874"/>
    </row>
    <row r="394" spans="1:14" ht="30" customHeight="1" x14ac:dyDescent="0.2">
      <c r="A394" s="4460"/>
      <c r="B394" s="4458"/>
      <c r="C394" s="4538"/>
      <c r="D394" s="3126">
        <v>60000000</v>
      </c>
      <c r="E394" s="897">
        <v>0.06</v>
      </c>
      <c r="F394" s="3126">
        <f t="shared" si="34"/>
        <v>3600000</v>
      </c>
      <c r="G394" s="3011"/>
      <c r="H394" s="3011"/>
      <c r="I394" s="3030"/>
      <c r="J394" s="3011"/>
      <c r="K394" s="3011"/>
      <c r="L394" s="1662" t="s">
        <v>5032</v>
      </c>
    </row>
    <row r="395" spans="1:14" ht="30" customHeight="1" x14ac:dyDescent="0.2">
      <c r="A395" s="2876">
        <v>245</v>
      </c>
      <c r="B395" s="2874" t="s">
        <v>4060</v>
      </c>
      <c r="C395" s="2847" t="s">
        <v>262</v>
      </c>
      <c r="D395" s="2821">
        <v>70000000</v>
      </c>
      <c r="E395" s="2871">
        <v>0.05</v>
      </c>
      <c r="F395" s="2821">
        <f t="shared" si="34"/>
        <v>3500000</v>
      </c>
      <c r="G395" s="2821">
        <v>3500000</v>
      </c>
      <c r="H395" s="2821" t="s">
        <v>4938</v>
      </c>
      <c r="I395" s="2851" t="s">
        <v>4066</v>
      </c>
      <c r="J395" s="2821">
        <f>G395</f>
        <v>3500000</v>
      </c>
      <c r="K395" s="2821">
        <f t="shared" si="43"/>
        <v>0</v>
      </c>
      <c r="L395" s="2879"/>
    </row>
    <row r="396" spans="1:14" ht="30" customHeight="1" x14ac:dyDescent="0.2">
      <c r="A396" s="2876">
        <v>246</v>
      </c>
      <c r="B396" s="2874" t="s">
        <v>103</v>
      </c>
      <c r="C396" s="2847" t="s">
        <v>262</v>
      </c>
      <c r="D396" s="2821">
        <v>85000000</v>
      </c>
      <c r="E396" s="2871">
        <v>5.0999999999999997E-2</v>
      </c>
      <c r="F396" s="2821">
        <v>4300000</v>
      </c>
      <c r="G396" s="2821">
        <v>4300000</v>
      </c>
      <c r="H396" s="2821" t="s">
        <v>4938</v>
      </c>
      <c r="I396" s="27" t="s">
        <v>2864</v>
      </c>
      <c r="J396" s="2821">
        <f t="shared" ref="J396:J412" si="44">G396</f>
        <v>4300000</v>
      </c>
      <c r="K396" s="2821">
        <f t="shared" si="43"/>
        <v>0</v>
      </c>
      <c r="L396" s="2874"/>
    </row>
    <row r="397" spans="1:14" ht="30" customHeight="1" x14ac:dyDescent="0.2">
      <c r="A397" s="2876">
        <v>247</v>
      </c>
      <c r="B397" s="2874" t="s">
        <v>104</v>
      </c>
      <c r="C397" s="2847" t="s">
        <v>262</v>
      </c>
      <c r="D397" s="2821">
        <v>220000000</v>
      </c>
      <c r="E397" s="2871">
        <v>7.0000000000000007E-2</v>
      </c>
      <c r="F397" s="2821">
        <f t="shared" si="34"/>
        <v>15400000.000000002</v>
      </c>
      <c r="G397" s="2821">
        <v>15400000</v>
      </c>
      <c r="H397" s="2821" t="s">
        <v>5054</v>
      </c>
      <c r="I397" s="21" t="s">
        <v>4092</v>
      </c>
      <c r="J397" s="2821">
        <f t="shared" si="44"/>
        <v>15400000</v>
      </c>
      <c r="K397" s="2821">
        <f t="shared" si="43"/>
        <v>0</v>
      </c>
      <c r="L397" s="2898"/>
      <c r="M397" s="859"/>
      <c r="N397" s="860"/>
    </row>
    <row r="398" spans="1:14" ht="30" customHeight="1" x14ac:dyDescent="0.2">
      <c r="A398" s="4459">
        <v>250</v>
      </c>
      <c r="B398" s="4457" t="s">
        <v>107</v>
      </c>
      <c r="C398" s="4537"/>
      <c r="D398" s="2821">
        <v>200000000</v>
      </c>
      <c r="E398" s="2871">
        <v>0.04</v>
      </c>
      <c r="F398" s="2821">
        <f t="shared" si="34"/>
        <v>8000000</v>
      </c>
      <c r="G398" s="4413"/>
      <c r="H398" s="4413"/>
      <c r="I398" s="4621" t="s">
        <v>1220</v>
      </c>
      <c r="J398" s="4413">
        <f t="shared" si="44"/>
        <v>0</v>
      </c>
      <c r="K398" s="4413">
        <f>(F398+F399)-J398</f>
        <v>20500000</v>
      </c>
      <c r="L398" s="2874"/>
    </row>
    <row r="399" spans="1:14" ht="30" customHeight="1" x14ac:dyDescent="0.2">
      <c r="A399" s="4460"/>
      <c r="B399" s="4458"/>
      <c r="C399" s="4538"/>
      <c r="D399" s="2821">
        <v>250000000</v>
      </c>
      <c r="E399" s="2871">
        <v>0.05</v>
      </c>
      <c r="F399" s="2821">
        <f t="shared" si="34"/>
        <v>12500000</v>
      </c>
      <c r="G399" s="4415"/>
      <c r="H399" s="4415"/>
      <c r="I399" s="4622"/>
      <c r="J399" s="4415"/>
      <c r="K399" s="4415"/>
      <c r="L399" s="2885"/>
    </row>
    <row r="400" spans="1:14" ht="30" customHeight="1" x14ac:dyDescent="0.2">
      <c r="A400" s="4459">
        <v>251</v>
      </c>
      <c r="B400" s="4457" t="s">
        <v>1830</v>
      </c>
      <c r="C400" s="4537" t="s">
        <v>371</v>
      </c>
      <c r="D400" s="2848">
        <v>90000000</v>
      </c>
      <c r="E400" s="2871">
        <v>0.06</v>
      </c>
      <c r="F400" s="2848">
        <f t="shared" si="34"/>
        <v>5400000</v>
      </c>
      <c r="G400" s="4322">
        <v>15200000</v>
      </c>
      <c r="H400" s="4322" t="s">
        <v>5054</v>
      </c>
      <c r="I400" s="4642" t="s">
        <v>5062</v>
      </c>
      <c r="J400" s="4322">
        <f t="shared" si="44"/>
        <v>15200000</v>
      </c>
      <c r="K400" s="4413">
        <f>(F400+F401+F402)-J400</f>
        <v>0</v>
      </c>
      <c r="L400" s="2885"/>
    </row>
    <row r="401" spans="1:15" ht="30" customHeight="1" x14ac:dyDescent="0.2">
      <c r="A401" s="4464"/>
      <c r="B401" s="4488"/>
      <c r="C401" s="4540"/>
      <c r="D401" s="2848">
        <v>100000000</v>
      </c>
      <c r="E401" s="2871">
        <v>7.0000000000000007E-2</v>
      </c>
      <c r="F401" s="2848">
        <f t="shared" si="34"/>
        <v>7000000.0000000009</v>
      </c>
      <c r="G401" s="4322"/>
      <c r="H401" s="4322"/>
      <c r="I401" s="4642"/>
      <c r="J401" s="4322"/>
      <c r="K401" s="4414"/>
      <c r="L401" s="2862"/>
    </row>
    <row r="402" spans="1:15" ht="30" customHeight="1" x14ac:dyDescent="0.2">
      <c r="A402" s="4460"/>
      <c r="B402" s="4458"/>
      <c r="C402" s="4538"/>
      <c r="D402" s="2821">
        <v>40000000</v>
      </c>
      <c r="E402" s="2823">
        <v>7.0000000000000007E-2</v>
      </c>
      <c r="F402" s="2821">
        <f t="shared" si="34"/>
        <v>2800000.0000000005</v>
      </c>
      <c r="G402" s="4322"/>
      <c r="H402" s="4322"/>
      <c r="I402" s="4642"/>
      <c r="J402" s="4322"/>
      <c r="K402" s="4415"/>
      <c r="L402" s="3148" t="s">
        <v>4647</v>
      </c>
    </row>
    <row r="403" spans="1:15" ht="30" customHeight="1" x14ac:dyDescent="0.2">
      <c r="A403" s="4459"/>
      <c r="B403" s="4457" t="s">
        <v>4607</v>
      </c>
      <c r="C403" s="4537" t="s">
        <v>1293</v>
      </c>
      <c r="D403" s="2821">
        <v>150000000</v>
      </c>
      <c r="E403" s="2906">
        <v>0.06</v>
      </c>
      <c r="F403" s="2905">
        <f t="shared" si="34"/>
        <v>9000000</v>
      </c>
      <c r="G403" s="2914">
        <v>9000000</v>
      </c>
      <c r="H403" s="2914" t="s">
        <v>4862</v>
      </c>
      <c r="I403" s="2922" t="s">
        <v>4874</v>
      </c>
      <c r="J403" s="2914">
        <f>G403</f>
        <v>9000000</v>
      </c>
      <c r="K403" s="2905">
        <f>F403-J403</f>
        <v>0</v>
      </c>
      <c r="L403" s="2923" t="s">
        <v>4608</v>
      </c>
    </row>
    <row r="404" spans="1:15" ht="30" customHeight="1" x14ac:dyDescent="0.2">
      <c r="A404" s="4460"/>
      <c r="B404" s="4458"/>
      <c r="C404" s="4538"/>
      <c r="D404" s="3136">
        <v>90000000</v>
      </c>
      <c r="E404" s="3137"/>
      <c r="F404" s="3136"/>
      <c r="G404" s="3135"/>
      <c r="H404" s="3135"/>
      <c r="I404" s="3131"/>
      <c r="J404" s="3135"/>
      <c r="K404" s="3138"/>
      <c r="L404" s="3148"/>
    </row>
    <row r="405" spans="1:15" ht="30" customHeight="1" x14ac:dyDescent="0.2">
      <c r="A405" s="4459"/>
      <c r="B405" s="4457" t="s">
        <v>4611</v>
      </c>
      <c r="C405" s="4620" t="s">
        <v>1176</v>
      </c>
      <c r="D405" s="2821">
        <v>165000000</v>
      </c>
      <c r="E405" s="3037">
        <v>0.06</v>
      </c>
      <c r="F405" s="3036">
        <f t="shared" si="34"/>
        <v>9900000</v>
      </c>
      <c r="G405" s="4413">
        <v>12840000</v>
      </c>
      <c r="H405" s="4413" t="s">
        <v>5054</v>
      </c>
      <c r="I405" s="4478" t="s">
        <v>1810</v>
      </c>
      <c r="J405" s="4413">
        <f>G405</f>
        <v>12840000</v>
      </c>
      <c r="K405" s="4413"/>
      <c r="L405" s="3038" t="s">
        <v>4953</v>
      </c>
    </row>
    <row r="406" spans="1:15" ht="30" customHeight="1" x14ac:dyDescent="0.2">
      <c r="A406" s="4460"/>
      <c r="B406" s="4458"/>
      <c r="C406" s="4620"/>
      <c r="D406" s="3011">
        <v>105000000</v>
      </c>
      <c r="E406" s="3037">
        <v>0.06</v>
      </c>
      <c r="F406" s="3036">
        <f t="shared" si="34"/>
        <v>6300000</v>
      </c>
      <c r="G406" s="4415"/>
      <c r="H406" s="4415"/>
      <c r="I406" s="4479"/>
      <c r="J406" s="4415"/>
      <c r="K406" s="4415"/>
      <c r="L406" s="3022" t="s">
        <v>4954</v>
      </c>
    </row>
    <row r="407" spans="1:15" ht="30" customHeight="1" x14ac:dyDescent="0.2">
      <c r="A407" s="4459"/>
      <c r="B407" s="4457" t="s">
        <v>4895</v>
      </c>
      <c r="C407" s="4537" t="s">
        <v>1293</v>
      </c>
      <c r="D407" s="2982">
        <v>300000000</v>
      </c>
      <c r="E407" s="2983">
        <v>0.06</v>
      </c>
      <c r="F407" s="2982">
        <f>D407*E407</f>
        <v>18000000</v>
      </c>
      <c r="G407" s="2992">
        <v>18000000</v>
      </c>
      <c r="H407" s="2992" t="s">
        <v>4893</v>
      </c>
      <c r="I407" s="2998" t="s">
        <v>4896</v>
      </c>
      <c r="J407" s="2992">
        <f>G407</f>
        <v>18000000</v>
      </c>
      <c r="K407" s="4413">
        <f>F407-J407</f>
        <v>0</v>
      </c>
      <c r="L407" s="3001" t="s">
        <v>4897</v>
      </c>
    </row>
    <row r="408" spans="1:15" ht="30" customHeight="1" x14ac:dyDescent="0.2">
      <c r="A408" s="4464"/>
      <c r="B408" s="4488"/>
      <c r="C408" s="4540"/>
      <c r="D408" s="3222">
        <v>50000000</v>
      </c>
      <c r="E408" s="3224">
        <v>0.06</v>
      </c>
      <c r="F408" s="3222">
        <f>D408*E408</f>
        <v>3000000</v>
      </c>
      <c r="G408" s="3221"/>
      <c r="H408" s="3221"/>
      <c r="I408" s="3225"/>
      <c r="J408" s="3221"/>
      <c r="K408" s="4414"/>
      <c r="L408" s="3235" t="s">
        <v>5139</v>
      </c>
    </row>
    <row r="409" spans="1:15" ht="30" customHeight="1" x14ac:dyDescent="0.2">
      <c r="A409" s="4460"/>
      <c r="B409" s="4458"/>
      <c r="C409" s="4538"/>
      <c r="D409" s="3242">
        <f>350000000</f>
        <v>350000000</v>
      </c>
      <c r="E409" s="3243">
        <v>0.06</v>
      </c>
      <c r="F409" s="3242">
        <f>D409*E409</f>
        <v>21000000</v>
      </c>
      <c r="G409" s="3221"/>
      <c r="H409" s="3221"/>
      <c r="I409" s="3225"/>
      <c r="J409" s="3221"/>
      <c r="K409" s="4415"/>
      <c r="L409" s="3235"/>
    </row>
    <row r="410" spans="1:15" ht="30" customHeight="1" x14ac:dyDescent="0.2">
      <c r="A410" s="4459">
        <v>252</v>
      </c>
      <c r="B410" s="4457" t="s">
        <v>109</v>
      </c>
      <c r="C410" s="4537" t="s">
        <v>262</v>
      </c>
      <c r="D410" s="2821">
        <v>270000000</v>
      </c>
      <c r="E410" s="2823">
        <v>0.05</v>
      </c>
      <c r="F410" s="2821">
        <f>D410*E410</f>
        <v>13500000</v>
      </c>
      <c r="G410" s="4413">
        <v>17000000</v>
      </c>
      <c r="H410" s="4413" t="s">
        <v>5054</v>
      </c>
      <c r="I410" s="4478" t="s">
        <v>1810</v>
      </c>
      <c r="J410" s="4975">
        <f>G410</f>
        <v>17000000</v>
      </c>
      <c r="K410" s="4413">
        <f>(F410+F411)-J410</f>
        <v>0</v>
      </c>
      <c r="L410" s="2926" t="s">
        <v>4427</v>
      </c>
    </row>
    <row r="411" spans="1:15" ht="30" customHeight="1" x14ac:dyDescent="0.2">
      <c r="A411" s="4460"/>
      <c r="B411" s="4458"/>
      <c r="C411" s="4538"/>
      <c r="D411" s="2821">
        <v>70000000</v>
      </c>
      <c r="E411" s="2823">
        <v>0.05</v>
      </c>
      <c r="F411" s="2821">
        <f>D411*E411</f>
        <v>3500000</v>
      </c>
      <c r="G411" s="4415"/>
      <c r="H411" s="4415"/>
      <c r="I411" s="4479"/>
      <c r="J411" s="4479"/>
      <c r="K411" s="4415"/>
      <c r="L411" s="2885" t="s">
        <v>4426</v>
      </c>
    </row>
    <row r="412" spans="1:15" ht="30" customHeight="1" x14ac:dyDescent="0.2">
      <c r="A412" s="4614">
        <v>253</v>
      </c>
      <c r="B412" s="4457" t="s">
        <v>110</v>
      </c>
      <c r="C412" s="4537" t="s">
        <v>262</v>
      </c>
      <c r="D412" s="2821">
        <v>20000000</v>
      </c>
      <c r="E412" s="2871">
        <v>0.05</v>
      </c>
      <c r="F412" s="2821">
        <f t="shared" si="34"/>
        <v>1000000</v>
      </c>
      <c r="G412" s="4413">
        <v>2000000</v>
      </c>
      <c r="H412" s="4413" t="s">
        <v>5017</v>
      </c>
      <c r="I412" s="4558" t="s">
        <v>3538</v>
      </c>
      <c r="J412" s="4413">
        <f t="shared" si="44"/>
        <v>2000000</v>
      </c>
      <c r="K412" s="4413">
        <f>(F412+F413)-J412</f>
        <v>0</v>
      </c>
      <c r="L412" s="2885"/>
      <c r="M412" s="1176"/>
      <c r="N412" s="1176"/>
      <c r="O412" s="1176"/>
    </row>
    <row r="413" spans="1:15" ht="30" customHeight="1" x14ac:dyDescent="0.2">
      <c r="A413" s="4614"/>
      <c r="B413" s="4488"/>
      <c r="C413" s="4540"/>
      <c r="D413" s="2821">
        <v>20000000</v>
      </c>
      <c r="E413" s="2871">
        <v>0.05</v>
      </c>
      <c r="F413" s="2821">
        <f t="shared" si="34"/>
        <v>1000000</v>
      </c>
      <c r="G413" s="4415"/>
      <c r="H413" s="4415"/>
      <c r="I413" s="4560"/>
      <c r="J413" s="4415"/>
      <c r="K413" s="4415"/>
      <c r="L413" s="2885"/>
      <c r="M413" s="248"/>
      <c r="N413" s="248"/>
      <c r="O413" s="248"/>
    </row>
    <row r="414" spans="1:15" ht="30" customHeight="1" x14ac:dyDescent="0.2">
      <c r="A414" s="4614"/>
      <c r="B414" s="4458"/>
      <c r="C414" s="4538"/>
      <c r="D414" s="3477">
        <v>20000000</v>
      </c>
      <c r="E414" s="3480">
        <v>0.05</v>
      </c>
      <c r="F414" s="3477">
        <f t="shared" si="34"/>
        <v>1000000</v>
      </c>
      <c r="G414" s="4303" t="s">
        <v>5339</v>
      </c>
      <c r="H414" s="4324"/>
      <c r="I414" s="4324"/>
      <c r="J414" s="4355"/>
      <c r="K414" s="3476"/>
      <c r="L414" s="3482" t="s">
        <v>5338</v>
      </c>
      <c r="M414" s="248"/>
      <c r="N414" s="248"/>
      <c r="O414" s="248"/>
    </row>
    <row r="415" spans="1:15" ht="30" customHeight="1" x14ac:dyDescent="0.2">
      <c r="A415" s="4464"/>
      <c r="B415" s="4457" t="s">
        <v>1893</v>
      </c>
      <c r="C415" s="4537" t="s">
        <v>371</v>
      </c>
      <c r="D415" s="2821">
        <v>175000000</v>
      </c>
      <c r="E415" s="2871">
        <v>0.05</v>
      </c>
      <c r="F415" s="2821">
        <f t="shared" si="34"/>
        <v>8750000</v>
      </c>
      <c r="G415" s="4413">
        <v>12170000</v>
      </c>
      <c r="H415" s="4413" t="s">
        <v>5085</v>
      </c>
      <c r="I415" s="4413" t="s">
        <v>2946</v>
      </c>
      <c r="J415" s="4413">
        <f>G415</f>
        <v>12170000</v>
      </c>
      <c r="K415" s="4413"/>
      <c r="L415" s="2885"/>
      <c r="M415" s="248"/>
      <c r="N415" s="248"/>
      <c r="O415" s="248"/>
    </row>
    <row r="416" spans="1:15" ht="30" customHeight="1" x14ac:dyDescent="0.2">
      <c r="A416" s="4464"/>
      <c r="B416" s="4488"/>
      <c r="C416" s="4540"/>
      <c r="D416" s="2821">
        <v>90000000</v>
      </c>
      <c r="E416" s="2871">
        <v>0.06</v>
      </c>
      <c r="F416" s="2821">
        <f t="shared" si="34"/>
        <v>5400000</v>
      </c>
      <c r="G416" s="4415"/>
      <c r="H416" s="4415"/>
      <c r="I416" s="4415"/>
      <c r="J416" s="4415"/>
      <c r="K416" s="4415"/>
      <c r="L416" s="2885" t="s">
        <v>5086</v>
      </c>
      <c r="M416" s="248"/>
      <c r="N416" s="248"/>
      <c r="O416" s="248"/>
    </row>
    <row r="417" spans="1:12" ht="30" customHeight="1" x14ac:dyDescent="0.2">
      <c r="A417" s="3056">
        <v>255</v>
      </c>
      <c r="B417" s="3055" t="s">
        <v>112</v>
      </c>
      <c r="C417" s="3054" t="s">
        <v>262</v>
      </c>
      <c r="D417" s="2821">
        <v>40000000</v>
      </c>
      <c r="E417" s="2871">
        <v>0.05</v>
      </c>
      <c r="F417" s="2821">
        <f t="shared" si="34"/>
        <v>2000000</v>
      </c>
      <c r="G417" s="2821">
        <v>2000000</v>
      </c>
      <c r="H417" s="2821" t="s">
        <v>5054</v>
      </c>
      <c r="I417" s="18" t="s">
        <v>342</v>
      </c>
      <c r="J417" s="2821">
        <f>G417</f>
        <v>2000000</v>
      </c>
      <c r="K417" s="2821">
        <f>F417-J417</f>
        <v>0</v>
      </c>
      <c r="L417" s="2874"/>
    </row>
    <row r="418" spans="1:12" ht="30" customHeight="1" x14ac:dyDescent="0.2">
      <c r="A418" s="2876">
        <v>256</v>
      </c>
      <c r="B418" s="2874" t="s">
        <v>113</v>
      </c>
      <c r="C418" s="2847" t="s">
        <v>371</v>
      </c>
      <c r="D418" s="2821">
        <v>100000000</v>
      </c>
      <c r="E418" s="2871">
        <v>0.05</v>
      </c>
      <c r="F418" s="2821">
        <f t="shared" si="34"/>
        <v>5000000</v>
      </c>
      <c r="G418" s="2821">
        <v>5000000</v>
      </c>
      <c r="H418" s="2821" t="s">
        <v>5054</v>
      </c>
      <c r="I418" s="18" t="s">
        <v>4455</v>
      </c>
      <c r="J418" s="2821">
        <f>G418</f>
        <v>5000000</v>
      </c>
      <c r="K418" s="2821">
        <f>F418-J418</f>
        <v>0</v>
      </c>
      <c r="L418" s="2874"/>
    </row>
    <row r="419" spans="1:12" ht="30" customHeight="1" x14ac:dyDescent="0.2">
      <c r="A419" s="2876">
        <v>257</v>
      </c>
      <c r="B419" s="2874" t="s">
        <v>114</v>
      </c>
      <c r="C419" s="2847" t="s">
        <v>1292</v>
      </c>
      <c r="D419" s="2821">
        <v>30000000</v>
      </c>
      <c r="E419" s="2871">
        <v>0.05</v>
      </c>
      <c r="F419" s="2821">
        <f t="shared" si="34"/>
        <v>1500000</v>
      </c>
      <c r="G419" s="2821">
        <v>1500000</v>
      </c>
      <c r="H419" s="2821" t="s">
        <v>5085</v>
      </c>
      <c r="I419" s="21" t="s">
        <v>482</v>
      </c>
      <c r="J419" s="2821">
        <f>G419</f>
        <v>1500000</v>
      </c>
      <c r="K419" s="2821">
        <f>F419-J419</f>
        <v>0</v>
      </c>
      <c r="L419" s="2874"/>
    </row>
    <row r="420" spans="1:12" ht="30" customHeight="1" x14ac:dyDescent="0.2">
      <c r="A420" s="2876">
        <v>258</v>
      </c>
      <c r="B420" s="2874" t="s">
        <v>849</v>
      </c>
      <c r="C420" s="2847" t="s">
        <v>262</v>
      </c>
      <c r="D420" s="2821">
        <v>12000000</v>
      </c>
      <c r="E420" s="2871">
        <v>0.05</v>
      </c>
      <c r="F420" s="2821">
        <f t="shared" si="34"/>
        <v>600000</v>
      </c>
      <c r="G420" s="4413">
        <v>1600000</v>
      </c>
      <c r="H420" s="4413" t="s">
        <v>5085</v>
      </c>
      <c r="I420" s="4553" t="s">
        <v>475</v>
      </c>
      <c r="J420" s="4413">
        <f>G420</f>
        <v>1600000</v>
      </c>
      <c r="K420" s="4413">
        <f>(F420+F421)-J420</f>
        <v>0</v>
      </c>
      <c r="L420" s="4599"/>
    </row>
    <row r="421" spans="1:12" ht="30" customHeight="1" x14ac:dyDescent="0.2">
      <c r="A421" s="2876">
        <v>259</v>
      </c>
      <c r="B421" s="2874" t="s">
        <v>156</v>
      </c>
      <c r="C421" s="2847" t="s">
        <v>262</v>
      </c>
      <c r="D421" s="2821">
        <v>20000000</v>
      </c>
      <c r="E421" s="2871">
        <v>0.05</v>
      </c>
      <c r="F421" s="2821">
        <f>D421*E421</f>
        <v>1000000</v>
      </c>
      <c r="G421" s="4415"/>
      <c r="H421" s="4415"/>
      <c r="I421" s="4554"/>
      <c r="J421" s="4415"/>
      <c r="K421" s="4415"/>
      <c r="L421" s="4607"/>
    </row>
    <row r="422" spans="1:12" ht="30" customHeight="1" x14ac:dyDescent="0.2">
      <c r="A422" s="4459">
        <v>261</v>
      </c>
      <c r="B422" s="4457" t="s">
        <v>117</v>
      </c>
      <c r="C422" s="2847" t="s">
        <v>1300</v>
      </c>
      <c r="D422" s="2821">
        <v>10500000</v>
      </c>
      <c r="E422" s="2871">
        <v>0.05</v>
      </c>
      <c r="F422" s="2821">
        <f t="shared" si="34"/>
        <v>525000</v>
      </c>
      <c r="G422" s="4413">
        <v>1575000</v>
      </c>
      <c r="H422" s="4413" t="s">
        <v>4841</v>
      </c>
      <c r="I422" s="4553" t="s">
        <v>3671</v>
      </c>
      <c r="J422" s="4413">
        <f t="shared" ref="J422:J427" si="45">G422</f>
        <v>1575000</v>
      </c>
      <c r="K422" s="4413">
        <v>0</v>
      </c>
      <c r="L422" s="4680"/>
    </row>
    <row r="423" spans="1:12" ht="30" customHeight="1" x14ac:dyDescent="0.2">
      <c r="A423" s="4464"/>
      <c r="B423" s="4488"/>
      <c r="C423" s="4537" t="s">
        <v>3323</v>
      </c>
      <c r="D423" s="2821">
        <v>10000000</v>
      </c>
      <c r="E423" s="2871">
        <v>7.0000000000000007E-2</v>
      </c>
      <c r="F423" s="2821">
        <f>D423*E423</f>
        <v>700000.00000000012</v>
      </c>
      <c r="G423" s="4414"/>
      <c r="H423" s="4414"/>
      <c r="I423" s="4950"/>
      <c r="J423" s="4414"/>
      <c r="K423" s="4414"/>
      <c r="L423" s="4974"/>
    </row>
    <row r="424" spans="1:12" ht="30" customHeight="1" x14ac:dyDescent="0.2">
      <c r="A424" s="4464"/>
      <c r="B424" s="4488"/>
      <c r="C424" s="4540"/>
      <c r="D424" s="2821">
        <v>5000000</v>
      </c>
      <c r="E424" s="2871">
        <v>7.0000000000000007E-2</v>
      </c>
      <c r="F424" s="2821">
        <f>D424*E424</f>
        <v>350000.00000000006</v>
      </c>
      <c r="G424" s="4414"/>
      <c r="H424" s="4414"/>
      <c r="I424" s="4950"/>
      <c r="J424" s="4414"/>
      <c r="K424" s="4414"/>
      <c r="L424" s="4974"/>
    </row>
    <row r="425" spans="1:12" ht="30" customHeight="1" x14ac:dyDescent="0.2">
      <c r="A425" s="2827"/>
      <c r="B425" s="2830"/>
      <c r="C425" s="4538"/>
      <c r="D425" s="2891">
        <v>25500000</v>
      </c>
      <c r="E425" s="897"/>
      <c r="F425" s="2891">
        <f>SUM(F422:F424)</f>
        <v>1575000</v>
      </c>
      <c r="G425" s="4415"/>
      <c r="H425" s="4415"/>
      <c r="I425" s="4554"/>
      <c r="J425" s="4415"/>
      <c r="K425" s="4415"/>
      <c r="L425" s="2863"/>
    </row>
    <row r="426" spans="1:12" ht="30" customHeight="1" x14ac:dyDescent="0.2">
      <c r="A426" s="2876">
        <v>263</v>
      </c>
      <c r="B426" s="19" t="s">
        <v>572</v>
      </c>
      <c r="C426" s="2873" t="s">
        <v>1300</v>
      </c>
      <c r="D426" s="2848">
        <v>105000000</v>
      </c>
      <c r="E426" s="2871">
        <v>5.8000000000000003E-2</v>
      </c>
      <c r="F426" s="2848">
        <v>6000000</v>
      </c>
      <c r="G426" s="2848">
        <v>6000000</v>
      </c>
      <c r="H426" s="2848" t="s">
        <v>5017</v>
      </c>
      <c r="I426" s="2848" t="s">
        <v>4143</v>
      </c>
      <c r="J426" s="2848">
        <f t="shared" si="45"/>
        <v>6000000</v>
      </c>
      <c r="K426" s="2848">
        <f>F426-J426</f>
        <v>0</v>
      </c>
      <c r="L426" s="2854"/>
    </row>
    <row r="427" spans="1:12" ht="30" customHeight="1" x14ac:dyDescent="0.2">
      <c r="A427" s="2826">
        <v>264</v>
      </c>
      <c r="B427" s="2829" t="s">
        <v>119</v>
      </c>
      <c r="C427" s="2847" t="s">
        <v>262</v>
      </c>
      <c r="D427" s="2821">
        <v>50000000</v>
      </c>
      <c r="E427" s="2823">
        <f>F427/D427</f>
        <v>0.06</v>
      </c>
      <c r="F427" s="2821">
        <v>3000000</v>
      </c>
      <c r="G427" s="2821">
        <v>3000000</v>
      </c>
      <c r="H427" s="2848" t="s">
        <v>4938</v>
      </c>
      <c r="I427" s="3115" t="s">
        <v>3563</v>
      </c>
      <c r="J427" s="2821">
        <f t="shared" si="45"/>
        <v>3000000</v>
      </c>
      <c r="K427" s="2821">
        <f>F427-J427</f>
        <v>0</v>
      </c>
      <c r="L427" s="2885"/>
    </row>
    <row r="428" spans="1:12" ht="30" customHeight="1" x14ac:dyDescent="0.2">
      <c r="A428" s="1029">
        <v>265</v>
      </c>
      <c r="B428" s="19" t="s">
        <v>121</v>
      </c>
      <c r="C428" s="3119" t="s">
        <v>262</v>
      </c>
      <c r="D428" s="3115">
        <v>1000000000</v>
      </c>
      <c r="E428" s="3117">
        <v>7.0000000000000007E-2</v>
      </c>
      <c r="F428" s="3115">
        <f>D428*E428</f>
        <v>70000000</v>
      </c>
      <c r="G428" s="3115">
        <v>70000000</v>
      </c>
      <c r="H428" s="3115" t="s">
        <v>5017</v>
      </c>
      <c r="I428" s="3115" t="s">
        <v>3290</v>
      </c>
      <c r="J428" s="3115">
        <f>G428</f>
        <v>70000000</v>
      </c>
      <c r="K428" s="3115">
        <f>F428-J428</f>
        <v>0</v>
      </c>
      <c r="L428" s="2854" t="s">
        <v>3283</v>
      </c>
    </row>
    <row r="429" spans="1:12" ht="30" customHeight="1" x14ac:dyDescent="0.2">
      <c r="A429" s="2876">
        <v>266</v>
      </c>
      <c r="B429" s="2829" t="s">
        <v>1918</v>
      </c>
      <c r="C429" s="2847" t="s">
        <v>371</v>
      </c>
      <c r="D429" s="2821">
        <v>80000000</v>
      </c>
      <c r="E429" s="2823">
        <v>4.4999999999999998E-2</v>
      </c>
      <c r="F429" s="2821">
        <f t="shared" ref="F429:F500" si="46">D429*E429</f>
        <v>3600000</v>
      </c>
      <c r="G429" s="2821">
        <v>3600000</v>
      </c>
      <c r="H429" s="2821" t="s">
        <v>5085</v>
      </c>
      <c r="I429" s="18" t="s">
        <v>4067</v>
      </c>
      <c r="J429" s="2821">
        <f>G429</f>
        <v>3600000</v>
      </c>
      <c r="K429" s="2821">
        <f>F429-J429</f>
        <v>0</v>
      </c>
      <c r="L429" s="2874"/>
    </row>
    <row r="430" spans="1:12" ht="30" customHeight="1" x14ac:dyDescent="0.2">
      <c r="A430" s="4459">
        <v>267</v>
      </c>
      <c r="B430" s="4457" t="s">
        <v>497</v>
      </c>
      <c r="C430" s="4537" t="s">
        <v>371</v>
      </c>
      <c r="D430" s="4413">
        <v>300000000</v>
      </c>
      <c r="E430" s="4476">
        <v>0.04</v>
      </c>
      <c r="F430" s="4413">
        <f>D430*E430</f>
        <v>12000000</v>
      </c>
      <c r="G430" s="4413">
        <v>12000000</v>
      </c>
      <c r="H430" s="4413" t="s">
        <v>5085</v>
      </c>
      <c r="I430" s="4413" t="s">
        <v>3579</v>
      </c>
      <c r="J430" s="4413">
        <f>G430</f>
        <v>12000000</v>
      </c>
      <c r="K430" s="4413">
        <f>F430-J430</f>
        <v>0</v>
      </c>
      <c r="L430" s="2854" t="s">
        <v>2891</v>
      </c>
    </row>
    <row r="431" spans="1:12" ht="30" customHeight="1" x14ac:dyDescent="0.2">
      <c r="A431" s="4460"/>
      <c r="B431" s="4458"/>
      <c r="C431" s="4538"/>
      <c r="D431" s="4415"/>
      <c r="E431" s="4477"/>
      <c r="F431" s="4415"/>
      <c r="G431" s="4415"/>
      <c r="H431" s="4415"/>
      <c r="I431" s="4415"/>
      <c r="J431" s="4415"/>
      <c r="K431" s="4415"/>
      <c r="L431" s="2854" t="s">
        <v>3380</v>
      </c>
    </row>
    <row r="432" spans="1:12" ht="30" customHeight="1" x14ac:dyDescent="0.2">
      <c r="A432" s="2876">
        <v>268</v>
      </c>
      <c r="B432" s="2874" t="s">
        <v>391</v>
      </c>
      <c r="C432" s="2847" t="s">
        <v>392</v>
      </c>
      <c r="D432" s="2821">
        <v>130000000</v>
      </c>
      <c r="E432" s="2871">
        <v>4.4999999999999998E-2</v>
      </c>
      <c r="F432" s="2821">
        <f t="shared" si="46"/>
        <v>5850000</v>
      </c>
      <c r="G432" s="2821">
        <v>5850000</v>
      </c>
      <c r="H432" s="2821" t="s">
        <v>4877</v>
      </c>
      <c r="I432" s="18" t="s">
        <v>2056</v>
      </c>
      <c r="J432" s="2821">
        <f>G432</f>
        <v>5850000</v>
      </c>
      <c r="K432" s="2821">
        <f>F432-J432</f>
        <v>0</v>
      </c>
      <c r="L432" s="2874"/>
    </row>
    <row r="433" spans="1:15" ht="30" customHeight="1" x14ac:dyDescent="0.2">
      <c r="A433" s="2903">
        <v>269</v>
      </c>
      <c r="B433" s="2920" t="s">
        <v>123</v>
      </c>
      <c r="C433" s="2919" t="s">
        <v>262</v>
      </c>
      <c r="D433" s="2821">
        <v>500000000</v>
      </c>
      <c r="E433" s="2871">
        <v>0.06</v>
      </c>
      <c r="F433" s="2821">
        <f t="shared" si="46"/>
        <v>30000000</v>
      </c>
      <c r="G433" s="3047">
        <v>30000000</v>
      </c>
      <c r="H433" s="3047" t="s">
        <v>4961</v>
      </c>
      <c r="I433" s="18" t="s">
        <v>3546</v>
      </c>
      <c r="J433" s="3047">
        <f>G433</f>
        <v>30000000</v>
      </c>
      <c r="K433" s="2821">
        <f>F433-J433</f>
        <v>0</v>
      </c>
      <c r="L433" s="2874"/>
    </row>
    <row r="434" spans="1:15" ht="30" customHeight="1" x14ac:dyDescent="0.2">
      <c r="A434" s="2876">
        <v>270</v>
      </c>
      <c r="B434" s="2874" t="s">
        <v>124</v>
      </c>
      <c r="C434" s="2847"/>
      <c r="D434" s="2821">
        <v>20000000</v>
      </c>
      <c r="E434" s="2871">
        <v>5.5E-2</v>
      </c>
      <c r="F434" s="2821">
        <f t="shared" si="46"/>
        <v>1100000</v>
      </c>
      <c r="G434" s="2821">
        <v>1100000</v>
      </c>
      <c r="H434" s="2821" t="s">
        <v>5017</v>
      </c>
      <c r="I434" s="21" t="s">
        <v>492</v>
      </c>
      <c r="J434" s="2821">
        <f>G434</f>
        <v>1100000</v>
      </c>
      <c r="K434" s="2821">
        <f>F434-J434</f>
        <v>0</v>
      </c>
      <c r="L434" s="2898"/>
    </row>
    <row r="435" spans="1:15" ht="30" customHeight="1" x14ac:dyDescent="0.2">
      <c r="A435" s="4459">
        <v>271</v>
      </c>
      <c r="B435" s="4457" t="s">
        <v>125</v>
      </c>
      <c r="C435" s="2873" t="s">
        <v>359</v>
      </c>
      <c r="D435" s="2848">
        <v>40000000</v>
      </c>
      <c r="E435" s="2871">
        <v>5.5E-2</v>
      </c>
      <c r="F435" s="2848">
        <f t="shared" si="46"/>
        <v>2200000</v>
      </c>
      <c r="G435" s="2848">
        <v>2200000</v>
      </c>
      <c r="H435" s="2848" t="s">
        <v>5085</v>
      </c>
      <c r="I435" s="18" t="s">
        <v>4461</v>
      </c>
      <c r="J435" s="2848">
        <f>G435</f>
        <v>2200000</v>
      </c>
      <c r="K435" s="2848">
        <f>F435-J435</f>
        <v>0</v>
      </c>
      <c r="L435" s="2874"/>
    </row>
    <row r="436" spans="1:15" ht="30" customHeight="1" x14ac:dyDescent="0.2">
      <c r="A436" s="4464"/>
      <c r="B436" s="4488"/>
      <c r="C436" s="4537" t="s">
        <v>1796</v>
      </c>
      <c r="D436" s="2821">
        <v>10000000</v>
      </c>
      <c r="E436" s="2823">
        <v>0.05</v>
      </c>
      <c r="F436" s="2821">
        <f t="shared" si="46"/>
        <v>500000</v>
      </c>
      <c r="G436" s="4413">
        <v>1000000</v>
      </c>
      <c r="H436" s="4413" t="s">
        <v>5229</v>
      </c>
      <c r="I436" s="4413" t="s">
        <v>4461</v>
      </c>
      <c r="J436" s="4413">
        <f>G436</f>
        <v>1000000</v>
      </c>
      <c r="K436" s="4413">
        <f>(F436+F437)-J436</f>
        <v>0</v>
      </c>
      <c r="L436" s="4838" t="s">
        <v>4825</v>
      </c>
      <c r="M436" s="2060"/>
      <c r="N436" s="2060"/>
      <c r="O436" s="2060"/>
    </row>
    <row r="437" spans="1:15" ht="30" customHeight="1" x14ac:dyDescent="0.2">
      <c r="A437" s="4464"/>
      <c r="B437" s="4488"/>
      <c r="C437" s="4538"/>
      <c r="D437" s="2821">
        <v>10000000</v>
      </c>
      <c r="E437" s="2823">
        <v>0.05</v>
      </c>
      <c r="F437" s="2821">
        <f t="shared" si="46"/>
        <v>500000</v>
      </c>
      <c r="G437" s="4415"/>
      <c r="H437" s="4415"/>
      <c r="I437" s="4415"/>
      <c r="J437" s="4415"/>
      <c r="K437" s="4415"/>
      <c r="L437" s="4838"/>
      <c r="M437" s="248"/>
      <c r="N437" s="248"/>
      <c r="O437" s="248"/>
    </row>
    <row r="438" spans="1:15" ht="30" customHeight="1" x14ac:dyDescent="0.2">
      <c r="A438" s="4460"/>
      <c r="B438" s="4458"/>
      <c r="C438" s="2942" t="s">
        <v>402</v>
      </c>
      <c r="D438" s="2935">
        <v>30000000</v>
      </c>
      <c r="E438" s="2936">
        <v>0.05</v>
      </c>
      <c r="F438" s="2935">
        <f t="shared" si="46"/>
        <v>1500000</v>
      </c>
      <c r="G438" s="2935"/>
      <c r="H438" s="2935"/>
      <c r="I438" s="2935"/>
      <c r="J438" s="2935"/>
      <c r="K438" s="2937"/>
      <c r="L438" s="2950" t="s">
        <v>4826</v>
      </c>
      <c r="M438" s="248"/>
      <c r="N438" s="248"/>
      <c r="O438" s="248"/>
    </row>
    <row r="439" spans="1:15" ht="30" customHeight="1" x14ac:dyDescent="0.2">
      <c r="A439" s="4459"/>
      <c r="B439" s="4615" t="s">
        <v>2524</v>
      </c>
      <c r="C439" s="4537" t="s">
        <v>1287</v>
      </c>
      <c r="D439" s="2886">
        <v>495000000</v>
      </c>
      <c r="E439" s="2900">
        <v>5.5E-2</v>
      </c>
      <c r="F439" s="2886">
        <f>D439*E439</f>
        <v>27225000</v>
      </c>
      <c r="G439" s="4864"/>
      <c r="H439" s="4864"/>
      <c r="I439" s="4864"/>
      <c r="J439" s="4864"/>
      <c r="K439" s="4413">
        <f>F443-J443</f>
        <v>-15000</v>
      </c>
      <c r="L439" s="4643"/>
    </row>
    <row r="440" spans="1:15" ht="30" customHeight="1" x14ac:dyDescent="0.2">
      <c r="A440" s="4464"/>
      <c r="B440" s="4615"/>
      <c r="C440" s="4540"/>
      <c r="D440" s="2886">
        <v>65000000</v>
      </c>
      <c r="E440" s="2900">
        <v>0.06</v>
      </c>
      <c r="F440" s="2886">
        <f>D440*E440</f>
        <v>3900000</v>
      </c>
      <c r="G440" s="4864"/>
      <c r="H440" s="4864"/>
      <c r="I440" s="4864"/>
      <c r="J440" s="4864"/>
      <c r="K440" s="4414"/>
      <c r="L440" s="4647"/>
    </row>
    <row r="441" spans="1:15" ht="30" customHeight="1" x14ac:dyDescent="0.2">
      <c r="A441" s="4464"/>
      <c r="B441" s="4615"/>
      <c r="C441" s="4540"/>
      <c r="D441" s="2886">
        <v>246000000</v>
      </c>
      <c r="E441" s="2900">
        <v>0.06</v>
      </c>
      <c r="F441" s="2886">
        <f>D441*E441</f>
        <v>14760000</v>
      </c>
      <c r="G441" s="4864"/>
      <c r="H441" s="4864"/>
      <c r="I441" s="4864"/>
      <c r="J441" s="4864"/>
      <c r="K441" s="4414"/>
      <c r="L441" s="4647"/>
    </row>
    <row r="442" spans="1:15" ht="30" customHeight="1" x14ac:dyDescent="0.2">
      <c r="A442" s="4464"/>
      <c r="B442" s="4615"/>
      <c r="C442" s="4540"/>
      <c r="D442" s="4822" t="s">
        <v>1787</v>
      </c>
      <c r="E442" s="4823"/>
      <c r="F442" s="2886">
        <v>1300000</v>
      </c>
      <c r="G442" s="4864"/>
      <c r="H442" s="4864"/>
      <c r="I442" s="4864"/>
      <c r="J442" s="4864"/>
      <c r="K442" s="4414"/>
      <c r="L442" s="4647"/>
    </row>
    <row r="443" spans="1:15" ht="30" customHeight="1" x14ac:dyDescent="0.2">
      <c r="A443" s="4464"/>
      <c r="B443" s="4615"/>
      <c r="C443" s="4540"/>
      <c r="D443" s="4832">
        <f>D439+D440+D441</f>
        <v>806000000</v>
      </c>
      <c r="E443" s="4834"/>
      <c r="F443" s="4504">
        <f>F439+F440+F441+F442</f>
        <v>47185000</v>
      </c>
      <c r="G443" s="4553">
        <v>47200000</v>
      </c>
      <c r="H443" s="4553" t="s">
        <v>5018</v>
      </c>
      <c r="I443" s="4553" t="s">
        <v>678</v>
      </c>
      <c r="J443" s="4553">
        <f>G443+G444</f>
        <v>47200000</v>
      </c>
      <c r="K443" s="4414"/>
      <c r="L443" s="4647"/>
    </row>
    <row r="444" spans="1:15" ht="30" customHeight="1" x14ac:dyDescent="0.2">
      <c r="A444" s="4464"/>
      <c r="B444" s="4615"/>
      <c r="C444" s="4540"/>
      <c r="D444" s="4835"/>
      <c r="E444" s="4837"/>
      <c r="F444" s="4505"/>
      <c r="G444" s="4554"/>
      <c r="H444" s="4554"/>
      <c r="I444" s="4554"/>
      <c r="J444" s="4554"/>
      <c r="K444" s="4415"/>
      <c r="L444" s="4644"/>
    </row>
    <row r="445" spans="1:15" ht="30" customHeight="1" x14ac:dyDescent="0.2">
      <c r="A445" s="2876">
        <v>273</v>
      </c>
      <c r="B445" s="2874" t="s">
        <v>127</v>
      </c>
      <c r="C445" s="2873" t="s">
        <v>1291</v>
      </c>
      <c r="D445" s="2821">
        <v>20000000</v>
      </c>
      <c r="E445" s="2871">
        <v>0.05</v>
      </c>
      <c r="F445" s="2821">
        <f t="shared" si="46"/>
        <v>1000000</v>
      </c>
      <c r="G445" s="2821">
        <v>1000000</v>
      </c>
      <c r="H445" s="2821" t="s">
        <v>5045</v>
      </c>
      <c r="I445" s="21" t="s">
        <v>480</v>
      </c>
      <c r="J445" s="2821">
        <f>G445</f>
        <v>1000000</v>
      </c>
      <c r="K445" s="2821">
        <f>F445-J445</f>
        <v>0</v>
      </c>
      <c r="L445" s="2874"/>
    </row>
    <row r="446" spans="1:15" ht="30" customHeight="1" x14ac:dyDescent="0.2">
      <c r="A446" s="3102">
        <v>274</v>
      </c>
      <c r="B446" s="19" t="s">
        <v>128</v>
      </c>
      <c r="C446" s="378"/>
      <c r="D446" s="3115">
        <v>50000000</v>
      </c>
      <c r="E446" s="3117">
        <v>0.05</v>
      </c>
      <c r="F446" s="2821">
        <f>D446*E446</f>
        <v>2500000</v>
      </c>
      <c r="G446" s="4725" t="s">
        <v>5041</v>
      </c>
      <c r="H446" s="4726"/>
      <c r="I446" s="4726"/>
      <c r="J446" s="4727"/>
      <c r="K446" s="2821">
        <f>F446-J446</f>
        <v>2500000</v>
      </c>
      <c r="L446" s="162"/>
    </row>
    <row r="447" spans="1:15" ht="30" customHeight="1" x14ac:dyDescent="0.2">
      <c r="A447" s="2876">
        <v>275</v>
      </c>
      <c r="B447" s="2874" t="s">
        <v>129</v>
      </c>
      <c r="C447" s="2847" t="s">
        <v>1291</v>
      </c>
      <c r="D447" s="2821">
        <v>130000000</v>
      </c>
      <c r="E447" s="2871">
        <v>0.05</v>
      </c>
      <c r="F447" s="2821">
        <f t="shared" si="46"/>
        <v>6500000</v>
      </c>
      <c r="G447" s="2821">
        <v>6500000</v>
      </c>
      <c r="H447" s="2821" t="s">
        <v>5045</v>
      </c>
      <c r="I447" s="21" t="s">
        <v>3175</v>
      </c>
      <c r="J447" s="2821">
        <f>G447</f>
        <v>6500000</v>
      </c>
      <c r="K447" s="2821">
        <f>F447-J447</f>
        <v>0</v>
      </c>
      <c r="L447" s="2874"/>
    </row>
    <row r="448" spans="1:15" ht="30" customHeight="1" x14ac:dyDescent="0.2">
      <c r="A448" s="2825">
        <v>277</v>
      </c>
      <c r="B448" s="2828" t="s">
        <v>131</v>
      </c>
      <c r="C448" s="2849" t="s">
        <v>2849</v>
      </c>
      <c r="D448" s="2831">
        <v>200000000</v>
      </c>
      <c r="E448" s="2822">
        <v>0.05</v>
      </c>
      <c r="F448" s="2831">
        <f t="shared" si="46"/>
        <v>10000000</v>
      </c>
      <c r="G448" s="2831">
        <v>10000000</v>
      </c>
      <c r="H448" s="2831" t="s">
        <v>5017</v>
      </c>
      <c r="I448" s="384" t="s">
        <v>4472</v>
      </c>
      <c r="J448" s="2831">
        <f>G448</f>
        <v>10000000</v>
      </c>
      <c r="K448" s="2831">
        <f>F448-J448</f>
        <v>0</v>
      </c>
      <c r="L448" s="2828"/>
    </row>
    <row r="449" spans="1:13" s="1540" customFormat="1" ht="30" customHeight="1" x14ac:dyDescent="0.2">
      <c r="A449" s="2825">
        <v>278</v>
      </c>
      <c r="B449" s="19" t="s">
        <v>620</v>
      </c>
      <c r="C449" s="2873" t="s">
        <v>3007</v>
      </c>
      <c r="D449" s="2848">
        <v>30000000</v>
      </c>
      <c r="E449" s="2871">
        <v>4.4999999999999998E-2</v>
      </c>
      <c r="F449" s="2848">
        <f t="shared" si="46"/>
        <v>1350000</v>
      </c>
      <c r="G449" s="2848">
        <v>1350000</v>
      </c>
      <c r="H449" s="2848" t="s">
        <v>5176</v>
      </c>
      <c r="I449" s="2868" t="s">
        <v>2066</v>
      </c>
      <c r="J449" s="2848">
        <f>G449</f>
        <v>1350000</v>
      </c>
      <c r="K449" s="2848">
        <f>F449-J449</f>
        <v>0</v>
      </c>
      <c r="L449" s="2860"/>
    </row>
    <row r="450" spans="1:13" ht="30" customHeight="1" x14ac:dyDescent="0.2">
      <c r="A450" s="2876">
        <v>279</v>
      </c>
      <c r="B450" s="2874" t="s">
        <v>132</v>
      </c>
      <c r="C450" s="2847" t="s">
        <v>402</v>
      </c>
      <c r="D450" s="2821">
        <v>11000000</v>
      </c>
      <c r="E450" s="2871">
        <v>4.4999999999999998E-2</v>
      </c>
      <c r="F450" s="2821">
        <v>500000</v>
      </c>
      <c r="G450" s="2821">
        <v>500000</v>
      </c>
      <c r="H450" s="2821" t="s">
        <v>4893</v>
      </c>
      <c r="I450" s="21" t="s">
        <v>730</v>
      </c>
      <c r="J450" s="2821">
        <f t="shared" ref="J450:J461" si="47">G450</f>
        <v>500000</v>
      </c>
      <c r="K450" s="2821">
        <f t="shared" ref="K450:K461" si="48">F450-J450</f>
        <v>0</v>
      </c>
      <c r="L450" s="2874"/>
    </row>
    <row r="451" spans="1:13" ht="30" customHeight="1" x14ac:dyDescent="0.2">
      <c r="A451" s="2876">
        <v>280</v>
      </c>
      <c r="B451" s="1951" t="s">
        <v>458</v>
      </c>
      <c r="C451" s="3296" t="s">
        <v>5216</v>
      </c>
      <c r="D451" s="2848">
        <v>20000000</v>
      </c>
      <c r="E451" s="2871">
        <v>0.05</v>
      </c>
      <c r="F451" s="2848">
        <f t="shared" si="46"/>
        <v>1000000</v>
      </c>
      <c r="G451" s="2848">
        <v>1000000</v>
      </c>
      <c r="H451" s="2848" t="s">
        <v>5230</v>
      </c>
      <c r="I451" s="2848" t="s">
        <v>3756</v>
      </c>
      <c r="J451" s="2848">
        <f t="shared" si="47"/>
        <v>1000000</v>
      </c>
      <c r="K451" s="2848">
        <f t="shared" si="48"/>
        <v>0</v>
      </c>
      <c r="L451" s="1025" t="s">
        <v>3097</v>
      </c>
    </row>
    <row r="452" spans="1:13" ht="30" customHeight="1" x14ac:dyDescent="0.2">
      <c r="A452" s="2826">
        <v>281</v>
      </c>
      <c r="B452" s="2869" t="s">
        <v>133</v>
      </c>
      <c r="C452" s="2847" t="s">
        <v>1290</v>
      </c>
      <c r="D452" s="2821">
        <v>40000000</v>
      </c>
      <c r="E452" s="2823">
        <v>0.05</v>
      </c>
      <c r="F452" s="2821">
        <f t="shared" si="46"/>
        <v>2000000</v>
      </c>
      <c r="G452" s="2821">
        <v>2000000</v>
      </c>
      <c r="H452" s="2821" t="s">
        <v>5156</v>
      </c>
      <c r="I452" s="2821" t="s">
        <v>635</v>
      </c>
      <c r="J452" s="2821">
        <f t="shared" si="47"/>
        <v>2000000</v>
      </c>
      <c r="K452" s="2821">
        <f t="shared" si="48"/>
        <v>0</v>
      </c>
      <c r="L452" s="2874"/>
    </row>
    <row r="453" spans="1:13" ht="30" customHeight="1" x14ac:dyDescent="0.2">
      <c r="A453" s="2876">
        <v>282</v>
      </c>
      <c r="B453" s="2874" t="s">
        <v>1024</v>
      </c>
      <c r="C453" s="2847" t="s">
        <v>371</v>
      </c>
      <c r="D453" s="2821">
        <v>20000000</v>
      </c>
      <c r="E453" s="2871">
        <v>0.04</v>
      </c>
      <c r="F453" s="2821">
        <f t="shared" si="46"/>
        <v>800000</v>
      </c>
      <c r="G453" s="2821">
        <v>800000</v>
      </c>
      <c r="H453" s="2821" t="s">
        <v>5085</v>
      </c>
      <c r="I453" s="2872" t="s">
        <v>2453</v>
      </c>
      <c r="J453" s="2821">
        <f t="shared" si="47"/>
        <v>800000</v>
      </c>
      <c r="K453" s="2821">
        <f t="shared" si="48"/>
        <v>0</v>
      </c>
      <c r="L453" s="2874"/>
    </row>
    <row r="454" spans="1:13" ht="30" customHeight="1" x14ac:dyDescent="0.2">
      <c r="A454" s="4459"/>
      <c r="B454" s="4457" t="s">
        <v>134</v>
      </c>
      <c r="C454" s="4537" t="s">
        <v>1294</v>
      </c>
      <c r="D454" s="2821">
        <v>50111000</v>
      </c>
      <c r="E454" s="2823">
        <v>0.05</v>
      </c>
      <c r="F454" s="2821">
        <f>D454*E454</f>
        <v>2505550</v>
      </c>
      <c r="G454" s="4413">
        <v>2667000</v>
      </c>
      <c r="H454" s="4413" t="s">
        <v>5156</v>
      </c>
      <c r="I454" s="4413" t="s">
        <v>630</v>
      </c>
      <c r="J454" s="4413">
        <f>G454</f>
        <v>2667000</v>
      </c>
      <c r="K454" s="4413">
        <f>F456-J454</f>
        <v>50</v>
      </c>
      <c r="L454" s="764"/>
    </row>
    <row r="455" spans="1:13" ht="30" customHeight="1" x14ac:dyDescent="0.2">
      <c r="A455" s="4464"/>
      <c r="B455" s="4488"/>
      <c r="C455" s="4540"/>
      <c r="D455" s="2821">
        <v>3230000</v>
      </c>
      <c r="E455" s="2823">
        <v>0.05</v>
      </c>
      <c r="F455" s="2821">
        <f>D455*E455</f>
        <v>161500</v>
      </c>
      <c r="G455" s="4414"/>
      <c r="H455" s="4414"/>
      <c r="I455" s="4414"/>
      <c r="J455" s="4414"/>
      <c r="K455" s="4414"/>
      <c r="L455" s="764" t="s">
        <v>4499</v>
      </c>
    </row>
    <row r="456" spans="1:13" ht="30" customHeight="1" x14ac:dyDescent="0.2">
      <c r="A456" s="4464"/>
      <c r="B456" s="4488"/>
      <c r="C456" s="4540"/>
      <c r="D456" s="2891">
        <f>D454+D455</f>
        <v>53341000</v>
      </c>
      <c r="E456" s="2893">
        <v>0.05</v>
      </c>
      <c r="F456" s="2891">
        <f>D456*E456</f>
        <v>2667050</v>
      </c>
      <c r="G456" s="4415"/>
      <c r="H456" s="4415"/>
      <c r="I456" s="4415"/>
      <c r="J456" s="4415"/>
      <c r="K456" s="4415"/>
      <c r="L456" s="764"/>
    </row>
    <row r="457" spans="1:13" ht="30" customHeight="1" x14ac:dyDescent="0.2">
      <c r="A457" s="4464"/>
      <c r="B457" s="4488"/>
      <c r="C457" s="4540"/>
      <c r="D457" s="3222">
        <v>4473000</v>
      </c>
      <c r="E457" s="3224">
        <v>0.05</v>
      </c>
      <c r="F457" s="3222">
        <f>D457*E457</f>
        <v>223650</v>
      </c>
      <c r="G457" s="3227"/>
      <c r="H457" s="3227"/>
      <c r="I457" s="3227"/>
      <c r="J457" s="3221"/>
      <c r="K457" s="3221"/>
      <c r="L457" s="764" t="s">
        <v>5154</v>
      </c>
    </row>
    <row r="458" spans="1:13" ht="30" customHeight="1" x14ac:dyDescent="0.2">
      <c r="A458" s="4464"/>
      <c r="B458" s="4488"/>
      <c r="C458" s="4540"/>
      <c r="D458" s="3222">
        <v>10000000</v>
      </c>
      <c r="E458" s="3224">
        <v>0.05</v>
      </c>
      <c r="F458" s="3222">
        <f t="shared" ref="F458:F459" si="49">D458*E458</f>
        <v>500000</v>
      </c>
      <c r="G458" s="3227"/>
      <c r="H458" s="3227"/>
      <c r="I458" s="3227"/>
      <c r="J458" s="3221"/>
      <c r="K458" s="3221"/>
      <c r="L458" s="764" t="s">
        <v>5155</v>
      </c>
    </row>
    <row r="459" spans="1:13" ht="30" customHeight="1" x14ac:dyDescent="0.2">
      <c r="A459" s="4464"/>
      <c r="B459" s="4488"/>
      <c r="C459" s="4540"/>
      <c r="D459" s="3222">
        <v>10000000</v>
      </c>
      <c r="E459" s="3224">
        <v>0.05</v>
      </c>
      <c r="F459" s="3222">
        <f t="shared" si="49"/>
        <v>500000</v>
      </c>
      <c r="G459" s="3227"/>
      <c r="H459" s="3227"/>
      <c r="I459" s="3227"/>
      <c r="J459" s="3221"/>
      <c r="K459" s="3221"/>
      <c r="L459" s="764" t="s">
        <v>5243</v>
      </c>
    </row>
    <row r="460" spans="1:13" ht="30" customHeight="1" x14ac:dyDescent="0.2">
      <c r="A460" s="4464"/>
      <c r="B460" s="4458"/>
      <c r="C460" s="4538"/>
      <c r="D460" s="3242">
        <f>D456+D457+D458+D459</f>
        <v>77814000</v>
      </c>
      <c r="E460" s="3243">
        <v>0.05</v>
      </c>
      <c r="F460" s="3242">
        <f>D460*E460</f>
        <v>3890700</v>
      </c>
      <c r="G460" s="3227"/>
      <c r="H460" s="3227"/>
      <c r="I460" s="3227"/>
      <c r="J460" s="3221"/>
      <c r="K460" s="3221"/>
      <c r="L460" s="764" t="s">
        <v>5211</v>
      </c>
    </row>
    <row r="461" spans="1:13" ht="30" customHeight="1" x14ac:dyDescent="0.2">
      <c r="A461" s="2827"/>
      <c r="B461" s="2874" t="s">
        <v>4248</v>
      </c>
      <c r="C461" s="2846"/>
      <c r="D461" s="2821">
        <v>67000000</v>
      </c>
      <c r="E461" s="2823">
        <v>0.05</v>
      </c>
      <c r="F461" s="2821">
        <f>D461*E461</f>
        <v>3350000</v>
      </c>
      <c r="G461" s="2848">
        <v>3350000</v>
      </c>
      <c r="H461" s="2848" t="s">
        <v>4862</v>
      </c>
      <c r="I461" s="2848" t="s">
        <v>4867</v>
      </c>
      <c r="J461" s="2848">
        <f t="shared" si="47"/>
        <v>3350000</v>
      </c>
      <c r="K461" s="2820">
        <f t="shared" si="48"/>
        <v>0</v>
      </c>
      <c r="L461" s="764" t="s">
        <v>4249</v>
      </c>
    </row>
    <row r="462" spans="1:13" ht="30" customHeight="1" x14ac:dyDescent="0.2">
      <c r="A462" s="4459"/>
      <c r="B462" s="4457" t="s">
        <v>1158</v>
      </c>
      <c r="C462" s="4537" t="s">
        <v>371</v>
      </c>
      <c r="D462" s="2882">
        <v>100000000</v>
      </c>
      <c r="E462" s="1931">
        <v>4.4999999999999998E-2</v>
      </c>
      <c r="F462" s="1543">
        <f t="shared" si="46"/>
        <v>4500000</v>
      </c>
      <c r="G462" s="4793"/>
      <c r="H462" s="4794"/>
      <c r="I462" s="4794"/>
      <c r="J462" s="4795"/>
      <c r="K462" s="4413"/>
      <c r="L462" s="764" t="s">
        <v>5059</v>
      </c>
      <c r="M462" t="s">
        <v>5058</v>
      </c>
    </row>
    <row r="463" spans="1:13" ht="30" customHeight="1" x14ac:dyDescent="0.2">
      <c r="A463" s="4464"/>
      <c r="B463" s="4488"/>
      <c r="C463" s="4540"/>
      <c r="D463" s="2882">
        <v>60000000</v>
      </c>
      <c r="E463" s="1931">
        <v>0.05</v>
      </c>
      <c r="F463" s="1543">
        <f t="shared" si="46"/>
        <v>3000000</v>
      </c>
      <c r="G463" s="4796"/>
      <c r="H463" s="4797"/>
      <c r="I463" s="4797"/>
      <c r="J463" s="4798"/>
      <c r="K463" s="4414"/>
      <c r="L463" s="4839" t="s">
        <v>5060</v>
      </c>
    </row>
    <row r="464" spans="1:13" ht="30" customHeight="1" x14ac:dyDescent="0.2">
      <c r="A464" s="4464"/>
      <c r="B464" s="4488"/>
      <c r="C464" s="4540"/>
      <c r="D464" s="2882">
        <v>30000000</v>
      </c>
      <c r="E464" s="1931">
        <v>0.05</v>
      </c>
      <c r="F464" s="1543">
        <f t="shared" si="46"/>
        <v>1500000</v>
      </c>
      <c r="G464" s="4796"/>
      <c r="H464" s="4797"/>
      <c r="I464" s="4797"/>
      <c r="J464" s="4798"/>
      <c r="K464" s="4414"/>
      <c r="L464" s="4839"/>
    </row>
    <row r="465" spans="1:12" ht="30" customHeight="1" x14ac:dyDescent="0.2">
      <c r="A465" s="4464"/>
      <c r="B465" s="4488"/>
      <c r="C465" s="4540"/>
      <c r="D465" s="2882">
        <v>40000000</v>
      </c>
      <c r="E465" s="1931">
        <v>0.05</v>
      </c>
      <c r="F465" s="1543">
        <f t="shared" si="46"/>
        <v>2000000</v>
      </c>
      <c r="G465" s="4799"/>
      <c r="H465" s="4800"/>
      <c r="I465" s="4800"/>
      <c r="J465" s="4801"/>
      <c r="K465" s="4415"/>
      <c r="L465" s="4839"/>
    </row>
    <row r="466" spans="1:12" ht="30" customHeight="1" x14ac:dyDescent="0.2">
      <c r="A466" s="4464"/>
      <c r="B466" s="4488"/>
      <c r="C466" s="4540"/>
      <c r="D466" s="2882">
        <f>SUM(D462:D465)</f>
        <v>230000000</v>
      </c>
      <c r="E466" s="1931"/>
      <c r="F466" s="1543">
        <f>SUM(F462:F465)</f>
        <v>11000000</v>
      </c>
      <c r="G466" s="2821">
        <v>11000000</v>
      </c>
      <c r="H466" s="2848" t="s">
        <v>5156</v>
      </c>
      <c r="I466" s="2848" t="s">
        <v>2219</v>
      </c>
      <c r="J466" s="2848">
        <f>G466</f>
        <v>11000000</v>
      </c>
      <c r="K466" s="2821">
        <f>F466-J466</f>
        <v>0</v>
      </c>
      <c r="L466" s="4572"/>
    </row>
    <row r="467" spans="1:12" ht="30" customHeight="1" x14ac:dyDescent="0.2">
      <c r="A467" s="4460"/>
      <c r="B467" s="4458"/>
      <c r="C467" s="4538"/>
      <c r="D467" s="5058" t="s">
        <v>5270</v>
      </c>
      <c r="E467" s="5059"/>
      <c r="F467" s="5060"/>
      <c r="G467" s="4303" t="s">
        <v>5271</v>
      </c>
      <c r="H467" s="4324"/>
      <c r="I467" s="4324"/>
      <c r="J467" s="4355"/>
      <c r="K467" s="3396"/>
      <c r="L467" s="3408" t="s">
        <v>5272</v>
      </c>
    </row>
    <row r="468" spans="1:12" ht="30" customHeight="1" x14ac:dyDescent="0.2">
      <c r="A468" s="2825">
        <v>286</v>
      </c>
      <c r="B468" s="2869" t="s">
        <v>1622</v>
      </c>
      <c r="C468" s="2873"/>
      <c r="D468" s="2848">
        <v>35000000</v>
      </c>
      <c r="E468" s="1028">
        <v>0.05</v>
      </c>
      <c r="F468" s="2848">
        <v>1700000</v>
      </c>
      <c r="G468" s="2848">
        <v>1700000</v>
      </c>
      <c r="H468" s="2848" t="s">
        <v>4893</v>
      </c>
      <c r="I468" s="18" t="s">
        <v>307</v>
      </c>
      <c r="J468" s="2848">
        <f>G468</f>
        <v>1700000</v>
      </c>
      <c r="K468" s="2848">
        <f>F468-J468</f>
        <v>0</v>
      </c>
      <c r="L468" s="2837"/>
    </row>
    <row r="469" spans="1:12" ht="30" customHeight="1" x14ac:dyDescent="0.2">
      <c r="A469" s="4459">
        <v>287</v>
      </c>
      <c r="B469" s="4457" t="s">
        <v>137</v>
      </c>
      <c r="C469" s="4537" t="s">
        <v>1294</v>
      </c>
      <c r="D469" s="2821">
        <v>15000000</v>
      </c>
      <c r="E469" s="2823">
        <v>0.05</v>
      </c>
      <c r="F469" s="2821">
        <f t="shared" si="46"/>
        <v>750000</v>
      </c>
      <c r="G469" s="4413">
        <v>3000000</v>
      </c>
      <c r="H469" s="4413" t="s">
        <v>5045</v>
      </c>
      <c r="I469" s="4478" t="s">
        <v>5123</v>
      </c>
      <c r="J469" s="4413">
        <f>G469+G470</f>
        <v>3000000</v>
      </c>
      <c r="K469" s="4413">
        <f>(F469+F470)-J469</f>
        <v>0</v>
      </c>
      <c r="L469" s="4472"/>
    </row>
    <row r="470" spans="1:12" ht="30" customHeight="1" x14ac:dyDescent="0.2">
      <c r="A470" s="4460"/>
      <c r="B470" s="4458"/>
      <c r="C470" s="4538"/>
      <c r="D470" s="2821">
        <v>45000000</v>
      </c>
      <c r="E470" s="2823">
        <v>0.05</v>
      </c>
      <c r="F470" s="2821">
        <f t="shared" si="46"/>
        <v>2250000</v>
      </c>
      <c r="G470" s="4415"/>
      <c r="H470" s="4415"/>
      <c r="I470" s="4479"/>
      <c r="J470" s="4415"/>
      <c r="K470" s="4415"/>
      <c r="L470" s="4473"/>
    </row>
    <row r="471" spans="1:12" ht="30" customHeight="1" x14ac:dyDescent="0.2">
      <c r="A471" s="2876">
        <v>288</v>
      </c>
      <c r="B471" s="2874" t="s">
        <v>138</v>
      </c>
      <c r="C471" s="2847" t="s">
        <v>1289</v>
      </c>
      <c r="D471" s="2821">
        <v>50000000</v>
      </c>
      <c r="E471" s="2871">
        <v>4.4999999999999998E-2</v>
      </c>
      <c r="F471" s="2821">
        <f t="shared" si="46"/>
        <v>2250000</v>
      </c>
      <c r="G471" s="2821">
        <v>2250000</v>
      </c>
      <c r="H471" s="2821" t="s">
        <v>5176</v>
      </c>
      <c r="I471" s="21" t="s">
        <v>673</v>
      </c>
      <c r="J471" s="2821">
        <f t="shared" ref="J471:J476" si="50">G471</f>
        <v>2250000</v>
      </c>
      <c r="K471" s="2821">
        <f t="shared" ref="K471:K476" si="51">F471-J471</f>
        <v>0</v>
      </c>
      <c r="L471" s="2874"/>
    </row>
    <row r="472" spans="1:12" ht="30" customHeight="1" x14ac:dyDescent="0.2">
      <c r="A472" s="2876">
        <v>289</v>
      </c>
      <c r="B472" s="2874" t="s">
        <v>637</v>
      </c>
      <c r="C472" s="2847" t="s">
        <v>1299</v>
      </c>
      <c r="D472" s="2821">
        <v>25000000</v>
      </c>
      <c r="E472" s="2871">
        <v>5.3999999999999999E-2</v>
      </c>
      <c r="F472" s="2821">
        <f t="shared" si="46"/>
        <v>1350000</v>
      </c>
      <c r="G472" s="2821">
        <v>1350000</v>
      </c>
      <c r="H472" s="2821" t="s">
        <v>5176</v>
      </c>
      <c r="I472" s="18" t="s">
        <v>4556</v>
      </c>
      <c r="J472" s="2821">
        <f t="shared" si="50"/>
        <v>1350000</v>
      </c>
      <c r="K472" s="2821">
        <f t="shared" si="51"/>
        <v>0</v>
      </c>
      <c r="L472" s="2874"/>
    </row>
    <row r="473" spans="1:12" ht="30" customHeight="1" x14ac:dyDescent="0.2">
      <c r="A473" s="2825">
        <v>290</v>
      </c>
      <c r="B473" s="2869" t="s">
        <v>3848</v>
      </c>
      <c r="C473" s="2847" t="s">
        <v>1288</v>
      </c>
      <c r="D473" s="2821">
        <v>1150000000</v>
      </c>
      <c r="E473" s="2871">
        <v>7.0000000000000007E-2</v>
      </c>
      <c r="F473" s="2821">
        <f>D473*E473</f>
        <v>80500000.000000015</v>
      </c>
      <c r="G473" s="2848">
        <v>80500000</v>
      </c>
      <c r="H473" s="2848" t="s">
        <v>5205</v>
      </c>
      <c r="I473" s="2848" t="s">
        <v>4097</v>
      </c>
      <c r="J473" s="2848">
        <f>G473</f>
        <v>80500000</v>
      </c>
      <c r="K473" s="2821">
        <f t="shared" si="51"/>
        <v>0</v>
      </c>
      <c r="L473" s="2860" t="s">
        <v>3859</v>
      </c>
    </row>
    <row r="474" spans="1:12" ht="30" customHeight="1" x14ac:dyDescent="0.2">
      <c r="A474" s="2876">
        <v>292</v>
      </c>
      <c r="B474" s="2874" t="s">
        <v>140</v>
      </c>
      <c r="C474" s="2873" t="s">
        <v>1299</v>
      </c>
      <c r="D474" s="2821">
        <v>100000000</v>
      </c>
      <c r="E474" s="2871">
        <v>0.05</v>
      </c>
      <c r="F474" s="2821">
        <f t="shared" si="46"/>
        <v>5000000</v>
      </c>
      <c r="G474" s="2821">
        <v>5000000</v>
      </c>
      <c r="H474" s="2821" t="s">
        <v>5176</v>
      </c>
      <c r="I474" s="65" t="s">
        <v>4554</v>
      </c>
      <c r="J474" s="2821">
        <f t="shared" si="50"/>
        <v>5000000</v>
      </c>
      <c r="K474" s="2821">
        <f t="shared" si="51"/>
        <v>0</v>
      </c>
      <c r="L474" s="2874"/>
    </row>
    <row r="475" spans="1:12" ht="30" customHeight="1" x14ac:dyDescent="0.2">
      <c r="A475" s="2876">
        <v>293</v>
      </c>
      <c r="B475" s="2874" t="s">
        <v>141</v>
      </c>
      <c r="C475" s="2847" t="s">
        <v>1299</v>
      </c>
      <c r="D475" s="2821">
        <v>75000000</v>
      </c>
      <c r="E475" s="2871">
        <v>0.04</v>
      </c>
      <c r="F475" s="2821">
        <f>D475*E475</f>
        <v>3000000</v>
      </c>
      <c r="G475" s="2821">
        <v>3000000</v>
      </c>
      <c r="H475" s="2821" t="s">
        <v>5176</v>
      </c>
      <c r="I475" s="18" t="s">
        <v>2540</v>
      </c>
      <c r="J475" s="2821">
        <f t="shared" si="50"/>
        <v>3000000</v>
      </c>
      <c r="K475" s="2821">
        <f t="shared" si="51"/>
        <v>0</v>
      </c>
      <c r="L475" s="2874"/>
    </row>
    <row r="476" spans="1:12" ht="30" customHeight="1" x14ac:dyDescent="0.2">
      <c r="A476" s="2887">
        <v>295</v>
      </c>
      <c r="B476" s="2869" t="s">
        <v>142</v>
      </c>
      <c r="C476" s="2846" t="s">
        <v>1299</v>
      </c>
      <c r="D476" s="2821">
        <v>100000000</v>
      </c>
      <c r="E476" s="2871">
        <v>0.05</v>
      </c>
      <c r="F476" s="2821">
        <f t="shared" si="46"/>
        <v>5000000</v>
      </c>
      <c r="G476" s="2848">
        <v>5000000</v>
      </c>
      <c r="H476" s="2848" t="s">
        <v>5205</v>
      </c>
      <c r="I476" s="2848" t="s">
        <v>5206</v>
      </c>
      <c r="J476" s="2848">
        <f t="shared" si="50"/>
        <v>5000000</v>
      </c>
      <c r="K476" s="2848">
        <f t="shared" si="51"/>
        <v>0</v>
      </c>
      <c r="L476" s="764"/>
    </row>
    <row r="477" spans="1:12" ht="30" customHeight="1" x14ac:dyDescent="0.2">
      <c r="A477" s="4459"/>
      <c r="B477" s="4457" t="s">
        <v>4558</v>
      </c>
      <c r="C477" s="4537"/>
      <c r="D477" s="2821">
        <v>10000000</v>
      </c>
      <c r="E477" s="2871">
        <v>0.05</v>
      </c>
      <c r="F477" s="2821">
        <f>D477*E477</f>
        <v>500000</v>
      </c>
      <c r="G477" s="4413">
        <v>1700000</v>
      </c>
      <c r="H477" s="4413" t="s">
        <v>5205</v>
      </c>
      <c r="I477" s="4413" t="s">
        <v>4560</v>
      </c>
      <c r="J477" s="4413">
        <f>G477</f>
        <v>1700000</v>
      </c>
      <c r="K477" s="4413">
        <f>(F477+F478+F479)-J477</f>
        <v>0</v>
      </c>
      <c r="L477" s="4675" t="s">
        <v>4559</v>
      </c>
    </row>
    <row r="478" spans="1:12" ht="30" customHeight="1" x14ac:dyDescent="0.2">
      <c r="A478" s="4464"/>
      <c r="B478" s="4488"/>
      <c r="C478" s="4540"/>
      <c r="D478" s="2841">
        <v>10000000</v>
      </c>
      <c r="E478" s="2823">
        <v>0.06</v>
      </c>
      <c r="F478" s="2842">
        <f>D478*E478</f>
        <v>600000</v>
      </c>
      <c r="G478" s="4414"/>
      <c r="H478" s="4414"/>
      <c r="I478" s="4414"/>
      <c r="J478" s="4414"/>
      <c r="K478" s="4414"/>
      <c r="L478" s="4676"/>
    </row>
    <row r="479" spans="1:12" ht="30" customHeight="1" x14ac:dyDescent="0.2">
      <c r="A479" s="4460"/>
      <c r="B479" s="4458"/>
      <c r="C479" s="4538"/>
      <c r="D479" s="2841">
        <v>10000000</v>
      </c>
      <c r="E479" s="2823">
        <v>0.06</v>
      </c>
      <c r="F479" s="2842">
        <f>D479*E479</f>
        <v>600000</v>
      </c>
      <c r="G479" s="4415"/>
      <c r="H479" s="4415"/>
      <c r="I479" s="4415"/>
      <c r="J479" s="4415"/>
      <c r="K479" s="4415"/>
      <c r="L479" s="2856" t="s">
        <v>4762</v>
      </c>
    </row>
    <row r="480" spans="1:12" ht="30" customHeight="1" x14ac:dyDescent="0.2">
      <c r="A480" s="2876">
        <v>296</v>
      </c>
      <c r="B480" s="2874" t="s">
        <v>143</v>
      </c>
      <c r="C480" s="2847" t="s">
        <v>1306</v>
      </c>
      <c r="D480" s="2821">
        <v>35000000</v>
      </c>
      <c r="E480" s="2871">
        <v>0.04</v>
      </c>
      <c r="F480" s="2821">
        <f t="shared" si="46"/>
        <v>1400000</v>
      </c>
      <c r="G480" s="2821">
        <v>1400000</v>
      </c>
      <c r="H480" s="2821" t="s">
        <v>5214</v>
      </c>
      <c r="I480" s="21" t="s">
        <v>1109</v>
      </c>
      <c r="J480" s="2821">
        <f>G480</f>
        <v>1400000</v>
      </c>
      <c r="K480" s="2821">
        <f>F480-J480</f>
        <v>0</v>
      </c>
      <c r="L480" s="2874"/>
    </row>
    <row r="481" spans="1:12" ht="30" customHeight="1" x14ac:dyDescent="0.2">
      <c r="A481" s="4459">
        <v>298</v>
      </c>
      <c r="B481" s="4457" t="s">
        <v>145</v>
      </c>
      <c r="C481" s="4537" t="s">
        <v>1134</v>
      </c>
      <c r="D481" s="2821">
        <v>38000000</v>
      </c>
      <c r="E481" s="2871">
        <v>5.1999999999999998E-2</v>
      </c>
      <c r="F481" s="2821">
        <v>2000000</v>
      </c>
      <c r="G481" s="2821">
        <v>500000</v>
      </c>
      <c r="H481" s="2821" t="s">
        <v>1491</v>
      </c>
      <c r="I481" s="21" t="s">
        <v>4152</v>
      </c>
      <c r="J481" s="2821">
        <f>G481</f>
        <v>500000</v>
      </c>
      <c r="K481" s="2821">
        <f>F481-J481</f>
        <v>1500000</v>
      </c>
      <c r="L481" s="2874"/>
    </row>
    <row r="482" spans="1:12" ht="30" customHeight="1" x14ac:dyDescent="0.2">
      <c r="A482" s="4460"/>
      <c r="B482" s="4458"/>
      <c r="C482" s="4538"/>
      <c r="D482" s="3427">
        <v>40000000</v>
      </c>
      <c r="E482" s="897">
        <v>0.05</v>
      </c>
      <c r="F482" s="3427">
        <f>D482*E482</f>
        <v>2000000</v>
      </c>
      <c r="G482" s="4469" t="s">
        <v>5277</v>
      </c>
      <c r="H482" s="4470"/>
      <c r="I482" s="4470"/>
      <c r="J482" s="4471"/>
      <c r="K482" s="3396"/>
      <c r="L482" s="3414"/>
    </row>
    <row r="483" spans="1:12" ht="30" customHeight="1" x14ac:dyDescent="0.2">
      <c r="A483" s="2876">
        <v>300</v>
      </c>
      <c r="B483" s="2869" t="s">
        <v>147</v>
      </c>
      <c r="C483" s="2873" t="s">
        <v>890</v>
      </c>
      <c r="D483" s="2848">
        <v>178000000</v>
      </c>
      <c r="E483" s="2871">
        <v>5.8999999999999997E-2</v>
      </c>
      <c r="F483" s="2848">
        <v>10500000</v>
      </c>
      <c r="G483" s="2821">
        <v>10500000</v>
      </c>
      <c r="H483" s="2821" t="s">
        <v>1491</v>
      </c>
      <c r="I483" s="21" t="s">
        <v>3469</v>
      </c>
      <c r="J483" s="2821">
        <f>G483</f>
        <v>10500000</v>
      </c>
      <c r="K483" s="2848">
        <f>F483-J483</f>
        <v>0</v>
      </c>
      <c r="L483" s="2874"/>
    </row>
    <row r="484" spans="1:12" ht="30" customHeight="1" x14ac:dyDescent="0.2">
      <c r="A484" s="2876">
        <v>301</v>
      </c>
      <c r="B484" s="2874" t="s">
        <v>2347</v>
      </c>
      <c r="C484" s="2847"/>
      <c r="D484" s="2821">
        <v>10000000</v>
      </c>
      <c r="E484" s="2823">
        <v>0.04</v>
      </c>
      <c r="F484" s="2821">
        <f>D484*E484</f>
        <v>400000</v>
      </c>
      <c r="G484" s="2821">
        <v>400000</v>
      </c>
      <c r="H484" s="2821" t="s">
        <v>5230</v>
      </c>
      <c r="I484" s="2850" t="s">
        <v>723</v>
      </c>
      <c r="J484" s="2821">
        <f>G484</f>
        <v>400000</v>
      </c>
      <c r="K484" s="2821">
        <f>F484-J484</f>
        <v>0</v>
      </c>
      <c r="L484" s="2898"/>
    </row>
    <row r="485" spans="1:12" ht="30" customHeight="1" x14ac:dyDescent="0.2">
      <c r="A485" s="4459">
        <v>302</v>
      </c>
      <c r="B485" s="4457" t="s">
        <v>149</v>
      </c>
      <c r="C485" s="4537" t="s">
        <v>1296</v>
      </c>
      <c r="D485" s="2821">
        <v>60000000</v>
      </c>
      <c r="E485" s="2871">
        <v>4.4999999999999998E-2</v>
      </c>
      <c r="F485" s="2821">
        <f t="shared" si="46"/>
        <v>2700000</v>
      </c>
      <c r="G485" s="4413">
        <v>4815000</v>
      </c>
      <c r="H485" s="4478" t="s">
        <v>5214</v>
      </c>
      <c r="I485" s="4478" t="s">
        <v>3179</v>
      </c>
      <c r="J485" s="4975">
        <f>G485</f>
        <v>4815000</v>
      </c>
      <c r="K485" s="4413"/>
      <c r="L485" s="2856" t="s">
        <v>4827</v>
      </c>
    </row>
    <row r="486" spans="1:12" ht="30" customHeight="1" x14ac:dyDescent="0.2">
      <c r="A486" s="4460"/>
      <c r="B486" s="4458"/>
      <c r="C486" s="4538"/>
      <c r="D486" s="2891">
        <v>100000000</v>
      </c>
      <c r="E486" s="897">
        <v>0.05</v>
      </c>
      <c r="F486" s="2891">
        <f>D486*E486</f>
        <v>5000000</v>
      </c>
      <c r="G486" s="4415"/>
      <c r="H486" s="4479"/>
      <c r="I486" s="4479"/>
      <c r="J486" s="4479"/>
      <c r="K486" s="4415"/>
      <c r="L486" s="2856" t="s">
        <v>4595</v>
      </c>
    </row>
    <row r="487" spans="1:12" ht="30" customHeight="1" x14ac:dyDescent="0.2">
      <c r="A487" s="4459"/>
      <c r="B487" s="4457" t="s">
        <v>150</v>
      </c>
      <c r="C487" s="4537" t="s">
        <v>1796</v>
      </c>
      <c r="D487" s="4597">
        <v>2222000000</v>
      </c>
      <c r="E487" s="4672">
        <f>F487/D487</f>
        <v>8.1903690369036899E-2</v>
      </c>
      <c r="F487" s="4597">
        <v>181990000</v>
      </c>
      <c r="G487" s="3361">
        <v>50000000</v>
      </c>
      <c r="H487" s="3361" t="s">
        <v>5108</v>
      </c>
      <c r="I487" s="3361" t="s">
        <v>1084</v>
      </c>
      <c r="J487" s="4597"/>
      <c r="K487" s="4597"/>
      <c r="L487" s="4643" t="s">
        <v>5428</v>
      </c>
    </row>
    <row r="488" spans="1:12" ht="30" customHeight="1" x14ac:dyDescent="0.2">
      <c r="A488" s="4464"/>
      <c r="B488" s="4488"/>
      <c r="C488" s="4540"/>
      <c r="D488" s="4619"/>
      <c r="E488" s="4673"/>
      <c r="F488" s="4619"/>
      <c r="G488" s="3361">
        <v>50000000</v>
      </c>
      <c r="H488" s="4635" t="s">
        <v>5406</v>
      </c>
      <c r="I488" s="4637"/>
      <c r="J488" s="4619"/>
      <c r="K488" s="4619"/>
      <c r="L488" s="4647"/>
    </row>
    <row r="489" spans="1:12" ht="30" customHeight="1" x14ac:dyDescent="0.2">
      <c r="A489" s="4464"/>
      <c r="B489" s="4488"/>
      <c r="C489" s="4540"/>
      <c r="D489" s="4598"/>
      <c r="E489" s="4674"/>
      <c r="F489" s="4598"/>
      <c r="G489" s="4635" t="s">
        <v>5427</v>
      </c>
      <c r="H489" s="4636"/>
      <c r="I489" s="4637"/>
      <c r="J489" s="4598"/>
      <c r="K489" s="4598"/>
      <c r="L489" s="4647"/>
    </row>
    <row r="490" spans="1:12" ht="30" customHeight="1" x14ac:dyDescent="0.2">
      <c r="A490" s="4464"/>
      <c r="B490" s="4488"/>
      <c r="C490" s="4540"/>
      <c r="D490" s="4325" t="s">
        <v>5208</v>
      </c>
      <c r="E490" s="4326"/>
      <c r="F490" s="4563"/>
      <c r="G490" s="3290">
        <v>130000000</v>
      </c>
      <c r="H490" s="3290" t="s">
        <v>5229</v>
      </c>
      <c r="I490" s="3294" t="s">
        <v>1084</v>
      </c>
      <c r="J490" s="4322">
        <f>G490+G492</f>
        <v>130000000</v>
      </c>
      <c r="K490" s="4322">
        <f>200000000-J490</f>
        <v>70000000</v>
      </c>
      <c r="L490" s="4647"/>
    </row>
    <row r="491" spans="1:12" ht="30" customHeight="1" x14ac:dyDescent="0.2">
      <c r="A491" s="4464"/>
      <c r="B491" s="4488"/>
      <c r="C491" s="4540"/>
      <c r="D491" s="4564"/>
      <c r="E491" s="4596"/>
      <c r="F491" s="4565"/>
      <c r="G491" s="4303" t="s">
        <v>5427</v>
      </c>
      <c r="H491" s="4324"/>
      <c r="I491" s="4355"/>
      <c r="J491" s="4322"/>
      <c r="K491" s="4322"/>
      <c r="L491" s="4644"/>
    </row>
    <row r="492" spans="1:12" ht="30" customHeight="1" x14ac:dyDescent="0.2">
      <c r="A492" s="4460"/>
      <c r="B492" s="4458"/>
      <c r="C492" s="4538"/>
      <c r="D492" s="3297">
        <f>D487-200000000</f>
        <v>2022000000</v>
      </c>
      <c r="E492" s="3303">
        <v>8.3000000000000004E-2</v>
      </c>
      <c r="F492" s="3297">
        <v>167990000</v>
      </c>
      <c r="G492" s="3290"/>
      <c r="H492" s="3290"/>
      <c r="I492" s="3294"/>
      <c r="J492" s="7"/>
      <c r="K492" s="7"/>
      <c r="L492" s="3301" t="s">
        <v>5209</v>
      </c>
    </row>
    <row r="493" spans="1:12" ht="30" customHeight="1" x14ac:dyDescent="0.2">
      <c r="A493" s="4459">
        <v>305</v>
      </c>
      <c r="B493" s="4457" t="s">
        <v>152</v>
      </c>
      <c r="C493" s="4537"/>
      <c r="D493" s="4413">
        <v>900000000</v>
      </c>
      <c r="E493" s="4476">
        <v>7.0000000000000007E-2</v>
      </c>
      <c r="F493" s="4413">
        <f>D493*E493</f>
        <v>63000000.000000007</v>
      </c>
      <c r="G493" s="2821"/>
      <c r="H493" s="2821"/>
      <c r="I493" s="21" t="s">
        <v>2394</v>
      </c>
      <c r="J493" s="4413">
        <f>G493+G494</f>
        <v>0</v>
      </c>
      <c r="K493" s="4413">
        <f>38000000-J493</f>
        <v>38000000</v>
      </c>
      <c r="L493" s="345" t="s">
        <v>5907</v>
      </c>
    </row>
    <row r="494" spans="1:12" ht="30" customHeight="1" x14ac:dyDescent="0.2">
      <c r="A494" s="4464"/>
      <c r="B494" s="4488"/>
      <c r="C494" s="4540"/>
      <c r="D494" s="4414"/>
      <c r="E494" s="4516"/>
      <c r="F494" s="4414"/>
      <c r="G494" s="2821"/>
      <c r="H494" s="2821"/>
      <c r="I494" s="21" t="s">
        <v>2394</v>
      </c>
      <c r="J494" s="4414"/>
      <c r="K494" s="4414"/>
      <c r="L494" s="345"/>
    </row>
    <row r="495" spans="1:12" ht="30" customHeight="1" x14ac:dyDescent="0.2">
      <c r="A495" s="4464"/>
      <c r="B495" s="4488"/>
      <c r="C495" s="4540"/>
      <c r="D495" s="4414"/>
      <c r="E495" s="4516"/>
      <c r="F495" s="4414"/>
      <c r="G495" s="2821"/>
      <c r="H495" s="2821"/>
      <c r="I495" s="21" t="s">
        <v>2394</v>
      </c>
      <c r="J495" s="4414"/>
      <c r="K495" s="4414"/>
      <c r="L495" s="345"/>
    </row>
    <row r="496" spans="1:12" ht="30" customHeight="1" x14ac:dyDescent="0.2">
      <c r="A496" s="4460"/>
      <c r="B496" s="4458"/>
      <c r="C496" s="4538"/>
      <c r="D496" s="4415"/>
      <c r="E496" s="4477"/>
      <c r="F496" s="4415"/>
      <c r="G496" s="2821"/>
      <c r="H496" s="2821"/>
      <c r="I496" s="21" t="s">
        <v>2394</v>
      </c>
      <c r="J496" s="4415"/>
      <c r="K496" s="4415"/>
      <c r="L496" s="345"/>
    </row>
    <row r="497" spans="1:12" ht="30" customHeight="1" x14ac:dyDescent="0.2">
      <c r="A497" s="4459">
        <v>307</v>
      </c>
      <c r="B497" s="4457" t="s">
        <v>154</v>
      </c>
      <c r="C497" s="4537" t="s">
        <v>1306</v>
      </c>
      <c r="D497" s="2821">
        <v>220000000</v>
      </c>
      <c r="E497" s="2871">
        <v>0.05</v>
      </c>
      <c r="F497" s="2821">
        <f t="shared" si="46"/>
        <v>11000000</v>
      </c>
      <c r="G497" s="2821"/>
      <c r="H497" s="2821"/>
      <c r="I497" s="21"/>
      <c r="J497" s="2821">
        <f>G497</f>
        <v>0</v>
      </c>
      <c r="K497" s="2821">
        <f>F497-J497</f>
        <v>11000000</v>
      </c>
      <c r="L497" s="2874"/>
    </row>
    <row r="498" spans="1:12" ht="30" customHeight="1" x14ac:dyDescent="0.2">
      <c r="A498" s="4464"/>
      <c r="B498" s="4488"/>
      <c r="C498" s="4540"/>
      <c r="D498" s="4322" t="s">
        <v>3428</v>
      </c>
      <c r="E498" s="4322"/>
      <c r="F498" s="4322"/>
      <c r="G498" s="3275">
        <v>20000000</v>
      </c>
      <c r="H498" s="3275" t="s">
        <v>4922</v>
      </c>
      <c r="I498" s="3281" t="s">
        <v>2655</v>
      </c>
      <c r="J498" s="3275">
        <f>G498+G499</f>
        <v>30000000</v>
      </c>
      <c r="K498" s="3275"/>
      <c r="L498" s="2984"/>
    </row>
    <row r="499" spans="1:12" ht="30" customHeight="1" x14ac:dyDescent="0.2">
      <c r="A499" s="4460"/>
      <c r="B499" s="4458"/>
      <c r="C499" s="4538"/>
      <c r="D499" s="3266">
        <v>200000000</v>
      </c>
      <c r="E499" s="436">
        <v>0.05</v>
      </c>
      <c r="F499" s="3271">
        <f>D499*E499</f>
        <v>10000000</v>
      </c>
      <c r="G499" s="2992">
        <v>10000000</v>
      </c>
      <c r="H499" s="2992" t="s">
        <v>5214</v>
      </c>
      <c r="I499" s="2998" t="s">
        <v>2409</v>
      </c>
      <c r="J499" s="3275">
        <f>G499</f>
        <v>10000000</v>
      </c>
      <c r="K499" s="3275">
        <f>F499-J499</f>
        <v>0</v>
      </c>
      <c r="L499" s="2984"/>
    </row>
    <row r="500" spans="1:12" ht="30" customHeight="1" x14ac:dyDescent="0.2">
      <c r="A500" s="2825">
        <v>308</v>
      </c>
      <c r="B500" s="2869" t="s">
        <v>155</v>
      </c>
      <c r="C500" s="2873" t="s">
        <v>1294</v>
      </c>
      <c r="D500" s="2848">
        <v>300000000</v>
      </c>
      <c r="E500" s="2871">
        <v>0.05</v>
      </c>
      <c r="F500" s="2848">
        <f t="shared" si="46"/>
        <v>15000000</v>
      </c>
      <c r="G500" s="3115">
        <v>15000000</v>
      </c>
      <c r="H500" s="3115" t="s">
        <v>5156</v>
      </c>
      <c r="I500" s="18" t="s">
        <v>1873</v>
      </c>
      <c r="J500" s="3115">
        <f>G500</f>
        <v>15000000</v>
      </c>
      <c r="K500" s="3115">
        <f>F500-J500</f>
        <v>0</v>
      </c>
      <c r="L500" s="4643"/>
    </row>
    <row r="501" spans="1:12" ht="30" customHeight="1" x14ac:dyDescent="0.2">
      <c r="A501" s="4459">
        <v>309</v>
      </c>
      <c r="B501" s="4457" t="s">
        <v>1874</v>
      </c>
      <c r="C501" s="4537" t="s">
        <v>372</v>
      </c>
      <c r="D501" s="2821">
        <v>180000000</v>
      </c>
      <c r="E501" s="2823">
        <v>0.05</v>
      </c>
      <c r="F501" s="2821">
        <f>D501*E501</f>
        <v>9000000</v>
      </c>
      <c r="G501" s="3115">
        <v>9000000</v>
      </c>
      <c r="H501" s="3115" t="s">
        <v>4938</v>
      </c>
      <c r="I501" s="18" t="s">
        <v>1873</v>
      </c>
      <c r="J501" s="3115">
        <f>G501</f>
        <v>9000000</v>
      </c>
      <c r="K501" s="3115">
        <f>F501-J501</f>
        <v>0</v>
      </c>
      <c r="L501" s="4644"/>
    </row>
    <row r="502" spans="1:12" ht="30" customHeight="1" x14ac:dyDescent="0.2">
      <c r="A502" s="4460"/>
      <c r="B502" s="4458"/>
      <c r="C502" s="4538"/>
      <c r="D502" s="3778">
        <v>20000000</v>
      </c>
      <c r="E502" s="3787">
        <v>0.05</v>
      </c>
      <c r="F502" s="3778">
        <f>D502*E502</f>
        <v>1000000</v>
      </c>
      <c r="G502" s="4303" t="s">
        <v>5542</v>
      </c>
      <c r="H502" s="4324"/>
      <c r="I502" s="4324"/>
      <c r="J502" s="4355"/>
      <c r="K502" s="3778"/>
      <c r="L502" s="3810"/>
    </row>
    <row r="503" spans="1:12" ht="30" customHeight="1" x14ac:dyDescent="0.2">
      <c r="A503" s="2825">
        <v>310</v>
      </c>
      <c r="B503" s="2874" t="s">
        <v>157</v>
      </c>
      <c r="C503" s="2847" t="s">
        <v>392</v>
      </c>
      <c r="D503" s="2821">
        <v>100000000</v>
      </c>
      <c r="E503" s="2823">
        <v>0.05</v>
      </c>
      <c r="F503" s="2821">
        <f t="shared" ref="F503:F525" si="52">D503*E503</f>
        <v>5000000</v>
      </c>
      <c r="G503" s="2821">
        <v>5000000</v>
      </c>
      <c r="H503" s="2821" t="s">
        <v>4877</v>
      </c>
      <c r="I503" s="21" t="s">
        <v>4886</v>
      </c>
      <c r="J503" s="2821">
        <f>G503</f>
        <v>5000000</v>
      </c>
      <c r="K503" s="2821">
        <f t="shared" ref="K503:K512" si="53">F503-J503</f>
        <v>0</v>
      </c>
      <c r="L503" s="2898" t="s">
        <v>4756</v>
      </c>
    </row>
    <row r="504" spans="1:12" ht="30" customHeight="1" x14ac:dyDescent="0.2">
      <c r="A504" s="4459">
        <v>311</v>
      </c>
      <c r="B504" s="4457" t="s">
        <v>158</v>
      </c>
      <c r="C504" s="4537" t="s">
        <v>889</v>
      </c>
      <c r="D504" s="2821">
        <v>85000000</v>
      </c>
      <c r="E504" s="2871">
        <v>0.05</v>
      </c>
      <c r="F504" s="2821">
        <f t="shared" si="52"/>
        <v>4250000</v>
      </c>
      <c r="G504" s="4413">
        <v>9250000</v>
      </c>
      <c r="H504" s="4413" t="s">
        <v>4862</v>
      </c>
      <c r="I504" s="4568" t="s">
        <v>3971</v>
      </c>
      <c r="J504" s="4413">
        <f>G504</f>
        <v>9250000</v>
      </c>
      <c r="K504" s="4413">
        <f>(F504+F505)-J504</f>
        <v>0</v>
      </c>
      <c r="L504" s="2986"/>
    </row>
    <row r="505" spans="1:12" ht="30" customHeight="1" x14ac:dyDescent="0.2">
      <c r="A505" s="4460"/>
      <c r="B505" s="4458"/>
      <c r="C505" s="4538"/>
      <c r="D505" s="2821">
        <v>100000000</v>
      </c>
      <c r="E505" s="2871">
        <v>0.05</v>
      </c>
      <c r="F505" s="2821">
        <f t="shared" si="52"/>
        <v>5000000</v>
      </c>
      <c r="G505" s="4415"/>
      <c r="H505" s="4415"/>
      <c r="I505" s="4569"/>
      <c r="J505" s="4415"/>
      <c r="K505" s="4415"/>
      <c r="L505" s="2987"/>
    </row>
    <row r="506" spans="1:12" ht="30" customHeight="1" x14ac:dyDescent="0.2">
      <c r="A506" s="2825">
        <v>312</v>
      </c>
      <c r="B506" s="2874" t="s">
        <v>159</v>
      </c>
      <c r="C506" s="2847"/>
      <c r="D506" s="2838"/>
      <c r="E506" s="2521"/>
      <c r="F506" s="2838">
        <f t="shared" si="52"/>
        <v>0</v>
      </c>
      <c r="G506" s="2821"/>
      <c r="H506" s="2821"/>
      <c r="I506" s="21"/>
      <c r="J506" s="2821">
        <f>G506</f>
        <v>0</v>
      </c>
      <c r="K506" s="2838">
        <f t="shared" si="53"/>
        <v>0</v>
      </c>
      <c r="L506" s="2874"/>
    </row>
    <row r="507" spans="1:12" ht="30" customHeight="1" x14ac:dyDescent="0.2">
      <c r="A507" s="4791">
        <v>313</v>
      </c>
      <c r="B507" s="4457" t="s">
        <v>161</v>
      </c>
      <c r="C507" s="4537" t="s">
        <v>1652</v>
      </c>
      <c r="D507" s="4413">
        <v>152000000</v>
      </c>
      <c r="E507" s="4476">
        <v>0.05</v>
      </c>
      <c r="F507" s="4413">
        <f>D507*E507</f>
        <v>7600000</v>
      </c>
      <c r="G507" s="2848">
        <v>7600000</v>
      </c>
      <c r="H507" s="2848" t="s">
        <v>4922</v>
      </c>
      <c r="I507" s="2868" t="s">
        <v>3468</v>
      </c>
      <c r="J507" s="2848">
        <f>G507</f>
        <v>7600000</v>
      </c>
      <c r="K507" s="2848">
        <f t="shared" si="53"/>
        <v>0</v>
      </c>
      <c r="L507" s="2883"/>
    </row>
    <row r="508" spans="1:12" ht="30" customHeight="1" x14ac:dyDescent="0.2">
      <c r="A508" s="4792"/>
      <c r="B508" s="4458"/>
      <c r="C508" s="4538"/>
      <c r="D508" s="4415"/>
      <c r="E508" s="4477"/>
      <c r="F508" s="4415"/>
      <c r="G508" s="3173">
        <v>4000000</v>
      </c>
      <c r="H508" s="3173" t="s">
        <v>5017</v>
      </c>
      <c r="I508" s="910" t="s">
        <v>3560</v>
      </c>
      <c r="J508" s="3173">
        <f>G508</f>
        <v>4000000</v>
      </c>
      <c r="K508" s="3181"/>
      <c r="L508" s="3180"/>
    </row>
    <row r="509" spans="1:12" ht="30" customHeight="1" x14ac:dyDescent="0.2">
      <c r="A509" s="4459">
        <v>315</v>
      </c>
      <c r="B509" s="4457" t="s">
        <v>163</v>
      </c>
      <c r="C509" s="4537" t="s">
        <v>1176</v>
      </c>
      <c r="D509" s="2848">
        <v>400000000</v>
      </c>
      <c r="E509" s="2871">
        <v>6.3E-2</v>
      </c>
      <c r="F509" s="2848">
        <v>25000000</v>
      </c>
      <c r="G509" s="4325" t="s">
        <v>5004</v>
      </c>
      <c r="H509" s="4326"/>
      <c r="I509" s="4326"/>
      <c r="J509" s="4563"/>
      <c r="K509" s="2848">
        <f t="shared" si="53"/>
        <v>25000000</v>
      </c>
      <c r="L509" s="2843"/>
    </row>
    <row r="510" spans="1:12" ht="30" customHeight="1" x14ac:dyDescent="0.2">
      <c r="A510" s="4460"/>
      <c r="B510" s="4458"/>
      <c r="C510" s="4538"/>
      <c r="D510" s="3086">
        <v>100000000</v>
      </c>
      <c r="E510" s="3087">
        <v>0.05</v>
      </c>
      <c r="F510" s="3086">
        <f>D510*E510</f>
        <v>5000000</v>
      </c>
      <c r="G510" s="4564"/>
      <c r="H510" s="4596"/>
      <c r="I510" s="4596"/>
      <c r="J510" s="4565"/>
      <c r="K510" s="3086"/>
      <c r="L510" s="3098" t="s">
        <v>5003</v>
      </c>
    </row>
    <row r="511" spans="1:12" ht="30" customHeight="1" x14ac:dyDescent="0.2">
      <c r="A511" s="2876">
        <v>316</v>
      </c>
      <c r="B511" s="2829" t="s">
        <v>164</v>
      </c>
      <c r="C511" s="2847"/>
      <c r="D511" s="2821">
        <v>35000000</v>
      </c>
      <c r="E511" s="2823">
        <v>0.04</v>
      </c>
      <c r="F511" s="2821">
        <f>D511*E511</f>
        <v>1400000</v>
      </c>
      <c r="G511" s="2821">
        <v>1400000</v>
      </c>
      <c r="H511" s="2821" t="s">
        <v>4938</v>
      </c>
      <c r="I511" s="2852" t="s">
        <v>288</v>
      </c>
      <c r="J511" s="2821">
        <f t="shared" ref="J511:J524" si="54">G511</f>
        <v>1400000</v>
      </c>
      <c r="K511" s="2821">
        <f t="shared" si="53"/>
        <v>0</v>
      </c>
      <c r="L511" s="2874"/>
    </row>
    <row r="512" spans="1:12" ht="30" customHeight="1" x14ac:dyDescent="0.2">
      <c r="A512" s="4459">
        <v>317</v>
      </c>
      <c r="B512" s="4457" t="s">
        <v>4531</v>
      </c>
      <c r="C512" s="4537" t="s">
        <v>359</v>
      </c>
      <c r="D512" s="2821">
        <v>100000000</v>
      </c>
      <c r="E512" s="2871">
        <v>0.05</v>
      </c>
      <c r="F512" s="2821">
        <f>D512*E512</f>
        <v>5000000</v>
      </c>
      <c r="G512" s="4907" t="s">
        <v>4998</v>
      </c>
      <c r="H512" s="4908"/>
      <c r="I512" s="4908"/>
      <c r="J512" s="4909"/>
      <c r="K512" s="2821">
        <f t="shared" si="53"/>
        <v>5000000</v>
      </c>
      <c r="L512" s="2898"/>
    </row>
    <row r="513" spans="1:12" ht="30" customHeight="1" x14ac:dyDescent="0.2">
      <c r="A513" s="4464"/>
      <c r="B513" s="4488"/>
      <c r="C513" s="4540"/>
      <c r="D513" s="2821">
        <v>100000000</v>
      </c>
      <c r="E513" s="2871">
        <v>0.05</v>
      </c>
      <c r="F513" s="2821">
        <f>D513*E513</f>
        <v>5000000</v>
      </c>
      <c r="G513" s="4913"/>
      <c r="H513" s="4914"/>
      <c r="I513" s="4914"/>
      <c r="J513" s="4915"/>
      <c r="K513" s="2821"/>
      <c r="L513" s="2898" t="s">
        <v>4918</v>
      </c>
    </row>
    <row r="514" spans="1:12" ht="30" customHeight="1" x14ac:dyDescent="0.2">
      <c r="A514" s="4464"/>
      <c r="B514" s="4488"/>
      <c r="C514" s="4540"/>
      <c r="D514" s="4413">
        <v>100000000</v>
      </c>
      <c r="E514" s="4476">
        <v>0.05</v>
      </c>
      <c r="F514" s="4413">
        <f>D514*E514</f>
        <v>5000000</v>
      </c>
      <c r="G514" s="4725" t="s">
        <v>4997</v>
      </c>
      <c r="H514" s="4726"/>
      <c r="I514" s="4726"/>
      <c r="J514" s="4727"/>
      <c r="K514" s="3061"/>
      <c r="L514" s="3081"/>
    </row>
    <row r="515" spans="1:12" ht="30" customHeight="1" x14ac:dyDescent="0.2">
      <c r="A515" s="4460"/>
      <c r="B515" s="4458"/>
      <c r="C515" s="4538"/>
      <c r="D515" s="4415"/>
      <c r="E515" s="4477"/>
      <c r="F515" s="4415"/>
      <c r="G515" s="4725" t="s">
        <v>4996</v>
      </c>
      <c r="H515" s="4726"/>
      <c r="I515" s="4726"/>
      <c r="J515" s="4727"/>
      <c r="K515" s="3061"/>
      <c r="L515" s="3081"/>
    </row>
    <row r="516" spans="1:12" ht="30" customHeight="1" x14ac:dyDescent="0.2">
      <c r="A516" s="4459"/>
      <c r="B516" s="4457" t="s">
        <v>165</v>
      </c>
      <c r="C516" s="4537" t="s">
        <v>1287</v>
      </c>
      <c r="D516" s="2821">
        <v>210000000</v>
      </c>
      <c r="E516" s="2871">
        <v>0.06</v>
      </c>
      <c r="F516" s="2821">
        <f>D516*E516</f>
        <v>12600000</v>
      </c>
      <c r="G516" s="4413">
        <v>38000000</v>
      </c>
      <c r="H516" s="4478" t="s">
        <v>5156</v>
      </c>
      <c r="I516" s="4478" t="s">
        <v>2996</v>
      </c>
      <c r="J516" s="4975">
        <f>G516</f>
        <v>38000000</v>
      </c>
      <c r="K516" s="4413">
        <f>(F516+F517+F518)-J516-100000</f>
        <v>1000000</v>
      </c>
      <c r="L516" s="2898" t="s">
        <v>2709</v>
      </c>
    </row>
    <row r="517" spans="1:12" ht="30" customHeight="1" x14ac:dyDescent="0.2">
      <c r="A517" s="4464"/>
      <c r="B517" s="4488"/>
      <c r="C517" s="4540"/>
      <c r="D517" s="2821">
        <v>200000000</v>
      </c>
      <c r="E517" s="2871">
        <v>0.06</v>
      </c>
      <c r="F517" s="2821">
        <f>D517*E517</f>
        <v>12000000</v>
      </c>
      <c r="G517" s="4414"/>
      <c r="H517" s="4520"/>
      <c r="I517" s="4520"/>
      <c r="J517" s="4520"/>
      <c r="K517" s="4414"/>
      <c r="L517" s="3284" t="s">
        <v>5092</v>
      </c>
    </row>
    <row r="518" spans="1:12" ht="30" customHeight="1" x14ac:dyDescent="0.2">
      <c r="A518" s="4460"/>
      <c r="B518" s="4458"/>
      <c r="C518" s="4538"/>
      <c r="D518" s="4303" t="s">
        <v>5165</v>
      </c>
      <c r="E518" s="4355"/>
      <c r="F518" s="3269">
        <v>14500000</v>
      </c>
      <c r="G518" s="4415"/>
      <c r="H518" s="4479"/>
      <c r="I518" s="4479"/>
      <c r="J518" s="4479"/>
      <c r="K518" s="4415"/>
      <c r="L518" s="3284" t="s">
        <v>5166</v>
      </c>
    </row>
    <row r="519" spans="1:12" ht="30" customHeight="1" x14ac:dyDescent="0.2">
      <c r="A519" s="4459">
        <v>318</v>
      </c>
      <c r="B519" s="4457" t="s">
        <v>167</v>
      </c>
      <c r="C519" s="4537"/>
      <c r="D519" s="2821">
        <v>80000000</v>
      </c>
      <c r="E519" s="2871">
        <v>0.05</v>
      </c>
      <c r="F519" s="2821">
        <f t="shared" si="52"/>
        <v>4000000</v>
      </c>
      <c r="G519" s="2821">
        <v>4000000</v>
      </c>
      <c r="H519" s="2821" t="s">
        <v>5054</v>
      </c>
      <c r="I519" s="18" t="s">
        <v>1814</v>
      </c>
      <c r="J519" s="2821">
        <f t="shared" si="54"/>
        <v>4000000</v>
      </c>
      <c r="K519" s="2821">
        <f>F519-J519</f>
        <v>0</v>
      </c>
      <c r="L519" s="2874"/>
    </row>
    <row r="520" spans="1:12" ht="30" customHeight="1" x14ac:dyDescent="0.2">
      <c r="A520" s="4460"/>
      <c r="B520" s="4458"/>
      <c r="C520" s="4538"/>
      <c r="D520" s="3290">
        <v>250000000</v>
      </c>
      <c r="E520" s="3303"/>
      <c r="F520" s="3290"/>
      <c r="G520" s="3292"/>
      <c r="H520" s="3292"/>
      <c r="I520" s="3298"/>
      <c r="J520" s="3292"/>
      <c r="K520" s="3292"/>
      <c r="L520" s="3309" t="s">
        <v>5210</v>
      </c>
    </row>
    <row r="521" spans="1:12" ht="30" customHeight="1" x14ac:dyDescent="0.2">
      <c r="A521" s="4459">
        <v>320</v>
      </c>
      <c r="B521" s="4457" t="s">
        <v>169</v>
      </c>
      <c r="C521" s="4537" t="s">
        <v>1300</v>
      </c>
      <c r="D521" s="2821">
        <v>135000000</v>
      </c>
      <c r="E521" s="2871">
        <v>0.06</v>
      </c>
      <c r="F521" s="2821">
        <v>8000000</v>
      </c>
      <c r="G521" s="4413">
        <v>9750000</v>
      </c>
      <c r="H521" s="4413" t="s">
        <v>5017</v>
      </c>
      <c r="I521" s="4478" t="s">
        <v>2078</v>
      </c>
      <c r="J521" s="4413">
        <f t="shared" si="54"/>
        <v>9750000</v>
      </c>
      <c r="K521" s="4413">
        <f>(F521+F522)-J521</f>
        <v>0</v>
      </c>
      <c r="L521" s="2898"/>
    </row>
    <row r="522" spans="1:12" ht="30" customHeight="1" x14ac:dyDescent="0.2">
      <c r="A522" s="4460"/>
      <c r="B522" s="4458"/>
      <c r="C522" s="4538"/>
      <c r="D522" s="2821">
        <v>35000000</v>
      </c>
      <c r="E522" s="2871">
        <v>0.05</v>
      </c>
      <c r="F522" s="2821">
        <f>D522*E522</f>
        <v>1750000</v>
      </c>
      <c r="G522" s="4415"/>
      <c r="H522" s="4415"/>
      <c r="I522" s="4479"/>
      <c r="J522" s="4415"/>
      <c r="K522" s="4415"/>
      <c r="L522" s="1025" t="s">
        <v>3458</v>
      </c>
    </row>
    <row r="523" spans="1:12" ht="30" customHeight="1" x14ac:dyDescent="0.2">
      <c r="A523" s="3288">
        <v>321</v>
      </c>
      <c r="B523" s="19" t="s">
        <v>171</v>
      </c>
      <c r="C523" s="3304" t="s">
        <v>3007</v>
      </c>
      <c r="D523" s="3297">
        <v>5000000</v>
      </c>
      <c r="E523" s="3303">
        <v>0.04</v>
      </c>
      <c r="F523" s="3297">
        <f t="shared" si="52"/>
        <v>200000</v>
      </c>
      <c r="G523" s="3297">
        <v>200000</v>
      </c>
      <c r="H523" s="3297" t="s">
        <v>5176</v>
      </c>
      <c r="I523" s="3302" t="s">
        <v>1097</v>
      </c>
      <c r="J523" s="3297">
        <f t="shared" si="54"/>
        <v>200000</v>
      </c>
      <c r="K523" s="3297">
        <f>F523-J523</f>
        <v>0</v>
      </c>
      <c r="L523" s="2898"/>
    </row>
    <row r="524" spans="1:12" ht="30" customHeight="1" x14ac:dyDescent="0.2">
      <c r="A524" s="2825">
        <v>322</v>
      </c>
      <c r="B524" s="19" t="s">
        <v>1378</v>
      </c>
      <c r="C524" s="2873" t="s">
        <v>1081</v>
      </c>
      <c r="D524" s="2848">
        <v>10000000</v>
      </c>
      <c r="E524" s="2871">
        <v>0.05</v>
      </c>
      <c r="F524" s="2848">
        <f t="shared" si="52"/>
        <v>500000</v>
      </c>
      <c r="G524" s="2848">
        <v>500000</v>
      </c>
      <c r="H524" s="2848" t="s">
        <v>4841</v>
      </c>
      <c r="I524" s="2867" t="s">
        <v>1376</v>
      </c>
      <c r="J524" s="2848">
        <f t="shared" si="54"/>
        <v>500000</v>
      </c>
      <c r="K524" s="2848">
        <f>F524-J524</f>
        <v>0</v>
      </c>
      <c r="L524" s="2898"/>
    </row>
    <row r="525" spans="1:12" ht="30" customHeight="1" x14ac:dyDescent="0.2">
      <c r="A525" s="2876">
        <v>323</v>
      </c>
      <c r="B525" s="2829" t="s">
        <v>172</v>
      </c>
      <c r="C525" s="2847"/>
      <c r="D525" s="2821">
        <v>60000000</v>
      </c>
      <c r="E525" s="2823">
        <v>4.4999999999999998E-2</v>
      </c>
      <c r="F525" s="2821">
        <f t="shared" si="52"/>
        <v>2700000</v>
      </c>
      <c r="G525" s="2821"/>
      <c r="H525" s="2821"/>
      <c r="I525" s="2850"/>
      <c r="J525" s="2821">
        <f>G525</f>
        <v>0</v>
      </c>
      <c r="K525" s="2821">
        <f>F525-J525</f>
        <v>2700000</v>
      </c>
      <c r="L525" s="2874"/>
    </row>
    <row r="526" spans="1:12" ht="30" customHeight="1" x14ac:dyDescent="0.2">
      <c r="A526" s="2876">
        <v>324</v>
      </c>
      <c r="B526" s="2874" t="s">
        <v>173</v>
      </c>
      <c r="C526" s="2847" t="s">
        <v>889</v>
      </c>
      <c r="D526" s="2821">
        <v>20000000</v>
      </c>
      <c r="E526" s="2871">
        <v>0.05</v>
      </c>
      <c r="F526" s="2821">
        <f>D526*E526</f>
        <v>1000000</v>
      </c>
      <c r="G526" s="3145">
        <v>3000000</v>
      </c>
      <c r="H526" s="3145" t="s">
        <v>5054</v>
      </c>
      <c r="I526" s="3152" t="s">
        <v>1740</v>
      </c>
      <c r="J526" s="3145">
        <f>G526</f>
        <v>3000000</v>
      </c>
      <c r="K526" s="3145"/>
      <c r="L526" s="3151" t="s">
        <v>5065</v>
      </c>
    </row>
    <row r="527" spans="1:12" ht="30" customHeight="1" x14ac:dyDescent="0.2">
      <c r="A527" s="4459">
        <v>325</v>
      </c>
      <c r="B527" s="4457" t="s">
        <v>270</v>
      </c>
      <c r="C527" s="4537" t="s">
        <v>262</v>
      </c>
      <c r="D527" s="2821">
        <v>300000000</v>
      </c>
      <c r="E527" s="2871">
        <v>0.1</v>
      </c>
      <c r="F527" s="2821">
        <v>30750000</v>
      </c>
      <c r="G527" s="4413">
        <v>46000000</v>
      </c>
      <c r="H527" s="4413" t="s">
        <v>4938</v>
      </c>
      <c r="I527" s="4478" t="s">
        <v>5051</v>
      </c>
      <c r="J527" s="4413">
        <f>G527</f>
        <v>46000000</v>
      </c>
      <c r="K527" s="4413">
        <f>(F527+F528)-J527</f>
        <v>-5450000</v>
      </c>
      <c r="L527" s="4537"/>
    </row>
    <row r="528" spans="1:12" ht="30" customHeight="1" x14ac:dyDescent="0.2">
      <c r="A528" s="4464"/>
      <c r="B528" s="4488"/>
      <c r="C528" s="4540"/>
      <c r="D528" s="2821">
        <v>140000000</v>
      </c>
      <c r="E528" s="2871">
        <v>7.0000000000000007E-2</v>
      </c>
      <c r="F528" s="2821">
        <v>9800000</v>
      </c>
      <c r="G528" s="4414"/>
      <c r="H528" s="4414"/>
      <c r="I528" s="4520"/>
      <c r="J528" s="4414"/>
      <c r="K528" s="4414"/>
      <c r="L528" s="4540"/>
    </row>
    <row r="529" spans="1:12" ht="30" customHeight="1" x14ac:dyDescent="0.2">
      <c r="A529" s="4464"/>
      <c r="B529" s="4488"/>
      <c r="C529" s="4540"/>
      <c r="D529" s="2821">
        <v>70000000</v>
      </c>
      <c r="E529" s="2871">
        <v>0.06</v>
      </c>
      <c r="F529" s="2821">
        <f>D529*E529</f>
        <v>4200000</v>
      </c>
      <c r="G529" s="4415"/>
      <c r="H529" s="4415"/>
      <c r="I529" s="4479"/>
      <c r="J529" s="4415"/>
      <c r="K529" s="4415"/>
      <c r="L529" s="3151" t="s">
        <v>4508</v>
      </c>
    </row>
    <row r="530" spans="1:12" ht="30" customHeight="1" x14ac:dyDescent="0.2">
      <c r="A530" s="4464"/>
      <c r="B530" s="4488"/>
      <c r="C530" s="4540"/>
      <c r="D530" s="3136">
        <v>100000000</v>
      </c>
      <c r="E530" s="3153">
        <v>0.06</v>
      </c>
      <c r="F530" s="3136">
        <f>D530*E530</f>
        <v>6000000</v>
      </c>
      <c r="G530" s="3145"/>
      <c r="H530" s="3145"/>
      <c r="I530" s="3152"/>
      <c r="J530" s="3136"/>
      <c r="K530" s="3136"/>
      <c r="L530" s="3151" t="s">
        <v>5050</v>
      </c>
    </row>
    <row r="531" spans="1:12" ht="30" customHeight="1" x14ac:dyDescent="0.2">
      <c r="A531" s="4464"/>
      <c r="B531" s="4488"/>
      <c r="C531" s="4540"/>
      <c r="D531" s="3448">
        <f>SUM(D527:D530)</f>
        <v>610000000</v>
      </c>
      <c r="E531" s="436"/>
      <c r="F531" s="3448">
        <v>52000000</v>
      </c>
      <c r="G531" s="3456"/>
      <c r="H531" s="3456"/>
      <c r="I531" s="3463"/>
      <c r="J531" s="3445"/>
      <c r="K531" s="3445"/>
      <c r="L531" s="3462"/>
    </row>
    <row r="532" spans="1:12" ht="30" customHeight="1" x14ac:dyDescent="0.2">
      <c r="A532" s="4464"/>
      <c r="B532" s="4488"/>
      <c r="C532" s="4540"/>
      <c r="D532" s="3640">
        <v>238000000</v>
      </c>
      <c r="E532" s="3652"/>
      <c r="F532" s="3640"/>
      <c r="G532" s="3647"/>
      <c r="H532" s="3647"/>
      <c r="I532" s="3651"/>
      <c r="J532" s="3640"/>
      <c r="K532" s="3640"/>
      <c r="L532" s="3650"/>
    </row>
    <row r="533" spans="1:12" ht="30" customHeight="1" x14ac:dyDescent="0.2">
      <c r="A533" s="4464"/>
      <c r="B533" s="4488"/>
      <c r="C533" s="4540"/>
      <c r="D533" s="3640">
        <v>100000000</v>
      </c>
      <c r="E533" s="3652"/>
      <c r="F533" s="3640"/>
      <c r="G533" s="3647"/>
      <c r="H533" s="3647"/>
      <c r="I533" s="3651"/>
      <c r="J533" s="3640"/>
      <c r="K533" s="3640"/>
      <c r="L533" s="3650" t="s">
        <v>5374</v>
      </c>
    </row>
    <row r="534" spans="1:12" ht="30" customHeight="1" x14ac:dyDescent="0.2">
      <c r="A534" s="4464"/>
      <c r="B534" s="4488"/>
      <c r="C534" s="4540"/>
      <c r="D534" s="3445">
        <v>50000000</v>
      </c>
      <c r="E534" s="3464"/>
      <c r="F534" s="3445"/>
      <c r="G534" s="3145"/>
      <c r="H534" s="3145"/>
      <c r="I534" s="3152"/>
      <c r="J534" s="3136"/>
      <c r="K534" s="3136"/>
      <c r="L534" s="3151" t="s">
        <v>5375</v>
      </c>
    </row>
    <row r="535" spans="1:12" ht="30" customHeight="1" x14ac:dyDescent="0.2">
      <c r="A535" s="4464"/>
      <c r="B535" s="4488"/>
      <c r="C535" s="4540"/>
      <c r="D535" s="3643">
        <v>2000000</v>
      </c>
      <c r="E535" s="3652"/>
      <c r="F535" s="3640"/>
      <c r="G535" s="3647"/>
      <c r="H535" s="3647"/>
      <c r="I535" s="3651"/>
      <c r="J535" s="3640"/>
      <c r="K535" s="3640"/>
      <c r="L535" s="3650" t="s">
        <v>5376</v>
      </c>
    </row>
    <row r="536" spans="1:12" ht="30" customHeight="1" x14ac:dyDescent="0.2">
      <c r="A536" s="4464"/>
      <c r="B536" s="4488"/>
      <c r="C536" s="4540"/>
      <c r="D536" s="3643">
        <f>D531+D532+D533+D534+D535</f>
        <v>1000000000</v>
      </c>
      <c r="E536" s="3652"/>
      <c r="F536" s="3640"/>
      <c r="G536" s="3647"/>
      <c r="H536" s="3647"/>
      <c r="I536" s="3651"/>
      <c r="J536" s="3640"/>
      <c r="K536" s="3640"/>
      <c r="L536" s="3650"/>
    </row>
    <row r="537" spans="1:12" ht="30" customHeight="1" x14ac:dyDescent="0.2">
      <c r="A537" s="4464"/>
      <c r="B537" s="4488"/>
      <c r="C537" s="4540"/>
      <c r="D537" s="4303" t="s">
        <v>5309</v>
      </c>
      <c r="E537" s="4324"/>
      <c r="F537" s="4324"/>
      <c r="G537" s="4324"/>
      <c r="H537" s="4324"/>
      <c r="I537" s="4324"/>
      <c r="J537" s="4355"/>
      <c r="K537" s="3445"/>
      <c r="L537" s="3462"/>
    </row>
    <row r="538" spans="1:12" ht="30" customHeight="1" x14ac:dyDescent="0.2">
      <c r="A538" s="4460"/>
      <c r="B538" s="4458"/>
      <c r="C538" s="4538"/>
      <c r="D538" s="3448">
        <v>1000000000</v>
      </c>
      <c r="E538" s="436">
        <v>0.06</v>
      </c>
      <c r="F538" s="3448">
        <v>61400000</v>
      </c>
      <c r="G538" s="3456"/>
      <c r="H538" s="3456"/>
      <c r="I538" s="3463"/>
      <c r="J538" s="3445"/>
      <c r="K538" s="3445"/>
      <c r="L538" s="3462"/>
    </row>
    <row r="539" spans="1:12" ht="30" customHeight="1" x14ac:dyDescent="0.2">
      <c r="A539" s="3085">
        <v>326</v>
      </c>
      <c r="B539" s="19" t="s">
        <v>176</v>
      </c>
      <c r="C539" s="3095" t="s">
        <v>1300</v>
      </c>
      <c r="D539" s="3092">
        <v>500000000</v>
      </c>
      <c r="E539" s="3093">
        <v>0.05</v>
      </c>
      <c r="F539" s="3092">
        <f>D539*E539</f>
        <v>25000000</v>
      </c>
      <c r="G539" s="233">
        <v>25000000</v>
      </c>
      <c r="H539" s="3181" t="s">
        <v>5017</v>
      </c>
      <c r="I539" s="3182" t="s">
        <v>5101</v>
      </c>
      <c r="J539" s="3181">
        <f>G539</f>
        <v>25000000</v>
      </c>
      <c r="K539" s="3181">
        <f>F539-J539</f>
        <v>0</v>
      </c>
      <c r="L539" s="3091"/>
    </row>
    <row r="540" spans="1:12" ht="30" customHeight="1" x14ac:dyDescent="0.2">
      <c r="A540" s="2876">
        <v>327</v>
      </c>
      <c r="B540" s="2829" t="s">
        <v>1232</v>
      </c>
      <c r="C540" s="2847"/>
      <c r="D540" s="2821">
        <v>60000000</v>
      </c>
      <c r="E540" s="2823">
        <v>0.05</v>
      </c>
      <c r="F540" s="2821">
        <f t="shared" ref="F540:F542" si="55">D540*E540</f>
        <v>3000000</v>
      </c>
      <c r="G540" s="2821"/>
      <c r="H540" s="2821"/>
      <c r="I540" s="21" t="s">
        <v>1231</v>
      </c>
      <c r="J540" s="2821">
        <f>G540</f>
        <v>0</v>
      </c>
      <c r="K540" s="2821">
        <f t="shared" ref="K540:K545" si="56">F540-J540</f>
        <v>3000000</v>
      </c>
      <c r="L540" s="2898"/>
    </row>
    <row r="541" spans="1:12" ht="30" customHeight="1" x14ac:dyDescent="0.2">
      <c r="A541" s="3496">
        <v>328</v>
      </c>
      <c r="B541" s="3542" t="s">
        <v>2675</v>
      </c>
      <c r="C541" s="345" t="s">
        <v>942</v>
      </c>
      <c r="D541" s="3524">
        <v>685000000</v>
      </c>
      <c r="E541" s="3535">
        <v>0.06</v>
      </c>
      <c r="F541" s="3524">
        <v>41700000</v>
      </c>
      <c r="G541" s="3493"/>
      <c r="H541" s="3493"/>
      <c r="I541" s="3594" t="s">
        <v>1434</v>
      </c>
      <c r="J541" s="3493">
        <f>G541</f>
        <v>0</v>
      </c>
      <c r="K541" s="3493">
        <f t="shared" si="56"/>
        <v>41700000</v>
      </c>
      <c r="L541" s="2898"/>
    </row>
    <row r="542" spans="1:12" ht="30" customHeight="1" x14ac:dyDescent="0.2">
      <c r="A542" s="2825">
        <v>329</v>
      </c>
      <c r="B542" s="2869" t="s">
        <v>181</v>
      </c>
      <c r="C542" s="378"/>
      <c r="D542" s="2819"/>
      <c r="E542" s="2521"/>
      <c r="F542" s="2819">
        <f t="shared" si="55"/>
        <v>0</v>
      </c>
      <c r="G542" s="2848"/>
      <c r="H542" s="2848"/>
      <c r="I542" s="2868"/>
      <c r="J542" s="2848"/>
      <c r="K542" s="2819">
        <f t="shared" si="56"/>
        <v>0</v>
      </c>
      <c r="L542" s="2843"/>
    </row>
    <row r="543" spans="1:12" ht="30" customHeight="1" x14ac:dyDescent="0.2">
      <c r="A543" s="3438">
        <v>330</v>
      </c>
      <c r="B543" s="2553" t="s">
        <v>1170</v>
      </c>
      <c r="C543" s="3430" t="s">
        <v>1138</v>
      </c>
      <c r="D543" s="3429">
        <v>30000000</v>
      </c>
      <c r="E543" s="2558">
        <f>F543/D543</f>
        <v>0.05</v>
      </c>
      <c r="F543" s="3429">
        <v>1500000</v>
      </c>
      <c r="G543" s="3429">
        <v>30000000</v>
      </c>
      <c r="H543" s="3429" t="s">
        <v>5229</v>
      </c>
      <c r="I543" s="287" t="s">
        <v>5290</v>
      </c>
      <c r="J543" s="3429">
        <f>G543</f>
        <v>30000000</v>
      </c>
      <c r="K543" s="3429">
        <f t="shared" si="56"/>
        <v>-28500000</v>
      </c>
      <c r="L543" s="2553"/>
    </row>
    <row r="544" spans="1:12" ht="30" customHeight="1" x14ac:dyDescent="0.2">
      <c r="A544" s="2887">
        <v>331</v>
      </c>
      <c r="B544" s="2874" t="s">
        <v>339</v>
      </c>
      <c r="C544" s="2873" t="s">
        <v>371</v>
      </c>
      <c r="D544" s="2848">
        <v>290000000</v>
      </c>
      <c r="E544" s="2871">
        <v>0.06</v>
      </c>
      <c r="F544" s="2848">
        <f t="shared" ref="F544:F549" si="57">D544*E544</f>
        <v>17400000</v>
      </c>
      <c r="G544" s="2848">
        <v>17400000</v>
      </c>
      <c r="H544" s="2848" t="s">
        <v>5085</v>
      </c>
      <c r="I544" s="2848" t="s">
        <v>1840</v>
      </c>
      <c r="J544" s="2848">
        <f>G544</f>
        <v>17400000</v>
      </c>
      <c r="K544" s="2848">
        <f t="shared" si="56"/>
        <v>0</v>
      </c>
      <c r="L544" s="2898"/>
    </row>
    <row r="545" spans="1:12" ht="30" customHeight="1" x14ac:dyDescent="0.2">
      <c r="A545" s="4962">
        <v>332</v>
      </c>
      <c r="B545" s="4962" t="s">
        <v>370</v>
      </c>
      <c r="C545" s="4964" t="s">
        <v>371</v>
      </c>
      <c r="D545" s="3360">
        <v>30000000</v>
      </c>
      <c r="E545" s="2558">
        <v>0.05</v>
      </c>
      <c r="F545" s="3360">
        <f t="shared" si="57"/>
        <v>1500000</v>
      </c>
      <c r="G545" s="3360">
        <v>1500000</v>
      </c>
      <c r="H545" s="3360" t="s">
        <v>5085</v>
      </c>
      <c r="I545" s="287" t="s">
        <v>3575</v>
      </c>
      <c r="J545" s="3363">
        <f>G545</f>
        <v>1500000</v>
      </c>
      <c r="K545" s="3363">
        <f t="shared" si="56"/>
        <v>0</v>
      </c>
      <c r="L545" s="3362" t="s">
        <v>5120</v>
      </c>
    </row>
    <row r="546" spans="1:12" ht="30" customHeight="1" x14ac:dyDescent="0.2">
      <c r="A546" s="4963"/>
      <c r="B546" s="4963"/>
      <c r="C546" s="4965"/>
      <c r="D546" s="4978" t="s">
        <v>2045</v>
      </c>
      <c r="E546" s="4979"/>
      <c r="F546" s="4980"/>
      <c r="G546" s="3363">
        <v>30000000</v>
      </c>
      <c r="H546" s="3363" t="s">
        <v>5214</v>
      </c>
      <c r="I546" s="3366" t="s">
        <v>1220</v>
      </c>
      <c r="J546" s="2550">
        <f>G546</f>
        <v>30000000</v>
      </c>
      <c r="K546" s="2550"/>
      <c r="L546" s="3362"/>
    </row>
    <row r="547" spans="1:12" ht="30" customHeight="1" x14ac:dyDescent="0.2">
      <c r="A547" s="4459">
        <v>333</v>
      </c>
      <c r="B547" s="4457" t="s">
        <v>888</v>
      </c>
      <c r="C547" s="4537" t="s">
        <v>889</v>
      </c>
      <c r="D547" s="2821">
        <v>320000000</v>
      </c>
      <c r="E547" s="2871">
        <v>0.05</v>
      </c>
      <c r="F547" s="2821">
        <f t="shared" si="57"/>
        <v>16000000</v>
      </c>
      <c r="G547" s="4413">
        <v>21000000</v>
      </c>
      <c r="H547" s="4413" t="s">
        <v>4862</v>
      </c>
      <c r="I547" s="4478" t="s">
        <v>1323</v>
      </c>
      <c r="J547" s="4322">
        <f>G547</f>
        <v>21000000</v>
      </c>
      <c r="K547" s="4322">
        <f>(F547+F548)-J547</f>
        <v>0</v>
      </c>
      <c r="L547" s="4643"/>
    </row>
    <row r="548" spans="1:12" ht="30" customHeight="1" x14ac:dyDescent="0.2">
      <c r="A548" s="4460"/>
      <c r="B548" s="4458"/>
      <c r="C548" s="4538"/>
      <c r="D548" s="2821">
        <v>100000000</v>
      </c>
      <c r="E548" s="2871">
        <v>0.05</v>
      </c>
      <c r="F548" s="2821">
        <f t="shared" si="57"/>
        <v>5000000</v>
      </c>
      <c r="G548" s="4415"/>
      <c r="H548" s="4415"/>
      <c r="I548" s="4479"/>
      <c r="J548" s="4322"/>
      <c r="K548" s="4322"/>
      <c r="L548" s="4644"/>
    </row>
    <row r="549" spans="1:12" ht="30" customHeight="1" x14ac:dyDescent="0.2">
      <c r="A549" s="2825">
        <v>335</v>
      </c>
      <c r="B549" s="19" t="s">
        <v>1276</v>
      </c>
      <c r="C549" s="2873" t="s">
        <v>889</v>
      </c>
      <c r="D549" s="2821">
        <v>15000000</v>
      </c>
      <c r="E549" s="2871">
        <v>0.05</v>
      </c>
      <c r="F549" s="2821">
        <f t="shared" si="57"/>
        <v>750000</v>
      </c>
      <c r="G549" s="2821">
        <v>750000</v>
      </c>
      <c r="H549" s="2821" t="s">
        <v>5085</v>
      </c>
      <c r="I549" s="21" t="s">
        <v>2747</v>
      </c>
      <c r="J549" s="2821">
        <f>G549</f>
        <v>750000</v>
      </c>
      <c r="K549" s="2821">
        <f>F549-J549</f>
        <v>0</v>
      </c>
      <c r="L549" s="2898"/>
    </row>
    <row r="550" spans="1:12" ht="30" customHeight="1" x14ac:dyDescent="0.2">
      <c r="A550" s="2876">
        <v>336</v>
      </c>
      <c r="B550" s="2829" t="s">
        <v>2576</v>
      </c>
      <c r="C550" s="2847" t="s">
        <v>889</v>
      </c>
      <c r="D550" s="2821">
        <v>210000000</v>
      </c>
      <c r="E550" s="2871">
        <v>0.05</v>
      </c>
      <c r="F550" s="2821">
        <f>D550*E550</f>
        <v>10500000</v>
      </c>
      <c r="G550" s="2821">
        <v>10500000</v>
      </c>
      <c r="H550" s="2821" t="s">
        <v>4841</v>
      </c>
      <c r="I550" s="21" t="s">
        <v>3408</v>
      </c>
      <c r="J550" s="2821">
        <f>G550</f>
        <v>10500000</v>
      </c>
      <c r="K550" s="2821">
        <f>F550-J550</f>
        <v>0</v>
      </c>
      <c r="L550" s="2874"/>
    </row>
    <row r="551" spans="1:12" ht="30" customHeight="1" x14ac:dyDescent="0.2">
      <c r="A551" s="4459">
        <v>337</v>
      </c>
      <c r="B551" s="4457" t="s">
        <v>1304</v>
      </c>
      <c r="C551" s="4537" t="s">
        <v>889</v>
      </c>
      <c r="D551" s="2821">
        <v>80000000</v>
      </c>
      <c r="E551" s="2871">
        <v>7.0000000000000007E-2</v>
      </c>
      <c r="F551" s="2821">
        <f t="shared" ref="F551:F577" si="58">D551*E551</f>
        <v>5600000.0000000009</v>
      </c>
      <c r="G551" s="4907" t="s">
        <v>4840</v>
      </c>
      <c r="H551" s="4908"/>
      <c r="I551" s="4909"/>
      <c r="J551" s="4413"/>
      <c r="K551" s="4413"/>
      <c r="L551" s="2874"/>
    </row>
    <row r="552" spans="1:12" ht="30" customHeight="1" x14ac:dyDescent="0.2">
      <c r="A552" s="4464"/>
      <c r="B552" s="4488"/>
      <c r="C552" s="4540"/>
      <c r="D552" s="2821">
        <v>200000000</v>
      </c>
      <c r="E552" s="2871">
        <v>0.06</v>
      </c>
      <c r="F552" s="2821">
        <f t="shared" si="58"/>
        <v>12000000</v>
      </c>
      <c r="G552" s="4913"/>
      <c r="H552" s="4914"/>
      <c r="I552" s="4915"/>
      <c r="J552" s="4415"/>
      <c r="K552" s="4415"/>
      <c r="L552" s="2829"/>
    </row>
    <row r="553" spans="1:12" ht="30" customHeight="1" x14ac:dyDescent="0.2">
      <c r="A553" s="4460"/>
      <c r="B553" s="4458"/>
      <c r="C553" s="4538"/>
      <c r="D553" s="3483">
        <v>380000000</v>
      </c>
      <c r="E553" s="897">
        <v>7.0000000000000007E-2</v>
      </c>
      <c r="F553" s="3483">
        <f t="shared" si="58"/>
        <v>26600000.000000004</v>
      </c>
      <c r="G553" s="1662"/>
      <c r="H553" s="1662"/>
      <c r="I553" s="1662"/>
      <c r="J553" s="3478"/>
      <c r="K553" s="3478"/>
      <c r="L553" s="3481" t="s">
        <v>5340</v>
      </c>
    </row>
    <row r="554" spans="1:12" ht="30" customHeight="1" x14ac:dyDescent="0.2">
      <c r="A554" s="4459"/>
      <c r="B554" s="4457" t="s">
        <v>1677</v>
      </c>
      <c r="C554" s="4537" t="s">
        <v>889</v>
      </c>
      <c r="D554" s="3260">
        <v>235500000</v>
      </c>
      <c r="E554" s="2871">
        <v>0.05</v>
      </c>
      <c r="F554" s="2821">
        <f t="shared" si="58"/>
        <v>11775000</v>
      </c>
      <c r="G554" s="2815"/>
      <c r="H554" s="2817"/>
      <c r="I554" s="2817"/>
      <c r="J554" s="2817"/>
      <c r="K554" s="1605"/>
      <c r="L554" s="3481" t="s">
        <v>5303</v>
      </c>
    </row>
    <row r="555" spans="1:12" ht="30" customHeight="1" x14ac:dyDescent="0.2">
      <c r="A555" s="4464"/>
      <c r="B555" s="4488"/>
      <c r="C555" s="4540"/>
      <c r="D555" s="3256">
        <v>300000000</v>
      </c>
      <c r="E555" s="3258">
        <v>7.0000000000000007E-2</v>
      </c>
      <c r="F555" s="3256">
        <f t="shared" si="58"/>
        <v>21000000.000000004</v>
      </c>
      <c r="G555" s="4469" t="s">
        <v>5293</v>
      </c>
      <c r="H555" s="4470"/>
      <c r="I555" s="4470"/>
      <c r="J555" s="4470"/>
      <c r="K555" s="4471"/>
      <c r="L555" s="2854"/>
    </row>
    <row r="556" spans="1:12" ht="30" customHeight="1" x14ac:dyDescent="0.2">
      <c r="A556" s="4464"/>
      <c r="B556" s="4488"/>
      <c r="C556" s="4540"/>
      <c r="D556" s="3256">
        <v>30000000</v>
      </c>
      <c r="E556" s="3258">
        <v>7.0000000000000007E-2</v>
      </c>
      <c r="F556" s="3256">
        <f t="shared" si="58"/>
        <v>2100000</v>
      </c>
      <c r="G556" s="4469" t="s">
        <v>5302</v>
      </c>
      <c r="H556" s="4470"/>
      <c r="I556" s="4470"/>
      <c r="J556" s="4470"/>
      <c r="K556" s="4471"/>
      <c r="L556" s="2854"/>
    </row>
    <row r="557" spans="1:12" ht="30" customHeight="1" x14ac:dyDescent="0.2">
      <c r="A557" s="4464"/>
      <c r="B557" s="4488"/>
      <c r="C557" s="4540"/>
      <c r="D557" s="3257">
        <v>20000000</v>
      </c>
      <c r="E557" s="3259">
        <v>7.0000000000000007E-2</v>
      </c>
      <c r="F557" s="3257">
        <f>D557*E557</f>
        <v>1400000.0000000002</v>
      </c>
      <c r="G557" s="4469" t="s">
        <v>5299</v>
      </c>
      <c r="H557" s="4470"/>
      <c r="I557" s="4470"/>
      <c r="J557" s="4470"/>
      <c r="K557" s="4471"/>
      <c r="L557" s="2854"/>
    </row>
    <row r="558" spans="1:12" ht="30" customHeight="1" x14ac:dyDescent="0.2">
      <c r="A558" s="4464"/>
      <c r="B558" s="4488"/>
      <c r="C558" s="4540"/>
      <c r="D558" s="3257">
        <v>12000000</v>
      </c>
      <c r="E558" s="3259">
        <v>7.0000000000000007E-2</v>
      </c>
      <c r="F558" s="3257">
        <f>D558*E558</f>
        <v>840000.00000000012</v>
      </c>
      <c r="G558" s="4469" t="s">
        <v>5294</v>
      </c>
      <c r="H558" s="4470"/>
      <c r="I558" s="4470"/>
      <c r="J558" s="4470"/>
      <c r="K558" s="4471"/>
      <c r="L558" s="2854"/>
    </row>
    <row r="559" spans="1:12" ht="30" customHeight="1" x14ac:dyDescent="0.2">
      <c r="A559" s="4464"/>
      <c r="B559" s="4488"/>
      <c r="C559" s="4540"/>
      <c r="D559" s="3257">
        <f>SUM(D555:D558)</f>
        <v>362000000</v>
      </c>
      <c r="E559" s="3259">
        <v>7.0000000000000007E-2</v>
      </c>
      <c r="F559" s="3257">
        <f>D559*E559</f>
        <v>25340000.000000004</v>
      </c>
      <c r="G559" s="2815"/>
      <c r="H559" s="2817"/>
      <c r="I559" s="2817"/>
      <c r="J559" s="2817"/>
      <c r="K559" s="1605"/>
      <c r="L559" s="2854"/>
    </row>
    <row r="560" spans="1:12" ht="30" customHeight="1" x14ac:dyDescent="0.2">
      <c r="A560" s="4464"/>
      <c r="B560" s="4488"/>
      <c r="C560" s="4540"/>
      <c r="D560" s="4807">
        <f>D554+D559</f>
        <v>597500000</v>
      </c>
      <c r="E560" s="4808"/>
      <c r="F560" s="3257">
        <f>F554+F559</f>
        <v>37115000</v>
      </c>
      <c r="G560" s="2815"/>
      <c r="H560" s="2817"/>
      <c r="I560" s="2817"/>
      <c r="J560" s="2817"/>
      <c r="K560" s="1605"/>
      <c r="L560" s="2854"/>
    </row>
    <row r="561" spans="1:12" ht="30" customHeight="1" x14ac:dyDescent="0.2">
      <c r="A561" s="4464"/>
      <c r="B561" s="4488"/>
      <c r="C561" s="4540"/>
      <c r="D561" s="3244">
        <v>45000000</v>
      </c>
      <c r="E561" s="3233">
        <v>7.0000000000000007E-2</v>
      </c>
      <c r="F561" s="3244">
        <f>D561*E561</f>
        <v>3150000.0000000005</v>
      </c>
      <c r="G561" s="4469" t="s">
        <v>5295</v>
      </c>
      <c r="H561" s="4470"/>
      <c r="I561" s="4470"/>
      <c r="J561" s="4470"/>
      <c r="K561" s="4471"/>
      <c r="L561" s="2854"/>
    </row>
    <row r="562" spans="1:12" ht="30" customHeight="1" x14ac:dyDescent="0.2">
      <c r="A562" s="4464"/>
      <c r="B562" s="4488"/>
      <c r="C562" s="4540"/>
      <c r="D562" s="3244">
        <v>100000000</v>
      </c>
      <c r="E562" s="3233">
        <v>7.0000000000000007E-2</v>
      </c>
      <c r="F562" s="3244">
        <f>D562*E562</f>
        <v>7000000.0000000009</v>
      </c>
      <c r="G562" s="4469" t="s">
        <v>5296</v>
      </c>
      <c r="H562" s="4470"/>
      <c r="I562" s="4470"/>
      <c r="J562" s="4470"/>
      <c r="K562" s="4471"/>
      <c r="L562" s="2854"/>
    </row>
    <row r="563" spans="1:12" ht="30" customHeight="1" x14ac:dyDescent="0.2">
      <c r="A563" s="4464"/>
      <c r="B563" s="4488"/>
      <c r="C563" s="4540"/>
      <c r="D563" s="3244">
        <v>80000000</v>
      </c>
      <c r="E563" s="3233">
        <v>7.0000000000000007E-2</v>
      </c>
      <c r="F563" s="3244">
        <f t="shared" ref="F563:F564" si="59">D563*E563</f>
        <v>5600000.0000000009</v>
      </c>
      <c r="G563" s="4469" t="s">
        <v>5297</v>
      </c>
      <c r="H563" s="4470"/>
      <c r="I563" s="4470"/>
      <c r="J563" s="4470"/>
      <c r="K563" s="4471"/>
      <c r="L563" s="2854"/>
    </row>
    <row r="564" spans="1:12" ht="30" customHeight="1" x14ac:dyDescent="0.2">
      <c r="A564" s="4464"/>
      <c r="B564" s="4488"/>
      <c r="C564" s="4540"/>
      <c r="D564" s="3244">
        <v>55000000</v>
      </c>
      <c r="E564" s="3233">
        <v>7.0000000000000007E-2</v>
      </c>
      <c r="F564" s="3244">
        <f t="shared" si="59"/>
        <v>3850000.0000000005</v>
      </c>
      <c r="G564" s="4469" t="s">
        <v>5298</v>
      </c>
      <c r="H564" s="4470"/>
      <c r="I564" s="4470"/>
      <c r="J564" s="4470"/>
      <c r="K564" s="4471"/>
      <c r="L564" s="2854"/>
    </row>
    <row r="565" spans="1:12" ht="30" customHeight="1" x14ac:dyDescent="0.2">
      <c r="A565" s="4464"/>
      <c r="B565" s="4488"/>
      <c r="C565" s="4540"/>
      <c r="D565" s="4635">
        <f>D560+D561+D562+D563+D564</f>
        <v>877500000</v>
      </c>
      <c r="E565" s="4637"/>
      <c r="F565" s="3244">
        <f>F560+F561+F562+F563+F564</f>
        <v>56715000</v>
      </c>
      <c r="G565" s="4623" t="s">
        <v>3673</v>
      </c>
      <c r="H565" s="4624"/>
      <c r="I565" s="4624"/>
      <c r="J565" s="4624"/>
      <c r="K565" s="4625"/>
      <c r="L565" s="2854"/>
    </row>
    <row r="566" spans="1:12" ht="30" customHeight="1" x14ac:dyDescent="0.2">
      <c r="A566" s="4464"/>
      <c r="B566" s="4488"/>
      <c r="C566" s="4540"/>
      <c r="D566" s="1857">
        <v>150000000</v>
      </c>
      <c r="E566" s="2899">
        <v>7.0000000000000007E-2</v>
      </c>
      <c r="F566" s="1857">
        <f>D566*E566</f>
        <v>10500000.000000002</v>
      </c>
      <c r="G566" s="4469" t="s">
        <v>5301</v>
      </c>
      <c r="H566" s="4470"/>
      <c r="I566" s="4470"/>
      <c r="J566" s="4470"/>
      <c r="K566" s="4471"/>
      <c r="L566" s="2854"/>
    </row>
    <row r="567" spans="1:12" ht="30" customHeight="1" x14ac:dyDescent="0.2">
      <c r="A567" s="4464"/>
      <c r="B567" s="4488"/>
      <c r="C567" s="4540"/>
      <c r="D567" s="1857">
        <v>100000000</v>
      </c>
      <c r="E567" s="2899">
        <v>7.0000000000000007E-2</v>
      </c>
      <c r="F567" s="1857">
        <f>D567*E567</f>
        <v>7000000.0000000009</v>
      </c>
      <c r="G567" s="4469" t="s">
        <v>5300</v>
      </c>
      <c r="H567" s="4470"/>
      <c r="I567" s="4470"/>
      <c r="J567" s="4470"/>
      <c r="K567" s="4471"/>
      <c r="L567" s="2854"/>
    </row>
    <row r="568" spans="1:12" ht="30" customHeight="1" x14ac:dyDescent="0.2">
      <c r="A568" s="4464"/>
      <c r="B568" s="4488"/>
      <c r="C568" s="4540"/>
      <c r="D568" s="4822">
        <f>D565+D566+D567</f>
        <v>1127500000</v>
      </c>
      <c r="E568" s="4823"/>
      <c r="F568" s="1857">
        <f>F565+F566+F567</f>
        <v>74215000</v>
      </c>
      <c r="G568" s="4804" t="s">
        <v>3882</v>
      </c>
      <c r="H568" s="4805"/>
      <c r="I568" s="4805"/>
      <c r="J568" s="4805"/>
      <c r="K568" s="4806"/>
      <c r="L568" s="2854"/>
    </row>
    <row r="569" spans="1:12" ht="30" customHeight="1" x14ac:dyDescent="0.2">
      <c r="A569" s="4464"/>
      <c r="B569" s="4488"/>
      <c r="C569" s="4540"/>
      <c r="D569" s="3238">
        <v>70000000</v>
      </c>
      <c r="E569" s="3254">
        <v>7.0000000000000007E-2</v>
      </c>
      <c r="F569" s="3238">
        <f>D569*E569</f>
        <v>4900000.0000000009</v>
      </c>
      <c r="G569" s="2848">
        <v>4215000</v>
      </c>
      <c r="H569" s="2848" t="s">
        <v>1193</v>
      </c>
      <c r="I569" s="2848" t="s">
        <v>1720</v>
      </c>
      <c r="J569" s="2848">
        <f>G569</f>
        <v>4215000</v>
      </c>
      <c r="K569" s="2848">
        <v>0</v>
      </c>
      <c r="L569" s="2854" t="s">
        <v>4380</v>
      </c>
    </row>
    <row r="570" spans="1:12" ht="30" customHeight="1" x14ac:dyDescent="0.2">
      <c r="A570" s="4464"/>
      <c r="B570" s="4488"/>
      <c r="C570" s="4540"/>
      <c r="D570" s="4601">
        <f>D568+D569</f>
        <v>1197500000</v>
      </c>
      <c r="E570" s="4602"/>
      <c r="F570" s="3238">
        <f>F568+F569</f>
        <v>79115000</v>
      </c>
      <c r="G570" s="5045" t="s">
        <v>4368</v>
      </c>
      <c r="H570" s="5046"/>
      <c r="I570" s="5046"/>
      <c r="J570" s="5046"/>
      <c r="K570" s="5047"/>
      <c r="L570" s="2854"/>
    </row>
    <row r="571" spans="1:12" ht="30" customHeight="1" x14ac:dyDescent="0.2">
      <c r="A571" s="4464"/>
      <c r="B571" s="4488"/>
      <c r="C571" s="4540"/>
      <c r="D571" s="3248">
        <v>79115000</v>
      </c>
      <c r="E571" s="3255">
        <v>7.0000000000000007E-2</v>
      </c>
      <c r="F571" s="3248">
        <f>D571*E571</f>
        <v>5538050.0000000009</v>
      </c>
      <c r="G571" s="4469" t="s">
        <v>4976</v>
      </c>
      <c r="H571" s="4470"/>
      <c r="I571" s="4470"/>
      <c r="J571" s="4470"/>
      <c r="K571" s="4471"/>
      <c r="L571" s="2854"/>
    </row>
    <row r="572" spans="1:12" ht="30" customHeight="1" x14ac:dyDescent="0.2">
      <c r="A572" s="4464"/>
      <c r="B572" s="4488"/>
      <c r="C572" s="4540"/>
      <c r="D572" s="3248">
        <v>100000000</v>
      </c>
      <c r="E572" s="3255">
        <v>7.0000000000000007E-2</v>
      </c>
      <c r="F572" s="3248">
        <f>D572*E572</f>
        <v>7000000.0000000009</v>
      </c>
      <c r="G572" s="4469" t="s">
        <v>4975</v>
      </c>
      <c r="H572" s="4470"/>
      <c r="I572" s="4470"/>
      <c r="J572" s="4470"/>
      <c r="K572" s="4471"/>
      <c r="L572" s="3073"/>
    </row>
    <row r="573" spans="1:12" ht="30" customHeight="1" x14ac:dyDescent="0.2">
      <c r="A573" s="4464"/>
      <c r="B573" s="4488"/>
      <c r="C573" s="4540"/>
      <c r="D573" s="3248">
        <f>71051000-166000</f>
        <v>70885000</v>
      </c>
      <c r="E573" s="3255">
        <v>7.0000000000000007E-2</v>
      </c>
      <c r="F573" s="3248">
        <f>D573*E573</f>
        <v>4961950.0000000009</v>
      </c>
      <c r="G573" s="4919" t="s">
        <v>5167</v>
      </c>
      <c r="H573" s="4920"/>
      <c r="I573" s="4920"/>
      <c r="J573" s="4920"/>
      <c r="K573" s="4921"/>
      <c r="L573" s="3073"/>
    </row>
    <row r="574" spans="1:12" ht="30" customHeight="1" x14ac:dyDescent="0.2">
      <c r="A574" s="4464"/>
      <c r="B574" s="4488"/>
      <c r="C574" s="4540"/>
      <c r="D574" s="3248">
        <v>100000000</v>
      </c>
      <c r="E574" s="3249">
        <v>7.0000000000000007E-2</v>
      </c>
      <c r="F574" s="3248">
        <f>D574*E574</f>
        <v>7000000.0000000009</v>
      </c>
      <c r="G574" s="4469" t="s">
        <v>5020</v>
      </c>
      <c r="H574" s="4470"/>
      <c r="I574" s="4470"/>
      <c r="J574" s="4470"/>
      <c r="K574" s="4471"/>
      <c r="L574" s="3123"/>
    </row>
    <row r="575" spans="1:12" ht="30" customHeight="1" x14ac:dyDescent="0.2">
      <c r="A575" s="4464"/>
      <c r="B575" s="4488"/>
      <c r="C575" s="4540"/>
      <c r="D575" s="5068">
        <f>D570+D571+D572+D573+D574</f>
        <v>1547500000</v>
      </c>
      <c r="E575" s="5069"/>
      <c r="F575" s="3248">
        <f>F570+F571+F572+F573+F574</f>
        <v>103615000</v>
      </c>
      <c r="G575" s="5048" t="s">
        <v>4977</v>
      </c>
      <c r="H575" s="5049"/>
      <c r="I575" s="5049"/>
      <c r="J575" s="5049"/>
      <c r="K575" s="5050"/>
      <c r="L575" s="4652" t="s">
        <v>4978</v>
      </c>
    </row>
    <row r="576" spans="1:12" ht="30" customHeight="1" x14ac:dyDescent="0.2">
      <c r="A576" s="4460"/>
      <c r="B576" s="4458"/>
      <c r="C576" s="4538"/>
      <c r="D576" s="5070">
        <f>D575+70000000</f>
        <v>1617500000</v>
      </c>
      <c r="E576" s="5071"/>
      <c r="F576" s="3227"/>
      <c r="G576" s="233"/>
      <c r="H576" s="233"/>
      <c r="I576" s="233"/>
      <c r="J576" s="233"/>
      <c r="K576" s="233"/>
      <c r="L576" s="4653"/>
    </row>
    <row r="577" spans="1:17" ht="30" customHeight="1" x14ac:dyDescent="0.2">
      <c r="A577" s="2888">
        <v>339</v>
      </c>
      <c r="B577" s="2870" t="s">
        <v>170</v>
      </c>
      <c r="C577" s="2847" t="s">
        <v>1306</v>
      </c>
      <c r="D577" s="2848">
        <v>200000000</v>
      </c>
      <c r="E577" s="2871">
        <v>7.0000000000000007E-2</v>
      </c>
      <c r="F577" s="2848">
        <f t="shared" si="58"/>
        <v>14000000.000000002</v>
      </c>
      <c r="G577" s="233"/>
      <c r="H577" s="233"/>
      <c r="I577" s="1389"/>
      <c r="J577" s="233"/>
      <c r="K577" s="387"/>
      <c r="L577" s="2879"/>
      <c r="M577" s="386"/>
      <c r="N577" s="386"/>
      <c r="O577" s="386"/>
      <c r="P577" s="386"/>
      <c r="Q577" s="386"/>
    </row>
    <row r="578" spans="1:17" ht="30" customHeight="1" x14ac:dyDescent="0.2">
      <c r="A578" s="1029"/>
      <c r="B578" s="19" t="s">
        <v>67</v>
      </c>
      <c r="C578" s="378" t="s">
        <v>1138</v>
      </c>
      <c r="D578" s="2935">
        <v>111000000</v>
      </c>
      <c r="E578" s="2945">
        <v>0.05</v>
      </c>
      <c r="F578" s="2935">
        <f>D578*E578</f>
        <v>5550000</v>
      </c>
      <c r="G578" s="3409">
        <v>5527000</v>
      </c>
      <c r="H578" s="3409" t="s">
        <v>5229</v>
      </c>
      <c r="I578" s="3409" t="s">
        <v>5291</v>
      </c>
      <c r="J578" s="3409">
        <f>G578</f>
        <v>5527000</v>
      </c>
      <c r="K578" s="2859"/>
      <c r="L578" s="4469" t="s">
        <v>3316</v>
      </c>
      <c r="M578" s="4470"/>
      <c r="N578" s="4470"/>
      <c r="O578" s="4471"/>
      <c r="P578" s="386"/>
      <c r="Q578" s="386"/>
    </row>
    <row r="579" spans="1:17" ht="30" customHeight="1" x14ac:dyDescent="0.2">
      <c r="A579" s="4459">
        <v>341</v>
      </c>
      <c r="B579" s="4457" t="s">
        <v>1357</v>
      </c>
      <c r="C579" s="4537"/>
      <c r="D579" s="4413">
        <v>150000000</v>
      </c>
      <c r="E579" s="4476">
        <f>F579/D579</f>
        <v>4.6666666666666669E-2</v>
      </c>
      <c r="F579" s="4413">
        <v>7000000</v>
      </c>
      <c r="G579" s="2821">
        <v>700000</v>
      </c>
      <c r="H579" s="2821" t="s">
        <v>4841</v>
      </c>
      <c r="I579" s="2841" t="s">
        <v>4844</v>
      </c>
      <c r="J579" s="4413">
        <f>G579+G580</f>
        <v>7000000</v>
      </c>
      <c r="K579" s="4603">
        <f>F579-J579</f>
        <v>0</v>
      </c>
      <c r="L579" s="2879"/>
      <c r="M579" s="386"/>
      <c r="N579" s="386"/>
      <c r="O579" s="386"/>
      <c r="P579" s="386"/>
      <c r="Q579" s="386"/>
    </row>
    <row r="580" spans="1:17" ht="30" customHeight="1" x14ac:dyDescent="0.2">
      <c r="A580" s="4460"/>
      <c r="B580" s="4458"/>
      <c r="C580" s="4538"/>
      <c r="D580" s="4415"/>
      <c r="E580" s="4477"/>
      <c r="F580" s="4415"/>
      <c r="G580" s="2959">
        <v>6300000</v>
      </c>
      <c r="H580" s="2959" t="s">
        <v>4848</v>
      </c>
      <c r="I580" s="2963" t="s">
        <v>4844</v>
      </c>
      <c r="J580" s="4415"/>
      <c r="K580" s="4604"/>
      <c r="L580" s="2965"/>
      <c r="M580" s="386"/>
      <c r="N580" s="386"/>
      <c r="O580" s="386"/>
      <c r="P580" s="386"/>
      <c r="Q580" s="386"/>
    </row>
    <row r="581" spans="1:17" ht="30" customHeight="1" x14ac:dyDescent="0.2">
      <c r="A581" s="2825">
        <v>342</v>
      </c>
      <c r="B581" s="2869" t="s">
        <v>71</v>
      </c>
      <c r="C581" s="345" t="s">
        <v>2363</v>
      </c>
      <c r="D581" s="2821">
        <v>70000000</v>
      </c>
      <c r="E581" s="2871">
        <v>0.05</v>
      </c>
      <c r="F581" s="2821">
        <f>D581*E581</f>
        <v>3500000</v>
      </c>
      <c r="G581" s="2821">
        <v>5000000</v>
      </c>
      <c r="H581" s="2821" t="s">
        <v>4877</v>
      </c>
      <c r="I581" s="2841" t="s">
        <v>4110</v>
      </c>
      <c r="J581" s="2821">
        <f t="shared" ref="J581:J587" si="60">G581</f>
        <v>5000000</v>
      </c>
      <c r="K581" s="2859">
        <f>F581-J581</f>
        <v>-1500000</v>
      </c>
      <c r="L581" s="2879" t="s">
        <v>5258</v>
      </c>
      <c r="M581" s="386"/>
      <c r="N581" s="386"/>
      <c r="O581" s="386"/>
      <c r="P581" s="386"/>
      <c r="Q581" s="386"/>
    </row>
    <row r="582" spans="1:17" ht="30" customHeight="1" x14ac:dyDescent="0.2">
      <c r="A582" s="1029">
        <v>343</v>
      </c>
      <c r="B582" s="19" t="s">
        <v>1365</v>
      </c>
      <c r="C582" s="2873" t="s">
        <v>1796</v>
      </c>
      <c r="D582" s="2848">
        <v>8000000</v>
      </c>
      <c r="E582" s="2871">
        <v>0.04</v>
      </c>
      <c r="F582" s="2848">
        <f>D582*E582</f>
        <v>320000</v>
      </c>
      <c r="G582" s="2848">
        <v>320000</v>
      </c>
      <c r="H582" s="2848" t="s">
        <v>5229</v>
      </c>
      <c r="I582" s="2848" t="s">
        <v>1366</v>
      </c>
      <c r="J582" s="2848">
        <f t="shared" si="60"/>
        <v>320000</v>
      </c>
      <c r="K582" s="2816">
        <f>F582-J582</f>
        <v>0</v>
      </c>
      <c r="L582" s="2858"/>
      <c r="M582" s="386"/>
      <c r="N582" s="386"/>
      <c r="O582" s="386"/>
      <c r="P582" s="386"/>
      <c r="Q582" s="386"/>
    </row>
    <row r="583" spans="1:17" ht="30" customHeight="1" x14ac:dyDescent="0.2">
      <c r="A583" s="2826">
        <v>344</v>
      </c>
      <c r="B583" s="2829" t="s">
        <v>1373</v>
      </c>
      <c r="C583" s="2847"/>
      <c r="D583" s="2838"/>
      <c r="E583" s="2839"/>
      <c r="F583" s="2838"/>
      <c r="G583" s="2821">
        <v>6500000</v>
      </c>
      <c r="H583" s="2821" t="s">
        <v>4893</v>
      </c>
      <c r="I583" s="2841" t="s">
        <v>4371</v>
      </c>
      <c r="J583" s="2821">
        <f t="shared" si="60"/>
        <v>6500000</v>
      </c>
      <c r="K583" s="2865">
        <f>F583-J583</f>
        <v>-6500000</v>
      </c>
      <c r="L583" s="2879"/>
      <c r="M583" s="386"/>
      <c r="N583" s="386"/>
      <c r="O583" s="386"/>
      <c r="P583" s="386"/>
      <c r="Q583" s="386"/>
    </row>
    <row r="584" spans="1:17" ht="30" customHeight="1" x14ac:dyDescent="0.2">
      <c r="A584" s="2826">
        <v>345</v>
      </c>
      <c r="B584" s="2829" t="s">
        <v>2080</v>
      </c>
      <c r="C584" s="2847" t="s">
        <v>1299</v>
      </c>
      <c r="D584" s="2821">
        <v>60000000</v>
      </c>
      <c r="E584" s="2871">
        <v>7.0000000000000007E-2</v>
      </c>
      <c r="F584" s="2821">
        <f>D584*E584</f>
        <v>4200000</v>
      </c>
      <c r="G584" s="2821">
        <v>4200000</v>
      </c>
      <c r="H584" s="2821" t="s">
        <v>5205</v>
      </c>
      <c r="I584" s="2841" t="s">
        <v>4128</v>
      </c>
      <c r="J584" s="2821">
        <f t="shared" si="60"/>
        <v>4200000</v>
      </c>
      <c r="K584" s="2859">
        <f>G584-J584</f>
        <v>0</v>
      </c>
      <c r="L584" s="2879"/>
      <c r="M584" s="386"/>
      <c r="N584" s="386"/>
      <c r="O584" s="386"/>
      <c r="P584" s="386"/>
      <c r="Q584" s="386"/>
    </row>
    <row r="585" spans="1:17" ht="30" customHeight="1" x14ac:dyDescent="0.2">
      <c r="A585" s="2826">
        <v>346</v>
      </c>
      <c r="B585" s="2829" t="s">
        <v>1380</v>
      </c>
      <c r="C585" s="2847" t="s">
        <v>1172</v>
      </c>
      <c r="D585" s="2821">
        <v>5000000</v>
      </c>
      <c r="E585" s="2871">
        <v>0.05</v>
      </c>
      <c r="F585" s="2821">
        <f>D585*E585</f>
        <v>250000</v>
      </c>
      <c r="G585" s="2821">
        <v>250000</v>
      </c>
      <c r="H585" s="2821" t="s">
        <v>5085</v>
      </c>
      <c r="I585" s="2841" t="s">
        <v>1381</v>
      </c>
      <c r="J585" s="2821">
        <f t="shared" si="60"/>
        <v>250000</v>
      </c>
      <c r="K585" s="2859">
        <f t="shared" ref="K585:K592" si="61">F585-J585</f>
        <v>0</v>
      </c>
      <c r="L585" s="2879"/>
      <c r="M585" s="386"/>
      <c r="N585" s="386"/>
      <c r="O585" s="386"/>
      <c r="P585" s="386"/>
      <c r="Q585" s="386"/>
    </row>
    <row r="586" spans="1:17" ht="30" customHeight="1" x14ac:dyDescent="0.2">
      <c r="A586" s="2826">
        <v>347</v>
      </c>
      <c r="B586" s="2829" t="s">
        <v>178</v>
      </c>
      <c r="C586" s="2847" t="s">
        <v>1796</v>
      </c>
      <c r="D586" s="2821">
        <v>130000000</v>
      </c>
      <c r="E586" s="2871">
        <v>0.05</v>
      </c>
      <c r="F586" s="2821">
        <f>D586*E586</f>
        <v>6500000</v>
      </c>
      <c r="G586" s="2821"/>
      <c r="H586" s="2821"/>
      <c r="I586" s="2841" t="s">
        <v>3952</v>
      </c>
      <c r="J586" s="2821">
        <f t="shared" si="60"/>
        <v>0</v>
      </c>
      <c r="K586" s="2859">
        <f t="shared" si="61"/>
        <v>6500000</v>
      </c>
      <c r="L586" s="2879"/>
      <c r="M586" s="386"/>
      <c r="N586" s="386"/>
      <c r="O586" s="386"/>
      <c r="P586" s="386"/>
      <c r="Q586" s="386"/>
    </row>
    <row r="587" spans="1:17" ht="30" customHeight="1" x14ac:dyDescent="0.2">
      <c r="A587" s="2876">
        <v>348</v>
      </c>
      <c r="B587" s="19" t="s">
        <v>1408</v>
      </c>
      <c r="C587" s="2873" t="s">
        <v>1306</v>
      </c>
      <c r="D587" s="2848">
        <v>50000000</v>
      </c>
      <c r="E587" s="2871">
        <v>0.04</v>
      </c>
      <c r="F587" s="2848">
        <f>D587*E587</f>
        <v>2000000</v>
      </c>
      <c r="G587" s="2848">
        <v>2000000</v>
      </c>
      <c r="H587" s="2848" t="s">
        <v>1491</v>
      </c>
      <c r="I587" s="2841" t="s">
        <v>1409</v>
      </c>
      <c r="J587" s="2821">
        <f t="shared" si="60"/>
        <v>2000000</v>
      </c>
      <c r="K587" s="2859">
        <f t="shared" si="61"/>
        <v>0</v>
      </c>
      <c r="L587" s="2879"/>
      <c r="M587" s="386"/>
      <c r="N587" s="386"/>
      <c r="O587" s="386"/>
      <c r="P587" s="386"/>
      <c r="Q587" s="386"/>
    </row>
    <row r="588" spans="1:17" ht="30" customHeight="1" x14ac:dyDescent="0.2">
      <c r="A588" s="2826">
        <v>350</v>
      </c>
      <c r="B588" s="2829" t="s">
        <v>1554</v>
      </c>
      <c r="C588" s="2847"/>
      <c r="D588" s="2821">
        <v>110000000</v>
      </c>
      <c r="E588" s="4783" t="s">
        <v>1556</v>
      </c>
      <c r="F588" s="4784"/>
      <c r="G588" s="2821"/>
      <c r="H588" s="2821"/>
      <c r="I588" s="2841" t="s">
        <v>3469</v>
      </c>
      <c r="J588" s="2821">
        <f t="shared" ref="J588:J597" si="62">G588</f>
        <v>0</v>
      </c>
      <c r="K588" s="2865">
        <f t="shared" si="61"/>
        <v>0</v>
      </c>
      <c r="L588" s="2879"/>
      <c r="M588" s="386"/>
      <c r="N588" s="386"/>
      <c r="O588" s="386"/>
      <c r="P588" s="386"/>
      <c r="Q588" s="386"/>
    </row>
    <row r="589" spans="1:17" ht="30" customHeight="1" x14ac:dyDescent="0.2">
      <c r="A589" s="2876"/>
      <c r="B589" s="19" t="s">
        <v>1558</v>
      </c>
      <c r="C589" s="2873" t="s">
        <v>1172</v>
      </c>
      <c r="D589" s="2848">
        <v>680000000</v>
      </c>
      <c r="E589" s="2871">
        <v>7.0000000000000007E-2</v>
      </c>
      <c r="F589" s="2848">
        <f t="shared" ref="F589:F598" si="63">D589*E589</f>
        <v>47600000.000000007</v>
      </c>
      <c r="G589" s="2848">
        <v>47600000</v>
      </c>
      <c r="H589" s="2848" t="s">
        <v>4922</v>
      </c>
      <c r="I589" s="2848" t="s">
        <v>2460</v>
      </c>
      <c r="J589" s="2848">
        <f t="shared" si="62"/>
        <v>47600000</v>
      </c>
      <c r="K589" s="2859">
        <f t="shared" si="61"/>
        <v>0</v>
      </c>
      <c r="L589" s="2856"/>
      <c r="M589" s="386"/>
      <c r="N589" s="386"/>
      <c r="O589" s="386"/>
      <c r="P589" s="386"/>
      <c r="Q589" s="386"/>
    </row>
    <row r="590" spans="1:17" ht="30" customHeight="1" x14ac:dyDescent="0.2">
      <c r="A590" s="2826">
        <v>352</v>
      </c>
      <c r="B590" s="2829" t="s">
        <v>1561</v>
      </c>
      <c r="C590" s="2847" t="s">
        <v>1081</v>
      </c>
      <c r="D590" s="2821">
        <v>50000000</v>
      </c>
      <c r="E590" s="2823">
        <v>7.0000000000000007E-2</v>
      </c>
      <c r="F590" s="2821">
        <f t="shared" si="63"/>
        <v>3500000.0000000005</v>
      </c>
      <c r="G590" s="2821">
        <v>3500000</v>
      </c>
      <c r="H590" s="2821" t="s">
        <v>4841</v>
      </c>
      <c r="I590" s="21" t="s">
        <v>3517</v>
      </c>
      <c r="J590" s="2821">
        <f t="shared" si="62"/>
        <v>3500000</v>
      </c>
      <c r="K590" s="2859">
        <f t="shared" si="61"/>
        <v>0</v>
      </c>
      <c r="L590" s="2879"/>
      <c r="M590" s="386"/>
      <c r="N590" s="386"/>
      <c r="O590" s="386"/>
      <c r="P590" s="386"/>
      <c r="Q590" s="386"/>
    </row>
    <row r="591" spans="1:17" ht="30" customHeight="1" x14ac:dyDescent="0.2">
      <c r="A591" s="4614">
        <v>353</v>
      </c>
      <c r="B591" s="4615" t="s">
        <v>1565</v>
      </c>
      <c r="C591" s="2873" t="s">
        <v>1172</v>
      </c>
      <c r="D591" s="2821">
        <v>50000000</v>
      </c>
      <c r="E591" s="2871">
        <v>0.05</v>
      </c>
      <c r="F591" s="2821">
        <f t="shared" si="63"/>
        <v>2500000</v>
      </c>
      <c r="G591" s="2821">
        <v>2500000</v>
      </c>
      <c r="H591" s="2821" t="s">
        <v>4893</v>
      </c>
      <c r="I591" s="2841" t="s">
        <v>3718</v>
      </c>
      <c r="J591" s="2821">
        <f t="shared" si="62"/>
        <v>2500000</v>
      </c>
      <c r="K591" s="2859">
        <f t="shared" si="61"/>
        <v>0</v>
      </c>
      <c r="L591" s="2879"/>
      <c r="M591" s="386"/>
      <c r="N591" s="386"/>
      <c r="O591" s="386"/>
      <c r="P591" s="386"/>
      <c r="Q591" s="386"/>
    </row>
    <row r="592" spans="1:17" ht="30" customHeight="1" x14ac:dyDescent="0.2">
      <c r="A592" s="4614"/>
      <c r="B592" s="4615"/>
      <c r="C592" s="2873" t="s">
        <v>1299</v>
      </c>
      <c r="D592" s="2821">
        <v>20000000</v>
      </c>
      <c r="E592" s="2871">
        <v>0.05</v>
      </c>
      <c r="F592" s="2821">
        <f t="shared" si="63"/>
        <v>1000000</v>
      </c>
      <c r="G592" s="1456">
        <v>1000000</v>
      </c>
      <c r="H592" s="1456" t="s">
        <v>5156</v>
      </c>
      <c r="I592" s="1456" t="s">
        <v>3718</v>
      </c>
      <c r="J592" s="1456">
        <f t="shared" si="62"/>
        <v>1000000</v>
      </c>
      <c r="K592" s="2859">
        <f t="shared" si="61"/>
        <v>0</v>
      </c>
      <c r="L592" s="2879"/>
      <c r="M592" s="386"/>
      <c r="N592" s="386"/>
      <c r="O592" s="386"/>
      <c r="P592" s="386"/>
      <c r="Q592" s="386"/>
    </row>
    <row r="593" spans="1:17" ht="30" customHeight="1" x14ac:dyDescent="0.2">
      <c r="A593" s="4459">
        <v>355</v>
      </c>
      <c r="B593" s="4457" t="s">
        <v>1582</v>
      </c>
      <c r="C593" s="4537" t="s">
        <v>2644</v>
      </c>
      <c r="D593" s="2821">
        <v>115000000</v>
      </c>
      <c r="E593" s="2871">
        <v>0.05</v>
      </c>
      <c r="F593" s="2821">
        <f t="shared" si="63"/>
        <v>5750000</v>
      </c>
      <c r="G593" s="2821">
        <v>5750000</v>
      </c>
      <c r="H593" s="2821" t="s">
        <v>4877</v>
      </c>
      <c r="I593" s="473" t="s">
        <v>3411</v>
      </c>
      <c r="J593" s="2821">
        <f t="shared" si="62"/>
        <v>5750000</v>
      </c>
      <c r="K593" s="2859">
        <f>F593-J593</f>
        <v>0</v>
      </c>
      <c r="L593" s="2879"/>
      <c r="M593" s="386"/>
      <c r="N593" s="386"/>
      <c r="O593" s="386"/>
      <c r="P593" s="386"/>
      <c r="Q593" s="386"/>
    </row>
    <row r="594" spans="1:17" ht="30" customHeight="1" x14ac:dyDescent="0.2">
      <c r="A594" s="4464"/>
      <c r="B594" s="4488"/>
      <c r="C594" s="4540"/>
      <c r="D594" s="3368">
        <v>100000000</v>
      </c>
      <c r="E594" s="3377">
        <v>0.05</v>
      </c>
      <c r="F594" s="3368">
        <f t="shared" si="63"/>
        <v>5000000</v>
      </c>
      <c r="G594" s="3374"/>
      <c r="H594" s="3374"/>
      <c r="I594" s="2696"/>
      <c r="J594" s="3374"/>
      <c r="K594" s="3367"/>
      <c r="L594" s="3375" t="s">
        <v>5239</v>
      </c>
      <c r="M594" s="386"/>
      <c r="N594" s="386"/>
      <c r="O594" s="386"/>
      <c r="P594" s="386"/>
      <c r="Q594" s="386"/>
    </row>
    <row r="595" spans="1:17" ht="30" customHeight="1" x14ac:dyDescent="0.2">
      <c r="A595" s="4464"/>
      <c r="B595" s="4488"/>
      <c r="C595" s="4540"/>
      <c r="D595" s="3368">
        <v>50000000</v>
      </c>
      <c r="E595" s="3377">
        <v>0.05</v>
      </c>
      <c r="F595" s="3368">
        <f t="shared" si="63"/>
        <v>2500000</v>
      </c>
      <c r="G595" s="3374"/>
      <c r="H595" s="3374"/>
      <c r="I595" s="2696"/>
      <c r="J595" s="3374"/>
      <c r="K595" s="3367"/>
      <c r="L595" s="3375" t="s">
        <v>5240</v>
      </c>
      <c r="M595" s="386"/>
      <c r="N595" s="386"/>
      <c r="O595" s="386"/>
      <c r="P595" s="386"/>
      <c r="Q595" s="386"/>
    </row>
    <row r="596" spans="1:17" ht="30" customHeight="1" x14ac:dyDescent="0.2">
      <c r="A596" s="4460"/>
      <c r="B596" s="4458"/>
      <c r="C596" s="4538"/>
      <c r="D596" s="3381">
        <f>SUM(D593:D595)</f>
        <v>265000000</v>
      </c>
      <c r="E596" s="897">
        <v>0.05</v>
      </c>
      <c r="F596" s="3381">
        <f>D596*E596</f>
        <v>13250000</v>
      </c>
      <c r="G596" s="3374"/>
      <c r="H596" s="3374"/>
      <c r="I596" s="2696"/>
      <c r="J596" s="3374"/>
      <c r="K596" s="3367"/>
      <c r="L596" s="3375"/>
      <c r="M596" s="386"/>
      <c r="N596" s="386"/>
      <c r="O596" s="386"/>
      <c r="P596" s="386"/>
      <c r="Q596" s="386"/>
    </row>
    <row r="597" spans="1:17" ht="30" customHeight="1" x14ac:dyDescent="0.2">
      <c r="A597" s="4459">
        <v>356</v>
      </c>
      <c r="B597" s="4457" t="s">
        <v>1590</v>
      </c>
      <c r="C597" s="4537"/>
      <c r="D597" s="2821">
        <v>60000000</v>
      </c>
      <c r="E597" s="2871">
        <v>0.04</v>
      </c>
      <c r="F597" s="2821">
        <f t="shared" si="63"/>
        <v>2400000</v>
      </c>
      <c r="G597" s="4413">
        <v>2800000</v>
      </c>
      <c r="H597" s="4413" t="s">
        <v>4877</v>
      </c>
      <c r="I597" s="4789" t="s">
        <v>3924</v>
      </c>
      <c r="J597" s="4413">
        <f t="shared" si="62"/>
        <v>2800000</v>
      </c>
      <c r="K597" s="4603">
        <f>(F597+F598)-J597</f>
        <v>0</v>
      </c>
      <c r="L597" s="4603"/>
      <c r="M597" s="386"/>
      <c r="N597" s="386"/>
      <c r="O597" s="386"/>
      <c r="P597" s="386"/>
      <c r="Q597" s="386"/>
    </row>
    <row r="598" spans="1:17" ht="30" customHeight="1" x14ac:dyDescent="0.2">
      <c r="A598" s="4460"/>
      <c r="B598" s="4458"/>
      <c r="C598" s="4538"/>
      <c r="D598" s="2821">
        <v>10000000</v>
      </c>
      <c r="E598" s="2871">
        <v>0.04</v>
      </c>
      <c r="F598" s="2821">
        <f t="shared" si="63"/>
        <v>400000</v>
      </c>
      <c r="G598" s="4415"/>
      <c r="H598" s="4415"/>
      <c r="I598" s="4790"/>
      <c r="J598" s="4415"/>
      <c r="K598" s="4604"/>
      <c r="L598" s="4604"/>
      <c r="M598" s="386"/>
      <c r="N598" s="386"/>
      <c r="O598" s="386"/>
      <c r="P598" s="386"/>
      <c r="Q598" s="386"/>
    </row>
    <row r="599" spans="1:17" ht="30" customHeight="1" x14ac:dyDescent="0.2">
      <c r="A599" s="2826">
        <v>357</v>
      </c>
      <c r="B599" s="2829" t="s">
        <v>1592</v>
      </c>
      <c r="C599" s="2847"/>
      <c r="D599" s="2821">
        <v>70000000</v>
      </c>
      <c r="E599" s="2521"/>
      <c r="F599" s="2838"/>
      <c r="G599" s="2821"/>
      <c r="H599" s="2821"/>
      <c r="I599" s="473"/>
      <c r="J599" s="2821"/>
      <c r="K599" s="2865"/>
      <c r="L599" s="2879"/>
      <c r="M599" s="386"/>
      <c r="N599" s="386"/>
      <c r="O599" s="386"/>
      <c r="P599" s="386"/>
      <c r="Q599" s="386"/>
    </row>
    <row r="600" spans="1:17" ht="30" customHeight="1" x14ac:dyDescent="0.2">
      <c r="A600" s="1029">
        <v>358</v>
      </c>
      <c r="B600" s="2874" t="s">
        <v>1597</v>
      </c>
      <c r="C600" s="2873"/>
      <c r="D600" s="2819"/>
      <c r="E600" s="2521"/>
      <c r="F600" s="2819"/>
      <c r="G600" s="2848"/>
      <c r="H600" s="2848"/>
      <c r="I600" s="2696" t="s">
        <v>1598</v>
      </c>
      <c r="J600" s="2848">
        <f>G600</f>
        <v>0</v>
      </c>
      <c r="K600" s="1031">
        <f>F600-J600</f>
        <v>0</v>
      </c>
      <c r="L600" s="2879" t="s">
        <v>4132</v>
      </c>
      <c r="M600" s="386"/>
      <c r="N600" s="386"/>
      <c r="O600" s="386"/>
      <c r="P600" s="386"/>
      <c r="Q600" s="386"/>
    </row>
    <row r="601" spans="1:17" ht="30" customHeight="1" x14ac:dyDescent="0.2">
      <c r="A601" s="4459">
        <v>359</v>
      </c>
      <c r="B601" s="4457" t="s">
        <v>1599</v>
      </c>
      <c r="C601" s="4537"/>
      <c r="D601" s="4506"/>
      <c r="E601" s="4512"/>
      <c r="F601" s="4506"/>
      <c r="G601" s="2821"/>
      <c r="H601" s="2821"/>
      <c r="I601" s="473"/>
      <c r="J601" s="4413">
        <f>G601+G602</f>
        <v>0</v>
      </c>
      <c r="K601" s="4605">
        <f>F601-J601</f>
        <v>0</v>
      </c>
      <c r="L601" s="4603"/>
      <c r="M601" s="386"/>
      <c r="N601" s="386"/>
      <c r="O601" s="386"/>
      <c r="P601" s="386"/>
      <c r="Q601" s="386"/>
    </row>
    <row r="602" spans="1:17" ht="30" customHeight="1" x14ac:dyDescent="0.2">
      <c r="A602" s="4460"/>
      <c r="B602" s="4458"/>
      <c r="C602" s="4538"/>
      <c r="D602" s="4508"/>
      <c r="E602" s="4514"/>
      <c r="F602" s="4508"/>
      <c r="G602" s="2821"/>
      <c r="H602" s="2821"/>
      <c r="I602" s="473"/>
      <c r="J602" s="4415"/>
      <c r="K602" s="4606"/>
      <c r="L602" s="4604"/>
      <c r="M602" s="386"/>
      <c r="N602" s="386"/>
      <c r="O602" s="386"/>
      <c r="P602" s="386"/>
      <c r="Q602" s="386"/>
    </row>
    <row r="603" spans="1:17" ht="30" customHeight="1" x14ac:dyDescent="0.2">
      <c r="A603" s="4614">
        <v>360</v>
      </c>
      <c r="B603" s="4615" t="s">
        <v>1614</v>
      </c>
      <c r="C603" s="4620" t="s">
        <v>889</v>
      </c>
      <c r="D603" s="2848">
        <v>290000000</v>
      </c>
      <c r="E603" s="2871">
        <v>0.05</v>
      </c>
      <c r="F603" s="2848">
        <f>D603*E603</f>
        <v>14500000</v>
      </c>
      <c r="G603" s="2298"/>
      <c r="H603" s="2298"/>
      <c r="I603" s="2298"/>
      <c r="J603" s="4322">
        <f>G603+G604</f>
        <v>0</v>
      </c>
      <c r="K603" s="4332">
        <f>(F603+F604)-J603</f>
        <v>27100000</v>
      </c>
      <c r="L603" s="4788"/>
      <c r="M603" s="386"/>
      <c r="N603" s="386"/>
      <c r="O603" s="386"/>
      <c r="P603" s="386"/>
      <c r="Q603" s="386"/>
    </row>
    <row r="604" spans="1:17" ht="30" customHeight="1" x14ac:dyDescent="0.2">
      <c r="A604" s="4614"/>
      <c r="B604" s="4615"/>
      <c r="C604" s="4620"/>
      <c r="D604" s="2848">
        <v>210000000</v>
      </c>
      <c r="E604" s="2871">
        <v>0.06</v>
      </c>
      <c r="F604" s="2848">
        <f>D604*E604</f>
        <v>12600000</v>
      </c>
      <c r="G604" s="2298"/>
      <c r="H604" s="2298"/>
      <c r="I604" s="2298"/>
      <c r="J604" s="4322"/>
      <c r="K604" s="4332"/>
      <c r="L604" s="4788"/>
      <c r="M604" s="386"/>
      <c r="N604" s="386"/>
      <c r="O604" s="386"/>
      <c r="P604" s="386"/>
      <c r="Q604" s="386"/>
    </row>
    <row r="605" spans="1:17" ht="30" customHeight="1" x14ac:dyDescent="0.2">
      <c r="A605" s="4614"/>
      <c r="B605" s="4615"/>
      <c r="C605" s="4620"/>
      <c r="D605" s="1856">
        <v>150000000</v>
      </c>
      <c r="E605" s="897"/>
      <c r="F605" s="1856">
        <v>36100000</v>
      </c>
      <c r="G605" s="2982">
        <v>36100000</v>
      </c>
      <c r="H605" s="2982" t="s">
        <v>4922</v>
      </c>
      <c r="I605" s="473" t="s">
        <v>1611</v>
      </c>
      <c r="J605" s="2982">
        <f>G605</f>
        <v>36100000</v>
      </c>
      <c r="K605" s="2816">
        <f>F605-J605</f>
        <v>0</v>
      </c>
      <c r="L605" s="2879"/>
      <c r="M605" s="386"/>
      <c r="N605" s="386"/>
      <c r="O605" s="386"/>
      <c r="P605" s="386"/>
      <c r="Q605" s="386"/>
    </row>
    <row r="606" spans="1:17" ht="30" customHeight="1" x14ac:dyDescent="0.2">
      <c r="A606" s="4459">
        <v>361</v>
      </c>
      <c r="B606" s="4457" t="s">
        <v>1612</v>
      </c>
      <c r="C606" s="4537"/>
      <c r="D606" s="4322">
        <v>2985000000</v>
      </c>
      <c r="E606" s="4608"/>
      <c r="F606" s="4322">
        <v>95200000</v>
      </c>
      <c r="G606" s="2821">
        <v>18000000</v>
      </c>
      <c r="H606" s="4303" t="s">
        <v>5158</v>
      </c>
      <c r="I606" s="4355"/>
      <c r="J606" s="4413">
        <f>G606</f>
        <v>18000000</v>
      </c>
      <c r="K606" s="4603">
        <f>95200000-G606</f>
        <v>77200000</v>
      </c>
      <c r="L606" s="2953" t="s">
        <v>4627</v>
      </c>
      <c r="M606" s="386"/>
      <c r="N606" s="386"/>
      <c r="O606" s="386"/>
      <c r="P606" s="386"/>
      <c r="Q606" s="386"/>
    </row>
    <row r="607" spans="1:17" ht="30" customHeight="1" x14ac:dyDescent="0.2">
      <c r="A607" s="4464"/>
      <c r="B607" s="4488"/>
      <c r="C607" s="4540"/>
      <c r="D607" s="4322"/>
      <c r="E607" s="4608"/>
      <c r="F607" s="4322"/>
      <c r="G607" s="4322" t="s">
        <v>5159</v>
      </c>
      <c r="H607" s="4322"/>
      <c r="I607" s="4322"/>
      <c r="J607" s="4414"/>
      <c r="K607" s="4609"/>
      <c r="L607" s="2953" t="s">
        <v>4628</v>
      </c>
      <c r="M607" s="386"/>
      <c r="N607" s="386"/>
      <c r="O607" s="386"/>
      <c r="P607" s="386"/>
      <c r="Q607" s="386"/>
    </row>
    <row r="608" spans="1:17" ht="30" customHeight="1" x14ac:dyDescent="0.2">
      <c r="A608" s="4464"/>
      <c r="B608" s="4488"/>
      <c r="C608" s="4540"/>
      <c r="D608" s="4322"/>
      <c r="E608" s="4608"/>
      <c r="F608" s="4322"/>
      <c r="G608" s="4322"/>
      <c r="H608" s="4322"/>
      <c r="I608" s="4322"/>
      <c r="J608" s="4414"/>
      <c r="K608" s="4609"/>
      <c r="L608" s="2880"/>
      <c r="M608" s="386"/>
      <c r="N608" s="386"/>
      <c r="O608" s="386"/>
      <c r="P608" s="386"/>
      <c r="Q608" s="386"/>
    </row>
    <row r="609" spans="1:17" ht="30" customHeight="1" x14ac:dyDescent="0.2">
      <c r="A609" s="4464"/>
      <c r="B609" s="4488"/>
      <c r="C609" s="4540"/>
      <c r="D609" s="4322"/>
      <c r="E609" s="4608"/>
      <c r="F609" s="4322"/>
      <c r="G609" s="4322"/>
      <c r="H609" s="4322"/>
      <c r="I609" s="4322"/>
      <c r="J609" s="4414"/>
      <c r="K609" s="4609"/>
      <c r="L609" s="2880"/>
      <c r="M609" s="386"/>
      <c r="N609" s="386"/>
      <c r="O609" s="386"/>
      <c r="P609" s="386"/>
      <c r="Q609" s="386"/>
    </row>
    <row r="610" spans="1:17" ht="30" customHeight="1" x14ac:dyDescent="0.2">
      <c r="A610" s="4464"/>
      <c r="B610" s="4488"/>
      <c r="C610" s="4540"/>
      <c r="D610" s="4322"/>
      <c r="E610" s="4608"/>
      <c r="F610" s="4322"/>
      <c r="G610" s="4322"/>
      <c r="H610" s="4322"/>
      <c r="I610" s="4322"/>
      <c r="J610" s="4414"/>
      <c r="K610" s="4609"/>
      <c r="L610" s="849"/>
      <c r="M610" s="386"/>
      <c r="N610" s="386"/>
      <c r="O610" s="386"/>
      <c r="P610" s="386"/>
      <c r="Q610" s="386"/>
    </row>
    <row r="611" spans="1:17" ht="30" customHeight="1" x14ac:dyDescent="0.2">
      <c r="A611" s="4464"/>
      <c r="B611" s="4488"/>
      <c r="C611" s="4540"/>
      <c r="D611" s="4322"/>
      <c r="E611" s="4608"/>
      <c r="F611" s="4322"/>
      <c r="G611" s="4322"/>
      <c r="H611" s="4322"/>
      <c r="I611" s="4322"/>
      <c r="J611" s="4414"/>
      <c r="K611" s="4609"/>
      <c r="L611" s="2880"/>
      <c r="M611" s="386"/>
      <c r="N611" s="386"/>
      <c r="O611" s="386"/>
      <c r="P611" s="386"/>
      <c r="Q611" s="386"/>
    </row>
    <row r="612" spans="1:17" ht="30" customHeight="1" x14ac:dyDescent="0.2">
      <c r="A612" s="4464"/>
      <c r="B612" s="4488"/>
      <c r="C612" s="4540"/>
      <c r="D612" s="4322"/>
      <c r="E612" s="4608"/>
      <c r="F612" s="4322"/>
      <c r="G612" s="4322"/>
      <c r="H612" s="4322"/>
      <c r="I612" s="4322"/>
      <c r="J612" s="4414"/>
      <c r="K612" s="4609"/>
      <c r="L612" s="2880" t="s">
        <v>4628</v>
      </c>
      <c r="M612" s="386"/>
      <c r="N612" s="386"/>
      <c r="O612" s="386"/>
      <c r="P612" s="386"/>
      <c r="Q612" s="386"/>
    </row>
    <row r="613" spans="1:17" ht="30" customHeight="1" x14ac:dyDescent="0.2">
      <c r="A613" s="4464"/>
      <c r="B613" s="4488"/>
      <c r="C613" s="4540"/>
      <c r="D613" s="4322"/>
      <c r="E613" s="4608"/>
      <c r="F613" s="4322"/>
      <c r="G613" s="4322"/>
      <c r="H613" s="4322"/>
      <c r="I613" s="4322"/>
      <c r="J613" s="4414"/>
      <c r="K613" s="4609"/>
      <c r="L613" s="849"/>
      <c r="M613" s="386"/>
      <c r="N613" s="386"/>
      <c r="O613" s="386"/>
      <c r="P613" s="386"/>
      <c r="Q613" s="386"/>
    </row>
    <row r="614" spans="1:17" ht="30" customHeight="1" x14ac:dyDescent="0.2">
      <c r="A614" s="4464"/>
      <c r="B614" s="4488"/>
      <c r="C614" s="4540"/>
      <c r="D614" s="4322"/>
      <c r="E614" s="4608"/>
      <c r="F614" s="4322"/>
      <c r="G614" s="4322"/>
      <c r="H614" s="4322"/>
      <c r="I614" s="4322"/>
      <c r="J614" s="4414"/>
      <c r="K614" s="4609"/>
      <c r="L614" s="849"/>
      <c r="M614" s="386"/>
      <c r="N614" s="386"/>
      <c r="O614" s="386"/>
      <c r="P614" s="386"/>
      <c r="Q614" s="386"/>
    </row>
    <row r="615" spans="1:17" ht="30" customHeight="1" x14ac:dyDescent="0.2">
      <c r="A615" s="4460"/>
      <c r="B615" s="4458"/>
      <c r="C615" s="4538"/>
      <c r="D615" s="3269">
        <v>3160000000</v>
      </c>
      <c r="E615" s="3270"/>
      <c r="F615" s="3269">
        <v>106575000</v>
      </c>
      <c r="G615" s="1967"/>
      <c r="H615" s="2299"/>
      <c r="I615" s="1930"/>
      <c r="J615" s="4415"/>
      <c r="K615" s="4604"/>
      <c r="L615" s="899"/>
      <c r="M615" s="386"/>
      <c r="N615" s="386"/>
      <c r="O615" s="386"/>
      <c r="P615" s="386"/>
      <c r="Q615" s="386"/>
    </row>
    <row r="616" spans="1:17" ht="30" customHeight="1" x14ac:dyDescent="0.2">
      <c r="A616" s="3189"/>
      <c r="B616" s="3201" t="s">
        <v>4181</v>
      </c>
      <c r="C616" s="3202"/>
      <c r="D616" s="3199">
        <v>30000000</v>
      </c>
      <c r="E616" s="3200">
        <v>6.5000000000000002E-2</v>
      </c>
      <c r="F616" s="3199">
        <f>D616*E616</f>
        <v>1950000</v>
      </c>
      <c r="G616" s="3199">
        <v>1900000</v>
      </c>
      <c r="H616" s="3199" t="s">
        <v>5045</v>
      </c>
      <c r="I616" s="3199" t="s">
        <v>2369</v>
      </c>
      <c r="J616" s="3199">
        <f>G616</f>
        <v>1900000</v>
      </c>
      <c r="K616" s="3187">
        <f>F616-J616</f>
        <v>50000</v>
      </c>
      <c r="L616" s="2879"/>
      <c r="M616" s="2879"/>
      <c r="N616" s="2879"/>
      <c r="O616" s="2879"/>
      <c r="P616" s="386"/>
      <c r="Q616" s="386"/>
    </row>
    <row r="617" spans="1:17" ht="30" customHeight="1" x14ac:dyDescent="0.2">
      <c r="A617" s="2876">
        <v>362</v>
      </c>
      <c r="B617" s="19" t="s">
        <v>1619</v>
      </c>
      <c r="C617" s="2873" t="s">
        <v>1652</v>
      </c>
      <c r="D617" s="2821">
        <v>360000000</v>
      </c>
      <c r="E617" s="2871">
        <v>4.4999999999999998E-2</v>
      </c>
      <c r="F617" s="2821">
        <v>16500000</v>
      </c>
      <c r="G617" s="2821">
        <v>16500000</v>
      </c>
      <c r="H617" s="2821" t="s">
        <v>4922</v>
      </c>
      <c r="I617" s="473" t="s">
        <v>1620</v>
      </c>
      <c r="J617" s="2821">
        <f t="shared" ref="J617:J630" si="64">G617</f>
        <v>16500000</v>
      </c>
      <c r="K617" s="2859">
        <f t="shared" ref="K617:K630" si="65">F617-J617</f>
        <v>0</v>
      </c>
      <c r="L617" s="2879"/>
      <c r="M617" s="2879"/>
      <c r="N617" s="2879"/>
      <c r="O617" s="2879"/>
      <c r="P617" s="386"/>
      <c r="Q617" s="386"/>
    </row>
    <row r="618" spans="1:17" ht="30" customHeight="1" x14ac:dyDescent="0.2">
      <c r="A618" s="2826">
        <v>363</v>
      </c>
      <c r="B618" s="2829" t="s">
        <v>1641</v>
      </c>
      <c r="C618" s="2847"/>
      <c r="D618" s="2838"/>
      <c r="E618" s="2521"/>
      <c r="F618" s="2838"/>
      <c r="G618" s="2821">
        <v>1575000</v>
      </c>
      <c r="H618" s="2821"/>
      <c r="I618" s="473" t="s">
        <v>1621</v>
      </c>
      <c r="J618" s="2821">
        <f t="shared" si="64"/>
        <v>1575000</v>
      </c>
      <c r="K618" s="2859">
        <f t="shared" si="65"/>
        <v>-1575000</v>
      </c>
      <c r="L618" s="2879"/>
      <c r="M618" s="386"/>
      <c r="N618" s="386"/>
      <c r="O618" s="386"/>
      <c r="P618" s="386"/>
      <c r="Q618" s="386"/>
    </row>
    <row r="619" spans="1:17" ht="30" customHeight="1" x14ac:dyDescent="0.2">
      <c r="A619" s="4459">
        <v>364</v>
      </c>
      <c r="B619" s="4457" t="s">
        <v>1637</v>
      </c>
      <c r="C619" s="4537"/>
      <c r="D619" s="2838"/>
      <c r="E619" s="2521"/>
      <c r="F619" s="2838"/>
      <c r="G619" s="2821"/>
      <c r="H619" s="2821"/>
      <c r="I619" s="473" t="s">
        <v>4041</v>
      </c>
      <c r="J619" s="2821">
        <f t="shared" si="64"/>
        <v>0</v>
      </c>
      <c r="K619" s="2865">
        <f t="shared" si="65"/>
        <v>0</v>
      </c>
      <c r="L619" s="2879"/>
      <c r="M619" s="386"/>
      <c r="N619" s="386"/>
      <c r="O619" s="386"/>
      <c r="P619" s="386"/>
      <c r="Q619" s="386"/>
    </row>
    <row r="620" spans="1:17" ht="30" customHeight="1" x14ac:dyDescent="0.2">
      <c r="A620" s="4460"/>
      <c r="B620" s="4458"/>
      <c r="C620" s="4538"/>
      <c r="D620" s="2989"/>
      <c r="E620" s="2521"/>
      <c r="F620" s="2989"/>
      <c r="G620" s="2982"/>
      <c r="H620" s="2982"/>
      <c r="I620" s="473"/>
      <c r="J620" s="2982"/>
      <c r="K620" s="2994"/>
      <c r="L620" s="3000" t="s">
        <v>4875</v>
      </c>
      <c r="M620" s="386"/>
      <c r="N620" s="386"/>
      <c r="O620" s="386"/>
      <c r="P620" s="386"/>
      <c r="Q620" s="386"/>
    </row>
    <row r="621" spans="1:17" ht="30" customHeight="1" x14ac:dyDescent="0.2">
      <c r="A621" s="2876">
        <v>365</v>
      </c>
      <c r="B621" s="2874" t="s">
        <v>1639</v>
      </c>
      <c r="C621" s="2873" t="s">
        <v>1718</v>
      </c>
      <c r="D621" s="2821">
        <v>250000000</v>
      </c>
      <c r="E621" s="2871">
        <v>0.05</v>
      </c>
      <c r="F621" s="2821">
        <f>D621*E621</f>
        <v>12500000</v>
      </c>
      <c r="G621" s="2848">
        <v>12500000</v>
      </c>
      <c r="H621" s="2848" t="s">
        <v>5011</v>
      </c>
      <c r="I621" s="2848" t="s">
        <v>2808</v>
      </c>
      <c r="J621" s="2848">
        <f t="shared" si="64"/>
        <v>12500000</v>
      </c>
      <c r="K621" s="2859">
        <f t="shared" si="65"/>
        <v>0</v>
      </c>
      <c r="L621" s="2856"/>
      <c r="M621" s="386"/>
      <c r="N621" s="386"/>
      <c r="O621" s="386"/>
      <c r="P621" s="386"/>
      <c r="Q621" s="386"/>
    </row>
    <row r="622" spans="1:17" ht="30" customHeight="1" x14ac:dyDescent="0.2">
      <c r="A622" s="4459">
        <v>366</v>
      </c>
      <c r="B622" s="4457" t="s">
        <v>4686</v>
      </c>
      <c r="C622" s="4537" t="s">
        <v>1107</v>
      </c>
      <c r="D622" s="1856">
        <v>70000000</v>
      </c>
      <c r="E622" s="3303">
        <v>6.3E-2</v>
      </c>
      <c r="F622" s="3297">
        <v>4400000</v>
      </c>
      <c r="G622" s="4413">
        <v>11150000</v>
      </c>
      <c r="H622" s="4413" t="s">
        <v>1491</v>
      </c>
      <c r="I622" s="4789" t="s">
        <v>4783</v>
      </c>
      <c r="J622" s="4413">
        <f>G622</f>
        <v>11150000</v>
      </c>
      <c r="K622" s="4603"/>
      <c r="L622" s="2879"/>
      <c r="M622" s="386"/>
      <c r="N622" s="386"/>
      <c r="O622" s="386"/>
      <c r="P622" s="386"/>
      <c r="Q622" s="386"/>
    </row>
    <row r="623" spans="1:17" ht="30" customHeight="1" x14ac:dyDescent="0.2">
      <c r="A623" s="4464"/>
      <c r="B623" s="4488"/>
      <c r="C623" s="4540"/>
      <c r="D623" s="2891">
        <v>96900000</v>
      </c>
      <c r="E623" s="2823"/>
      <c r="F623" s="2821"/>
      <c r="G623" s="4414"/>
      <c r="H623" s="4414"/>
      <c r="I623" s="4871"/>
      <c r="J623" s="4414"/>
      <c r="K623" s="4609"/>
      <c r="L623" s="2814" t="s">
        <v>4798</v>
      </c>
      <c r="M623" s="386"/>
      <c r="N623" s="386"/>
      <c r="O623" s="386"/>
      <c r="P623" s="386"/>
      <c r="Q623" s="386"/>
    </row>
    <row r="624" spans="1:17" ht="30" customHeight="1" x14ac:dyDescent="0.2">
      <c r="A624" s="4464"/>
      <c r="B624" s="4488"/>
      <c r="C624" s="4540"/>
      <c r="D624" s="2891">
        <v>7100000</v>
      </c>
      <c r="E624" s="2871"/>
      <c r="F624" s="2821"/>
      <c r="G624" s="4414"/>
      <c r="H624" s="4414"/>
      <c r="I624" s="4871"/>
      <c r="J624" s="4414"/>
      <c r="K624" s="4609"/>
      <c r="L624" s="2814" t="s">
        <v>4687</v>
      </c>
      <c r="M624" s="386"/>
      <c r="N624" s="386"/>
      <c r="O624" s="386"/>
      <c r="P624" s="386"/>
      <c r="Q624" s="386"/>
    </row>
    <row r="625" spans="1:17" ht="30" customHeight="1" x14ac:dyDescent="0.2">
      <c r="A625" s="4464"/>
      <c r="B625" s="4488"/>
      <c r="C625" s="4540"/>
      <c r="D625" s="2891">
        <v>3000000</v>
      </c>
      <c r="E625" s="2871"/>
      <c r="F625" s="2821"/>
      <c r="G625" s="4414"/>
      <c r="H625" s="4414"/>
      <c r="I625" s="4871"/>
      <c r="J625" s="4414"/>
      <c r="K625" s="4609"/>
      <c r="L625" s="2814" t="s">
        <v>4688</v>
      </c>
      <c r="M625" s="386"/>
      <c r="N625" s="386"/>
      <c r="O625" s="386"/>
      <c r="P625" s="386"/>
      <c r="Q625" s="386"/>
    </row>
    <row r="626" spans="1:17" ht="30" customHeight="1" x14ac:dyDescent="0.2">
      <c r="A626" s="4464"/>
      <c r="B626" s="4488"/>
      <c r="C626" s="4540"/>
      <c r="D626" s="2891">
        <v>10000000</v>
      </c>
      <c r="E626" s="2871"/>
      <c r="F626" s="2821"/>
      <c r="G626" s="4414"/>
      <c r="H626" s="4414"/>
      <c r="I626" s="4871"/>
      <c r="J626" s="4414"/>
      <c r="K626" s="4609"/>
      <c r="L626" s="2814" t="s">
        <v>4690</v>
      </c>
      <c r="M626" s="386"/>
      <c r="N626" s="386"/>
      <c r="O626" s="386"/>
      <c r="P626" s="386"/>
      <c r="Q626" s="386"/>
    </row>
    <row r="627" spans="1:17" ht="30" customHeight="1" x14ac:dyDescent="0.2">
      <c r="A627" s="4464"/>
      <c r="B627" s="4488"/>
      <c r="C627" s="4540"/>
      <c r="D627" s="2891">
        <v>10000000</v>
      </c>
      <c r="E627" s="2871"/>
      <c r="F627" s="2821"/>
      <c r="G627" s="4414"/>
      <c r="H627" s="4414"/>
      <c r="I627" s="4871"/>
      <c r="J627" s="4414"/>
      <c r="K627" s="4609"/>
      <c r="L627" s="2814" t="s">
        <v>4689</v>
      </c>
      <c r="M627" s="386"/>
      <c r="N627" s="386"/>
      <c r="O627" s="386"/>
      <c r="P627" s="386"/>
      <c r="Q627" s="386"/>
    </row>
    <row r="628" spans="1:17" ht="30" customHeight="1" x14ac:dyDescent="0.2">
      <c r="A628" s="4464"/>
      <c r="B628" s="4488"/>
      <c r="C628" s="4540"/>
      <c r="D628" s="2891">
        <v>8000000</v>
      </c>
      <c r="E628" s="2871"/>
      <c r="F628" s="2821"/>
      <c r="G628" s="4414"/>
      <c r="H628" s="4414"/>
      <c r="I628" s="4871"/>
      <c r="J628" s="4414"/>
      <c r="K628" s="4609"/>
      <c r="L628" s="2814" t="s">
        <v>4691</v>
      </c>
      <c r="M628" s="386"/>
      <c r="N628" s="386"/>
      <c r="O628" s="386"/>
      <c r="P628" s="386"/>
      <c r="Q628" s="386"/>
    </row>
    <row r="629" spans="1:17" ht="30" customHeight="1" x14ac:dyDescent="0.2">
      <c r="A629" s="4460"/>
      <c r="B629" s="4458"/>
      <c r="C629" s="4538"/>
      <c r="D629" s="2891">
        <f>SUM(D622:D628)</f>
        <v>205000000</v>
      </c>
      <c r="E629" s="2871"/>
      <c r="F629" s="2821"/>
      <c r="G629" s="4415"/>
      <c r="H629" s="4415"/>
      <c r="I629" s="4790"/>
      <c r="J629" s="4415"/>
      <c r="K629" s="4604"/>
      <c r="L629" s="2879" t="s">
        <v>4692</v>
      </c>
      <c r="M629" s="386"/>
      <c r="N629" s="386"/>
      <c r="O629" s="386"/>
      <c r="P629" s="386"/>
      <c r="Q629" s="386"/>
    </row>
    <row r="630" spans="1:17" ht="30" customHeight="1" x14ac:dyDescent="0.2">
      <c r="A630" s="2826">
        <v>367</v>
      </c>
      <c r="B630" s="2829" t="s">
        <v>1666</v>
      </c>
      <c r="C630" s="2847" t="s">
        <v>1172</v>
      </c>
      <c r="D630" s="2821">
        <v>25000000</v>
      </c>
      <c r="E630" s="2871">
        <v>0.05</v>
      </c>
      <c r="F630" s="2821">
        <f>D630*E630</f>
        <v>1250000</v>
      </c>
      <c r="G630" s="2821">
        <v>1250000</v>
      </c>
      <c r="H630" s="2821" t="s">
        <v>4922</v>
      </c>
      <c r="I630" s="473" t="s">
        <v>4931</v>
      </c>
      <c r="J630" s="2821">
        <f t="shared" si="64"/>
        <v>1250000</v>
      </c>
      <c r="K630" s="2859">
        <f t="shared" si="65"/>
        <v>0</v>
      </c>
      <c r="L630" s="2879"/>
      <c r="M630" s="386"/>
      <c r="N630" s="386"/>
      <c r="O630" s="386"/>
      <c r="P630" s="386"/>
      <c r="Q630" s="386"/>
    </row>
    <row r="631" spans="1:17" ht="30" customHeight="1" x14ac:dyDescent="0.2">
      <c r="A631" s="2946">
        <v>368</v>
      </c>
      <c r="B631" s="19" t="s">
        <v>1793</v>
      </c>
      <c r="C631" s="2948" t="s">
        <v>392</v>
      </c>
      <c r="D631" s="2935">
        <v>818000000</v>
      </c>
      <c r="E631" s="2936">
        <v>7.0000000000000007E-2</v>
      </c>
      <c r="F631" s="2935">
        <f>D631*E631</f>
        <v>57260000.000000007</v>
      </c>
      <c r="G631" s="2848">
        <v>57260000</v>
      </c>
      <c r="H631" s="39" t="s">
        <v>4876</v>
      </c>
      <c r="I631" s="2696" t="s">
        <v>2579</v>
      </c>
      <c r="J631" s="2848">
        <f>G631</f>
        <v>57260000</v>
      </c>
      <c r="K631" s="2816">
        <f>F631-J631</f>
        <v>0</v>
      </c>
      <c r="L631" s="2949"/>
      <c r="M631" s="386"/>
      <c r="N631" s="386"/>
      <c r="O631" s="386"/>
      <c r="P631" s="386"/>
      <c r="Q631" s="386"/>
    </row>
    <row r="632" spans="1:17" ht="30" customHeight="1" x14ac:dyDescent="0.2">
      <c r="A632" s="4614">
        <v>369</v>
      </c>
      <c r="B632" s="4615" t="s">
        <v>1676</v>
      </c>
      <c r="C632" s="4620" t="s">
        <v>1652</v>
      </c>
      <c r="D632" s="2821">
        <v>250000000</v>
      </c>
      <c r="E632" s="2823">
        <v>0.05</v>
      </c>
      <c r="F632" s="2821">
        <f t="shared" ref="F632:F642" si="66">D632*E632</f>
        <v>12500000</v>
      </c>
      <c r="G632" s="4413">
        <v>27800000</v>
      </c>
      <c r="H632" s="4413" t="s">
        <v>4893</v>
      </c>
      <c r="I632" s="4413" t="s">
        <v>4898</v>
      </c>
      <c r="J632" s="4413">
        <f>G632</f>
        <v>27800000</v>
      </c>
      <c r="K632" s="4413">
        <f>(F632+F633+F634+F635)-J632</f>
        <v>0</v>
      </c>
      <c r="L632" s="2999"/>
      <c r="M632" s="386"/>
      <c r="N632" s="386"/>
      <c r="O632" s="386"/>
      <c r="P632" s="386"/>
      <c r="Q632" s="386"/>
    </row>
    <row r="633" spans="1:17" ht="30" customHeight="1" x14ac:dyDescent="0.2">
      <c r="A633" s="4614"/>
      <c r="B633" s="4615"/>
      <c r="C633" s="4620"/>
      <c r="D633" s="2821">
        <v>150000000</v>
      </c>
      <c r="E633" s="2823">
        <v>0.06</v>
      </c>
      <c r="F633" s="2821">
        <f t="shared" si="66"/>
        <v>9000000</v>
      </c>
      <c r="G633" s="4414"/>
      <c r="H633" s="4414"/>
      <c r="I633" s="4414"/>
      <c r="J633" s="4414"/>
      <c r="K633" s="4414"/>
      <c r="L633" s="3004"/>
      <c r="M633" s="386"/>
      <c r="N633" s="386"/>
      <c r="O633" s="386"/>
      <c r="P633" s="386"/>
      <c r="Q633" s="386"/>
    </row>
    <row r="634" spans="1:17" ht="30" customHeight="1" x14ac:dyDescent="0.2">
      <c r="A634" s="4614"/>
      <c r="B634" s="4615"/>
      <c r="C634" s="4620"/>
      <c r="D634" s="2821">
        <v>50000000</v>
      </c>
      <c r="E634" s="2823">
        <v>0.06</v>
      </c>
      <c r="F634" s="2821">
        <f t="shared" si="66"/>
        <v>3000000</v>
      </c>
      <c r="G634" s="4414"/>
      <c r="H634" s="4414"/>
      <c r="I634" s="4414"/>
      <c r="J634" s="4414"/>
      <c r="K634" s="4414"/>
      <c r="L634" s="3004"/>
      <c r="M634" s="386"/>
      <c r="N634" s="386"/>
      <c r="O634" s="386"/>
      <c r="P634" s="386"/>
      <c r="Q634" s="386"/>
    </row>
    <row r="635" spans="1:17" ht="30" customHeight="1" x14ac:dyDescent="0.2">
      <c r="A635" s="4614"/>
      <c r="B635" s="4615"/>
      <c r="C635" s="4620"/>
      <c r="D635" s="2821">
        <v>55000000</v>
      </c>
      <c r="E635" s="2823">
        <v>0.06</v>
      </c>
      <c r="F635" s="2821">
        <f t="shared" si="66"/>
        <v>3300000</v>
      </c>
      <c r="G635" s="4415"/>
      <c r="H635" s="4415"/>
      <c r="I635" s="4415"/>
      <c r="J635" s="4415"/>
      <c r="K635" s="4415"/>
      <c r="L635" s="3000"/>
      <c r="M635" s="386"/>
      <c r="N635" s="386"/>
      <c r="O635" s="386"/>
      <c r="P635" s="386"/>
      <c r="Q635" s="386"/>
    </row>
    <row r="636" spans="1:17" ht="30" customHeight="1" x14ac:dyDescent="0.2">
      <c r="A636" s="4459"/>
      <c r="B636" s="4615" t="s">
        <v>5181</v>
      </c>
      <c r="C636" s="4537" t="s">
        <v>1652</v>
      </c>
      <c r="D636" s="3290">
        <v>177000000</v>
      </c>
      <c r="E636" s="3291">
        <v>7.0000000000000007E-2</v>
      </c>
      <c r="F636" s="3290">
        <f t="shared" si="66"/>
        <v>12390000.000000002</v>
      </c>
      <c r="G636" s="3290"/>
      <c r="H636" s="3290"/>
      <c r="I636" s="3294"/>
      <c r="J636" s="3290"/>
      <c r="K636" s="3290"/>
      <c r="L636" s="3299" t="s">
        <v>5183</v>
      </c>
      <c r="M636" s="386"/>
      <c r="N636" s="386"/>
      <c r="O636" s="386"/>
      <c r="P636" s="386"/>
      <c r="Q636" s="386"/>
    </row>
    <row r="637" spans="1:17" ht="30" customHeight="1" x14ac:dyDescent="0.2">
      <c r="A637" s="4464"/>
      <c r="B637" s="4615"/>
      <c r="C637" s="4540"/>
      <c r="D637" s="3290">
        <v>223000000</v>
      </c>
      <c r="E637" s="3291">
        <v>7.0000000000000007E-2</v>
      </c>
      <c r="F637" s="3290">
        <f t="shared" si="66"/>
        <v>15610000.000000002</v>
      </c>
      <c r="G637" s="3290"/>
      <c r="H637" s="3290"/>
      <c r="I637" s="3294"/>
      <c r="J637" s="3290"/>
      <c r="K637" s="3290"/>
      <c r="L637" s="3299" t="s">
        <v>5182</v>
      </c>
      <c r="M637" s="386"/>
      <c r="N637" s="386"/>
      <c r="O637" s="386"/>
      <c r="P637" s="386"/>
      <c r="Q637" s="386"/>
    </row>
    <row r="638" spans="1:17" ht="30" customHeight="1" x14ac:dyDescent="0.2">
      <c r="A638" s="4460"/>
      <c r="B638" s="4615"/>
      <c r="C638" s="4538"/>
      <c r="D638" s="3307">
        <v>400000000</v>
      </c>
      <c r="E638" s="3308">
        <v>7.0000000000000007E-2</v>
      </c>
      <c r="F638" s="3307">
        <f t="shared" si="66"/>
        <v>28000000.000000004</v>
      </c>
      <c r="G638" s="3290"/>
      <c r="H638" s="3290"/>
      <c r="I638" s="3294"/>
      <c r="J638" s="3290"/>
      <c r="K638" s="3290"/>
      <c r="L638" s="3299"/>
      <c r="M638" s="386"/>
      <c r="N638" s="386"/>
      <c r="O638" s="386"/>
      <c r="P638" s="386"/>
      <c r="Q638" s="386"/>
    </row>
    <row r="639" spans="1:17" ht="30" customHeight="1" x14ac:dyDescent="0.2">
      <c r="A639" s="3306"/>
      <c r="B639" s="3289" t="s">
        <v>5184</v>
      </c>
      <c r="C639" s="3296" t="s">
        <v>3390</v>
      </c>
      <c r="D639" s="3290">
        <v>150000000</v>
      </c>
      <c r="E639" s="3291"/>
      <c r="F639" s="3290"/>
      <c r="G639" s="3290"/>
      <c r="H639" s="3290"/>
      <c r="I639" s="3294"/>
      <c r="J639" s="3290"/>
      <c r="K639" s="3290"/>
      <c r="L639" s="3299" t="s">
        <v>5185</v>
      </c>
      <c r="M639" s="386"/>
      <c r="N639" s="386"/>
      <c r="O639" s="386"/>
      <c r="P639" s="386"/>
      <c r="Q639" s="386"/>
    </row>
    <row r="640" spans="1:17" ht="30" customHeight="1" x14ac:dyDescent="0.2">
      <c r="A640" s="4459">
        <v>370</v>
      </c>
      <c r="B640" s="4457" t="s">
        <v>1696</v>
      </c>
      <c r="C640" s="4537" t="s">
        <v>3323</v>
      </c>
      <c r="D640" s="4413">
        <v>200000000</v>
      </c>
      <c r="E640" s="4476">
        <v>0.05</v>
      </c>
      <c r="F640" s="4413">
        <f t="shared" si="66"/>
        <v>10000000</v>
      </c>
      <c r="G640" s="2821">
        <v>10000000</v>
      </c>
      <c r="H640" s="2821" t="s">
        <v>4877</v>
      </c>
      <c r="I640" s="473" t="s">
        <v>3400</v>
      </c>
      <c r="J640" s="2821">
        <f t="shared" ref="J640:J654" si="67">G640</f>
        <v>10000000</v>
      </c>
      <c r="K640" s="2859">
        <f>F640-J640</f>
        <v>0</v>
      </c>
      <c r="L640" s="2879" t="s">
        <v>4439</v>
      </c>
      <c r="M640" s="386"/>
      <c r="N640" s="386"/>
      <c r="O640" s="386"/>
      <c r="P640" s="386"/>
      <c r="Q640" s="386"/>
    </row>
    <row r="641" spans="1:17" ht="30" customHeight="1" x14ac:dyDescent="0.2">
      <c r="A641" s="4460"/>
      <c r="B641" s="4458"/>
      <c r="C641" s="4538"/>
      <c r="D641" s="4415"/>
      <c r="E641" s="4477"/>
      <c r="F641" s="4415"/>
      <c r="G641" s="3445">
        <v>10000000</v>
      </c>
      <c r="H641" s="3445" t="s">
        <v>5108</v>
      </c>
      <c r="I641" s="473" t="s">
        <v>3400</v>
      </c>
      <c r="J641" s="3445">
        <f>G641</f>
        <v>10000000</v>
      </c>
      <c r="K641" s="3460">
        <f>F640-J641</f>
        <v>0</v>
      </c>
      <c r="L641" s="3467" t="s">
        <v>4907</v>
      </c>
      <c r="M641" s="386"/>
      <c r="N641" s="386"/>
      <c r="O641" s="386"/>
      <c r="P641" s="386"/>
      <c r="Q641" s="386"/>
    </row>
    <row r="642" spans="1:17" ht="30" customHeight="1" x14ac:dyDescent="0.2">
      <c r="A642" s="1029">
        <v>371</v>
      </c>
      <c r="B642" s="2947" t="s">
        <v>1698</v>
      </c>
      <c r="C642" s="2948" t="s">
        <v>942</v>
      </c>
      <c r="D642" s="2941">
        <v>50000000</v>
      </c>
      <c r="E642" s="2945">
        <v>0.04</v>
      </c>
      <c r="F642" s="2941">
        <f t="shared" si="66"/>
        <v>2000000</v>
      </c>
      <c r="G642" s="2848">
        <v>2000000</v>
      </c>
      <c r="H642" s="2848" t="s">
        <v>5108</v>
      </c>
      <c r="I642" s="2696" t="s">
        <v>1720</v>
      </c>
      <c r="J642" s="2848">
        <f t="shared" si="67"/>
        <v>2000000</v>
      </c>
      <c r="K642" s="2816">
        <f>F642-J642</f>
        <v>0</v>
      </c>
      <c r="L642" s="2879"/>
      <c r="M642" s="386"/>
      <c r="N642" s="386"/>
      <c r="O642" s="386"/>
      <c r="P642" s="386"/>
      <c r="Q642" s="386"/>
    </row>
    <row r="643" spans="1:17" ht="30" customHeight="1" x14ac:dyDescent="0.2">
      <c r="A643" s="2826">
        <v>372</v>
      </c>
      <c r="B643" s="2829" t="s">
        <v>1706</v>
      </c>
      <c r="C643" s="2847"/>
      <c r="D643" s="2838"/>
      <c r="E643" s="2521"/>
      <c r="F643" s="2838"/>
      <c r="G643" s="2821"/>
      <c r="H643" s="2821"/>
      <c r="I643" s="473"/>
      <c r="J643" s="2821">
        <f t="shared" si="67"/>
        <v>0</v>
      </c>
      <c r="K643" s="2865"/>
      <c r="L643" s="2879"/>
      <c r="M643" s="386"/>
      <c r="N643" s="386"/>
      <c r="O643" s="386"/>
      <c r="P643" s="386"/>
      <c r="Q643" s="386"/>
    </row>
    <row r="644" spans="1:17" ht="30" customHeight="1" x14ac:dyDescent="0.2">
      <c r="A644" s="4459"/>
      <c r="B644" s="4457" t="s">
        <v>1725</v>
      </c>
      <c r="C644" s="4537" t="s">
        <v>1718</v>
      </c>
      <c r="D644" s="2848">
        <v>20000000</v>
      </c>
      <c r="E644" s="2871">
        <v>0.05</v>
      </c>
      <c r="F644" s="2848">
        <f>D644*E644</f>
        <v>1000000</v>
      </c>
      <c r="G644" s="4413">
        <v>1500000</v>
      </c>
      <c r="H644" s="4413" t="s">
        <v>4938</v>
      </c>
      <c r="I644" s="4413" t="s">
        <v>3486</v>
      </c>
      <c r="J644" s="4413">
        <f t="shared" si="67"/>
        <v>1500000</v>
      </c>
      <c r="K644" s="4603">
        <f>(F644+F645)-J644</f>
        <v>0</v>
      </c>
      <c r="L644" s="2879"/>
      <c r="M644" s="386"/>
      <c r="N644" s="386"/>
      <c r="O644" s="386"/>
      <c r="P644" s="386"/>
      <c r="Q644" s="386"/>
    </row>
    <row r="645" spans="1:17" ht="30" customHeight="1" x14ac:dyDescent="0.2">
      <c r="A645" s="4460"/>
      <c r="B645" s="4458"/>
      <c r="C645" s="4538"/>
      <c r="D645" s="2821">
        <v>10000000</v>
      </c>
      <c r="E645" s="2871">
        <v>0.05</v>
      </c>
      <c r="F645" s="2848">
        <f>D645*E645</f>
        <v>500000</v>
      </c>
      <c r="G645" s="4415"/>
      <c r="H645" s="4415"/>
      <c r="I645" s="4415"/>
      <c r="J645" s="4415"/>
      <c r="K645" s="4604"/>
      <c r="L645" s="2879" t="s">
        <v>4284</v>
      </c>
      <c r="M645" s="386"/>
      <c r="N645" s="386"/>
      <c r="O645" s="386"/>
      <c r="P645" s="386"/>
      <c r="Q645" s="386"/>
    </row>
    <row r="646" spans="1:17" ht="30" customHeight="1" x14ac:dyDescent="0.2">
      <c r="A646" s="2826">
        <v>374</v>
      </c>
      <c r="B646" s="2829" t="s">
        <v>1727</v>
      </c>
      <c r="C646" s="2847"/>
      <c r="D646" s="2838"/>
      <c r="E646" s="2839"/>
      <c r="F646" s="2838"/>
      <c r="G646" s="2821"/>
      <c r="H646" s="2821"/>
      <c r="I646" s="473"/>
      <c r="J646" s="2821">
        <f t="shared" si="67"/>
        <v>0</v>
      </c>
      <c r="K646" s="2865">
        <f t="shared" ref="K646:K655" si="68">F646-J646</f>
        <v>0</v>
      </c>
      <c r="L646" s="2879"/>
      <c r="M646" s="386"/>
      <c r="N646" s="386"/>
      <c r="O646" s="386"/>
      <c r="P646" s="386"/>
      <c r="Q646" s="386"/>
    </row>
    <row r="647" spans="1:17" ht="30" customHeight="1" x14ac:dyDescent="0.2">
      <c r="A647" s="4459">
        <v>375</v>
      </c>
      <c r="B647" s="4457" t="s">
        <v>1735</v>
      </c>
      <c r="C647" s="4537"/>
      <c r="D647" s="4413">
        <v>900000000</v>
      </c>
      <c r="E647" s="4476">
        <v>7.0000000000000007E-2</v>
      </c>
      <c r="F647" s="4413">
        <f>D647*E647</f>
        <v>63000000.000000007</v>
      </c>
      <c r="G647" s="4793" t="s">
        <v>4828</v>
      </c>
      <c r="H647" s="4794"/>
      <c r="I647" s="4794"/>
      <c r="J647" s="4795"/>
      <c r="K647" s="4603"/>
      <c r="L647" s="2885" t="s">
        <v>4610</v>
      </c>
      <c r="M647" s="386"/>
      <c r="N647" s="386"/>
      <c r="O647" s="386"/>
      <c r="P647" s="386"/>
      <c r="Q647" s="386"/>
    </row>
    <row r="648" spans="1:17" ht="30" customHeight="1" x14ac:dyDescent="0.2">
      <c r="A648" s="4464"/>
      <c r="B648" s="4488"/>
      <c r="C648" s="4540"/>
      <c r="D648" s="4415"/>
      <c r="E648" s="4477"/>
      <c r="F648" s="4415"/>
      <c r="G648" s="4796"/>
      <c r="H648" s="4797"/>
      <c r="I648" s="4797"/>
      <c r="J648" s="4798"/>
      <c r="K648" s="4609"/>
      <c r="L648" s="2879"/>
      <c r="M648" s="386"/>
      <c r="N648" s="386"/>
      <c r="O648" s="386"/>
      <c r="P648" s="386"/>
      <c r="Q648" s="386"/>
    </row>
    <row r="649" spans="1:17" ht="30" customHeight="1" x14ac:dyDescent="0.2">
      <c r="A649" s="4464"/>
      <c r="B649" s="4488"/>
      <c r="C649" s="4540"/>
      <c r="D649" s="2905">
        <v>63000000</v>
      </c>
      <c r="E649" s="2906">
        <v>7.0000000000000007E-2</v>
      </c>
      <c r="F649" s="2905">
        <f>D649*E649</f>
        <v>4410000</v>
      </c>
      <c r="G649" s="4799"/>
      <c r="H649" s="4800"/>
      <c r="I649" s="4800"/>
      <c r="J649" s="4801"/>
      <c r="K649" s="4604"/>
      <c r="L649" s="2925"/>
      <c r="M649" s="386"/>
      <c r="N649" s="386"/>
      <c r="O649" s="386"/>
      <c r="P649" s="386"/>
      <c r="Q649" s="386"/>
    </row>
    <row r="650" spans="1:17" ht="30" customHeight="1" x14ac:dyDescent="0.2">
      <c r="A650" s="4464"/>
      <c r="B650" s="4488"/>
      <c r="C650" s="4540"/>
      <c r="D650" s="2905">
        <v>37000000</v>
      </c>
      <c r="E650" s="2906">
        <v>7.0000000000000007E-2</v>
      </c>
      <c r="F650" s="2905">
        <f>D650*E650</f>
        <v>2590000.0000000005</v>
      </c>
      <c r="G650" s="4469" t="s">
        <v>4814</v>
      </c>
      <c r="H650" s="4470"/>
      <c r="I650" s="4470"/>
      <c r="J650" s="4471"/>
      <c r="K650" s="2915"/>
      <c r="L650" s="2925"/>
      <c r="M650" s="386"/>
      <c r="N650" s="386"/>
      <c r="O650" s="386"/>
      <c r="P650" s="386"/>
      <c r="Q650" s="386"/>
    </row>
    <row r="651" spans="1:17" ht="30" customHeight="1" x14ac:dyDescent="0.2">
      <c r="A651" s="4460"/>
      <c r="B651" s="4458"/>
      <c r="C651" s="4538"/>
      <c r="D651" s="2938">
        <v>1000000000</v>
      </c>
      <c r="E651" s="2939">
        <v>7.0000000000000007E-2</v>
      </c>
      <c r="F651" s="2938">
        <f>D651*E651</f>
        <v>70000000</v>
      </c>
      <c r="G651" s="4469" t="s">
        <v>4829</v>
      </c>
      <c r="H651" s="4470"/>
      <c r="I651" s="4470"/>
      <c r="J651" s="4471"/>
      <c r="K651" s="2944"/>
      <c r="L651" s="2954"/>
      <c r="M651" s="386"/>
      <c r="N651" s="386"/>
      <c r="O651" s="386"/>
      <c r="P651" s="386"/>
      <c r="Q651" s="386"/>
    </row>
    <row r="652" spans="1:17" ht="30" customHeight="1" x14ac:dyDescent="0.2">
      <c r="A652" s="2826">
        <v>376</v>
      </c>
      <c r="B652" s="2829" t="s">
        <v>3580</v>
      </c>
      <c r="C652" s="2847" t="s">
        <v>262</v>
      </c>
      <c r="D652" s="2821">
        <v>50000000</v>
      </c>
      <c r="E652" s="2871">
        <v>0.06</v>
      </c>
      <c r="F652" s="2821">
        <f>D652*E652</f>
        <v>3000000</v>
      </c>
      <c r="G652" s="2821">
        <v>3000000</v>
      </c>
      <c r="H652" s="2821" t="s">
        <v>4938</v>
      </c>
      <c r="I652" s="473" t="s">
        <v>4095</v>
      </c>
      <c r="J652" s="2821">
        <f t="shared" si="67"/>
        <v>3000000</v>
      </c>
      <c r="K652" s="2859">
        <f t="shared" si="68"/>
        <v>0</v>
      </c>
      <c r="L652" s="2879"/>
      <c r="M652" s="386"/>
      <c r="N652" s="386"/>
      <c r="O652" s="386"/>
      <c r="P652" s="386"/>
      <c r="Q652" s="386"/>
    </row>
    <row r="653" spans="1:17" ht="30" customHeight="1" x14ac:dyDescent="0.2">
      <c r="A653" s="2826">
        <v>377</v>
      </c>
      <c r="B653" s="2829" t="s">
        <v>1752</v>
      </c>
      <c r="C653" s="2847" t="s">
        <v>1652</v>
      </c>
      <c r="D653" s="2821">
        <v>153000000</v>
      </c>
      <c r="E653" s="2871">
        <v>7.0000000000000007E-2</v>
      </c>
      <c r="F653" s="2821">
        <f>D653*E653</f>
        <v>10710000.000000002</v>
      </c>
      <c r="G653" s="2821">
        <v>10710000</v>
      </c>
      <c r="H653" s="2821" t="s">
        <v>4922</v>
      </c>
      <c r="I653" s="473" t="s">
        <v>1952</v>
      </c>
      <c r="J653" s="2821">
        <f t="shared" si="67"/>
        <v>10710000</v>
      </c>
      <c r="K653" s="2859">
        <f t="shared" si="68"/>
        <v>0</v>
      </c>
      <c r="L653" s="2879"/>
      <c r="M653" s="386"/>
      <c r="N653" s="386"/>
      <c r="O653" s="386"/>
      <c r="P653" s="386"/>
      <c r="Q653" s="386"/>
    </row>
    <row r="654" spans="1:17" ht="30" customHeight="1" x14ac:dyDescent="0.2">
      <c r="A654" s="2826">
        <v>378</v>
      </c>
      <c r="B654" s="2829" t="s">
        <v>1790</v>
      </c>
      <c r="C654" s="2847" t="s">
        <v>889</v>
      </c>
      <c r="D654" s="2821">
        <v>300000000</v>
      </c>
      <c r="E654" s="2871">
        <v>5.0999999999999997E-2</v>
      </c>
      <c r="F654" s="2821">
        <v>15500000</v>
      </c>
      <c r="G654" s="2821">
        <v>15500000</v>
      </c>
      <c r="H654" s="2821" t="s">
        <v>4862</v>
      </c>
      <c r="I654" s="473" t="s">
        <v>4945</v>
      </c>
      <c r="J654" s="2821">
        <f t="shared" si="67"/>
        <v>15500000</v>
      </c>
      <c r="K654" s="2859">
        <f t="shared" si="68"/>
        <v>0</v>
      </c>
      <c r="L654" s="2879"/>
      <c r="M654" s="386"/>
      <c r="N654" s="386"/>
      <c r="O654" s="386"/>
      <c r="P654" s="386"/>
      <c r="Q654" s="386"/>
    </row>
    <row r="655" spans="1:17" ht="30" customHeight="1" x14ac:dyDescent="0.2">
      <c r="A655" s="4459">
        <v>379</v>
      </c>
      <c r="B655" s="4457" t="s">
        <v>1753</v>
      </c>
      <c r="C655" s="4537" t="s">
        <v>372</v>
      </c>
      <c r="D655" s="4413">
        <v>50000000</v>
      </c>
      <c r="E655" s="4476">
        <v>0.04</v>
      </c>
      <c r="F655" s="4413">
        <f>D655*E655</f>
        <v>2000000</v>
      </c>
      <c r="G655" s="4413">
        <v>2000000</v>
      </c>
      <c r="H655" s="4413" t="s">
        <v>4938</v>
      </c>
      <c r="I655" s="4789" t="s">
        <v>4431</v>
      </c>
      <c r="J655" s="4413">
        <f>G655+G656</f>
        <v>2000000</v>
      </c>
      <c r="K655" s="4603">
        <f t="shared" si="68"/>
        <v>0</v>
      </c>
      <c r="L655" s="4603"/>
      <c r="M655" s="386"/>
      <c r="N655" s="386"/>
      <c r="O655" s="386"/>
      <c r="P655" s="386"/>
      <c r="Q655" s="386"/>
    </row>
    <row r="656" spans="1:17" ht="30" customHeight="1" x14ac:dyDescent="0.2">
      <c r="A656" s="4460"/>
      <c r="B656" s="4458"/>
      <c r="C656" s="4538"/>
      <c r="D656" s="4415"/>
      <c r="E656" s="4477"/>
      <c r="F656" s="4415"/>
      <c r="G656" s="4415"/>
      <c r="H656" s="4415"/>
      <c r="I656" s="4790"/>
      <c r="J656" s="4415"/>
      <c r="K656" s="4604"/>
      <c r="L656" s="4604"/>
      <c r="M656" s="386"/>
      <c r="N656" s="386"/>
      <c r="O656" s="386"/>
      <c r="P656" s="386"/>
      <c r="Q656" s="386"/>
    </row>
    <row r="657" spans="1:17" ht="30" customHeight="1" x14ac:dyDescent="0.2">
      <c r="A657" s="2826">
        <v>381</v>
      </c>
      <c r="B657" s="2829" t="s">
        <v>1797</v>
      </c>
      <c r="C657" s="2847" t="s">
        <v>889</v>
      </c>
      <c r="D657" s="2821">
        <v>50000000</v>
      </c>
      <c r="E657" s="2871">
        <v>0.05</v>
      </c>
      <c r="F657" s="2821">
        <f>D657*E657</f>
        <v>2500000</v>
      </c>
      <c r="G657" s="2821">
        <v>2500000</v>
      </c>
      <c r="H657" s="2821" t="s">
        <v>4841</v>
      </c>
      <c r="I657" s="473" t="s">
        <v>3516</v>
      </c>
      <c r="J657" s="2821">
        <f>G657</f>
        <v>2500000</v>
      </c>
      <c r="K657" s="2859">
        <f>F657-J657</f>
        <v>0</v>
      </c>
      <c r="L657" s="2879"/>
      <c r="M657" s="386"/>
      <c r="N657" s="386"/>
      <c r="O657" s="386"/>
      <c r="P657" s="386"/>
      <c r="Q657" s="386"/>
    </row>
    <row r="658" spans="1:17" ht="30" customHeight="1" x14ac:dyDescent="0.2">
      <c r="A658" s="2826">
        <v>382</v>
      </c>
      <c r="B658" s="2829" t="s">
        <v>1812</v>
      </c>
      <c r="C658" s="2847" t="s">
        <v>262</v>
      </c>
      <c r="D658" s="2821">
        <v>150000000</v>
      </c>
      <c r="E658" s="2871"/>
      <c r="F658" s="2821"/>
      <c r="G658" s="2821"/>
      <c r="H658" s="2821"/>
      <c r="I658" s="473"/>
      <c r="J658" s="2821"/>
      <c r="K658" s="2859"/>
      <c r="L658" s="2879"/>
      <c r="M658" s="386"/>
      <c r="N658" s="386"/>
      <c r="O658" s="386"/>
      <c r="P658" s="386"/>
      <c r="Q658" s="386"/>
    </row>
    <row r="659" spans="1:17" ht="30" customHeight="1" x14ac:dyDescent="0.2">
      <c r="A659" s="2826">
        <v>383</v>
      </c>
      <c r="B659" s="2829" t="s">
        <v>1823</v>
      </c>
      <c r="C659" s="2847" t="s">
        <v>262</v>
      </c>
      <c r="D659" s="2821">
        <v>10000000</v>
      </c>
      <c r="E659" s="2871">
        <v>7.0000000000000007E-2</v>
      </c>
      <c r="F659" s="2821">
        <f t="shared" ref="F659:F665" si="69">D659*E659</f>
        <v>700000.00000000012</v>
      </c>
      <c r="G659" s="2821">
        <v>700000</v>
      </c>
      <c r="H659" s="2821" t="s">
        <v>5054</v>
      </c>
      <c r="I659" s="473" t="s">
        <v>2928</v>
      </c>
      <c r="J659" s="2821">
        <f>G659</f>
        <v>700000</v>
      </c>
      <c r="K659" s="2859">
        <f>F659-J659</f>
        <v>0</v>
      </c>
      <c r="L659" s="2879"/>
      <c r="M659" s="386"/>
      <c r="N659" s="386"/>
      <c r="O659" s="386"/>
      <c r="P659" s="386"/>
      <c r="Q659" s="386"/>
    </row>
    <row r="660" spans="1:17" ht="30" customHeight="1" x14ac:dyDescent="0.2">
      <c r="A660" s="625">
        <v>384</v>
      </c>
      <c r="B660" s="2829" t="s">
        <v>1861</v>
      </c>
      <c r="C660" s="2847" t="s">
        <v>262</v>
      </c>
      <c r="D660" s="2821">
        <v>150000000</v>
      </c>
      <c r="E660" s="2871">
        <v>7.0000000000000007E-2</v>
      </c>
      <c r="F660" s="2821">
        <f t="shared" si="69"/>
        <v>10500000.000000002</v>
      </c>
      <c r="G660" s="2821">
        <v>10500000</v>
      </c>
      <c r="H660" s="2821" t="s">
        <v>5017</v>
      </c>
      <c r="I660" s="473" t="s">
        <v>1960</v>
      </c>
      <c r="J660" s="2821">
        <f>G660</f>
        <v>10500000</v>
      </c>
      <c r="K660" s="2859">
        <f>F660-J660</f>
        <v>0</v>
      </c>
      <c r="L660" s="2879"/>
      <c r="M660" s="386"/>
      <c r="N660" s="386"/>
      <c r="O660" s="386"/>
      <c r="P660" s="386"/>
      <c r="Q660" s="386"/>
    </row>
    <row r="661" spans="1:17" ht="30" customHeight="1" x14ac:dyDescent="0.2">
      <c r="A661" s="2826">
        <v>385</v>
      </c>
      <c r="B661" s="2829" t="s">
        <v>1877</v>
      </c>
      <c r="C661" s="2847" t="s">
        <v>371</v>
      </c>
      <c r="D661" s="2821">
        <v>12000000</v>
      </c>
      <c r="E661" s="2871">
        <v>0.05</v>
      </c>
      <c r="F661" s="2821">
        <f t="shared" si="69"/>
        <v>600000</v>
      </c>
      <c r="G661" s="2821">
        <v>600000</v>
      </c>
      <c r="H661" s="2821" t="s">
        <v>5085</v>
      </c>
      <c r="I661" s="473" t="s">
        <v>2855</v>
      </c>
      <c r="J661" s="2821">
        <f>G661</f>
        <v>600000</v>
      </c>
      <c r="K661" s="2859">
        <f>F661-J661</f>
        <v>0</v>
      </c>
      <c r="L661" s="2879" t="s">
        <v>1878</v>
      </c>
      <c r="M661" s="386"/>
      <c r="N661" s="386"/>
      <c r="O661" s="386"/>
      <c r="P661" s="386"/>
      <c r="Q661" s="386"/>
    </row>
    <row r="662" spans="1:17" ht="30" customHeight="1" x14ac:dyDescent="0.2">
      <c r="A662" s="4459">
        <v>386</v>
      </c>
      <c r="B662" s="4457" t="s">
        <v>3092</v>
      </c>
      <c r="C662" s="4537" t="s">
        <v>1306</v>
      </c>
      <c r="D662" s="2820">
        <v>100000000</v>
      </c>
      <c r="E662" s="2822">
        <v>7.0000000000000007E-2</v>
      </c>
      <c r="F662" s="2820">
        <f t="shared" si="69"/>
        <v>7000000.0000000009</v>
      </c>
      <c r="G662" s="2821">
        <v>7000000</v>
      </c>
      <c r="H662" s="2941" t="s">
        <v>5214</v>
      </c>
      <c r="I662" s="2696" t="s">
        <v>1943</v>
      </c>
      <c r="J662" s="2820">
        <f>G662</f>
        <v>7000000</v>
      </c>
      <c r="K662" s="2858">
        <f>F662-J662</f>
        <v>0</v>
      </c>
      <c r="L662" s="2949" t="s">
        <v>4479</v>
      </c>
      <c r="M662" s="386"/>
      <c r="N662" s="386"/>
      <c r="O662" s="386"/>
      <c r="P662" s="386"/>
      <c r="Q662" s="386"/>
    </row>
    <row r="663" spans="1:17" ht="30" customHeight="1" x14ac:dyDescent="0.2">
      <c r="A663" s="4464"/>
      <c r="B663" s="4458"/>
      <c r="C663" s="4538"/>
      <c r="D663" s="4325" t="s">
        <v>4878</v>
      </c>
      <c r="E663" s="4326"/>
      <c r="F663" s="4563"/>
      <c r="G663" s="2821">
        <v>10000000</v>
      </c>
      <c r="H663" s="2941" t="s">
        <v>4877</v>
      </c>
      <c r="I663" s="2696" t="s">
        <v>1943</v>
      </c>
      <c r="J663" s="2934">
        <f>G663</f>
        <v>10000000</v>
      </c>
      <c r="K663" s="2943"/>
      <c r="L663" s="2858"/>
      <c r="M663" s="386"/>
      <c r="N663" s="386"/>
      <c r="O663" s="386"/>
      <c r="P663" s="386"/>
      <c r="Q663" s="386"/>
    </row>
    <row r="664" spans="1:17" ht="30" customHeight="1" x14ac:dyDescent="0.2">
      <c r="A664" s="4122">
        <v>387</v>
      </c>
      <c r="B664" s="4123" t="s">
        <v>1923</v>
      </c>
      <c r="C664" s="4124"/>
      <c r="D664" s="4114">
        <v>75000000</v>
      </c>
      <c r="E664" s="4120">
        <v>0.04</v>
      </c>
      <c r="F664" s="4114">
        <f t="shared" si="69"/>
        <v>3000000</v>
      </c>
      <c r="G664" s="2696"/>
      <c r="H664" s="2696"/>
      <c r="I664" s="2696"/>
      <c r="J664" s="2696"/>
      <c r="K664" s="2816"/>
      <c r="L664" s="2949"/>
      <c r="M664" s="386"/>
      <c r="N664" s="386"/>
      <c r="O664" s="386"/>
      <c r="P664" s="386"/>
      <c r="Q664" s="386"/>
    </row>
    <row r="665" spans="1:17" ht="30" customHeight="1" x14ac:dyDescent="0.2">
      <c r="A665" s="4614"/>
      <c r="B665" s="4615" t="s">
        <v>1953</v>
      </c>
      <c r="C665" s="4620" t="s">
        <v>3302</v>
      </c>
      <c r="D665" s="4322">
        <v>150000000</v>
      </c>
      <c r="E665" s="4608">
        <v>0.05</v>
      </c>
      <c r="F665" s="4322">
        <f t="shared" si="69"/>
        <v>7500000</v>
      </c>
      <c r="G665" s="4553">
        <v>7500000</v>
      </c>
      <c r="H665" s="4553" t="s">
        <v>5214</v>
      </c>
      <c r="I665" s="4553" t="s">
        <v>4583</v>
      </c>
      <c r="J665" s="4553">
        <f>G665</f>
        <v>7500000</v>
      </c>
      <c r="K665" s="4603">
        <f>G665-J665</f>
        <v>0</v>
      </c>
      <c r="L665" s="2885" t="s">
        <v>3300</v>
      </c>
      <c r="M665" s="386"/>
      <c r="N665" s="386"/>
      <c r="O665" s="386"/>
      <c r="P665" s="386"/>
      <c r="Q665" s="386"/>
    </row>
    <row r="666" spans="1:17" ht="30" customHeight="1" x14ac:dyDescent="0.2">
      <c r="A666" s="4614"/>
      <c r="B666" s="4615"/>
      <c r="C666" s="4620"/>
      <c r="D666" s="4322"/>
      <c r="E666" s="4608"/>
      <c r="F666" s="4322"/>
      <c r="G666" s="4554"/>
      <c r="H666" s="4554"/>
      <c r="I666" s="4554"/>
      <c r="J666" s="4554"/>
      <c r="K666" s="4604"/>
      <c r="L666" s="2879" t="s">
        <v>3301</v>
      </c>
      <c r="M666" s="386"/>
      <c r="N666" s="386"/>
      <c r="O666" s="386"/>
      <c r="P666" s="386"/>
      <c r="Q666" s="386"/>
    </row>
    <row r="667" spans="1:17" ht="30" customHeight="1" x14ac:dyDescent="0.2">
      <c r="A667" s="2826">
        <v>390</v>
      </c>
      <c r="B667" s="2829" t="s">
        <v>1996</v>
      </c>
      <c r="C667" s="2847" t="s">
        <v>889</v>
      </c>
      <c r="D667" s="2821">
        <v>5000000</v>
      </c>
      <c r="E667" s="2823">
        <v>0.05</v>
      </c>
      <c r="F667" s="2821">
        <f>D667*E667</f>
        <v>250000</v>
      </c>
      <c r="G667" s="2821">
        <v>250000</v>
      </c>
      <c r="H667" s="2821" t="s">
        <v>4848</v>
      </c>
      <c r="I667" s="473" t="s">
        <v>2533</v>
      </c>
      <c r="J667" s="2821">
        <f>G667</f>
        <v>250000</v>
      </c>
      <c r="K667" s="2859">
        <f>F667-J667</f>
        <v>0</v>
      </c>
      <c r="L667" s="2879"/>
      <c r="M667" s="386"/>
      <c r="N667" s="386"/>
      <c r="O667" s="386"/>
      <c r="P667" s="386"/>
      <c r="Q667" s="386"/>
    </row>
    <row r="668" spans="1:17" ht="30" customHeight="1" x14ac:dyDescent="0.2">
      <c r="A668" s="4614">
        <v>391</v>
      </c>
      <c r="B668" s="4615" t="s">
        <v>2003</v>
      </c>
      <c r="C668" s="4620" t="s">
        <v>3390</v>
      </c>
      <c r="D668" s="4322">
        <v>1000000000</v>
      </c>
      <c r="E668" s="4608">
        <v>0.05</v>
      </c>
      <c r="F668" s="4322">
        <f>D668*E668</f>
        <v>50000000</v>
      </c>
      <c r="G668" s="4413">
        <v>50000000</v>
      </c>
      <c r="H668" s="4413" t="s">
        <v>5205</v>
      </c>
      <c r="I668" s="4413" t="s">
        <v>3200</v>
      </c>
      <c r="J668" s="4413">
        <f>G668</f>
        <v>50000000</v>
      </c>
      <c r="K668" s="4413">
        <f>F668-J668</f>
        <v>0</v>
      </c>
      <c r="L668" s="4675"/>
      <c r="M668" s="386"/>
      <c r="N668" s="386"/>
      <c r="O668" s="386"/>
      <c r="P668" s="386"/>
      <c r="Q668" s="386"/>
    </row>
    <row r="669" spans="1:17" ht="30" customHeight="1" x14ac:dyDescent="0.2">
      <c r="A669" s="4614"/>
      <c r="B669" s="4615"/>
      <c r="C669" s="4620"/>
      <c r="D669" s="4322"/>
      <c r="E669" s="4608"/>
      <c r="F669" s="4322"/>
      <c r="G669" s="4415"/>
      <c r="H669" s="4415"/>
      <c r="I669" s="4415"/>
      <c r="J669" s="4415"/>
      <c r="K669" s="4415"/>
      <c r="L669" s="4676"/>
      <c r="M669" s="386"/>
      <c r="N669" s="386"/>
      <c r="O669" s="386"/>
      <c r="P669" s="386"/>
      <c r="Q669" s="386"/>
    </row>
    <row r="670" spans="1:17" ht="30" customHeight="1" x14ac:dyDescent="0.2">
      <c r="A670" s="2826">
        <v>392</v>
      </c>
      <c r="B670" s="2829" t="s">
        <v>2048</v>
      </c>
      <c r="C670" s="2847" t="s">
        <v>1294</v>
      </c>
      <c r="D670" s="2821">
        <v>50000000</v>
      </c>
      <c r="E670" s="2871">
        <v>0.05</v>
      </c>
      <c r="F670" s="2821">
        <f>D670*E670</f>
        <v>2500000</v>
      </c>
      <c r="G670" s="2821">
        <v>2500000</v>
      </c>
      <c r="H670" s="2821" t="s">
        <v>5229</v>
      </c>
      <c r="I670" s="473" t="s">
        <v>3047</v>
      </c>
      <c r="J670" s="2821">
        <f>G670</f>
        <v>2500000</v>
      </c>
      <c r="K670" s="2859">
        <f>F670-J670</f>
        <v>0</v>
      </c>
      <c r="L670" s="2879"/>
      <c r="M670" s="386"/>
      <c r="N670" s="386"/>
      <c r="O670" s="386"/>
      <c r="P670" s="386"/>
      <c r="Q670" s="386"/>
    </row>
    <row r="671" spans="1:17" ht="30" customHeight="1" x14ac:dyDescent="0.2">
      <c r="A671" s="2876"/>
      <c r="B671" s="19" t="s">
        <v>2040</v>
      </c>
      <c r="C671" s="2873"/>
      <c r="D671" s="2818">
        <v>70000000</v>
      </c>
      <c r="E671" s="2871">
        <v>0.05</v>
      </c>
      <c r="F671" s="2848">
        <f>D671*E671</f>
        <v>3500000</v>
      </c>
      <c r="G671" s="2848">
        <v>3500000</v>
      </c>
      <c r="H671" s="2848" t="s">
        <v>5176</v>
      </c>
      <c r="I671" s="2848" t="s">
        <v>3537</v>
      </c>
      <c r="J671" s="2848">
        <f>G671</f>
        <v>3500000</v>
      </c>
      <c r="K671" s="2816">
        <f>F671-J671</f>
        <v>0</v>
      </c>
      <c r="L671" s="2879"/>
      <c r="M671" s="386"/>
      <c r="N671" s="386"/>
      <c r="O671" s="386"/>
      <c r="P671" s="386"/>
      <c r="Q671" s="386"/>
    </row>
    <row r="672" spans="1:17" ht="30" customHeight="1" x14ac:dyDescent="0.2">
      <c r="A672" s="4464"/>
      <c r="B672" s="2889" t="s">
        <v>2052</v>
      </c>
      <c r="C672" s="4859" t="s">
        <v>1306</v>
      </c>
      <c r="D672" s="2886">
        <v>600000000</v>
      </c>
      <c r="E672" s="2900">
        <v>0.06</v>
      </c>
      <c r="F672" s="2886">
        <f>D672*E672</f>
        <v>36000000</v>
      </c>
      <c r="G672" s="4414"/>
      <c r="H672" s="4414"/>
      <c r="I672" s="4871"/>
      <c r="J672" s="4414"/>
      <c r="K672" s="2859"/>
      <c r="L672" s="2879"/>
      <c r="M672" s="386"/>
      <c r="N672" s="386"/>
      <c r="O672" s="386"/>
      <c r="P672" s="386"/>
      <c r="Q672" s="386"/>
    </row>
    <row r="673" spans="1:17" ht="30" customHeight="1" x14ac:dyDescent="0.2">
      <c r="A673" s="4464"/>
      <c r="B673" s="2889" t="s">
        <v>2049</v>
      </c>
      <c r="C673" s="4859"/>
      <c r="D673" s="2886">
        <v>310000000</v>
      </c>
      <c r="E673" s="680">
        <v>0.06</v>
      </c>
      <c r="F673" s="2886">
        <f t="shared" ref="F673:F677" si="70">D673*E673</f>
        <v>18600000</v>
      </c>
      <c r="G673" s="4414"/>
      <c r="H673" s="4414"/>
      <c r="I673" s="4871"/>
      <c r="J673" s="4414"/>
      <c r="K673" s="2859"/>
      <c r="L673" s="2879"/>
      <c r="M673" s="386"/>
      <c r="N673" s="386"/>
      <c r="O673" s="386"/>
      <c r="P673" s="386"/>
      <c r="Q673" s="386"/>
    </row>
    <row r="674" spans="1:17" ht="30" customHeight="1" x14ac:dyDescent="0.2">
      <c r="A674" s="4464"/>
      <c r="B674" s="2889" t="s">
        <v>2053</v>
      </c>
      <c r="C674" s="4859"/>
      <c r="D674" s="2886">
        <v>50000000</v>
      </c>
      <c r="E674" s="680">
        <v>0.06</v>
      </c>
      <c r="F674" s="2886">
        <f t="shared" si="70"/>
        <v>3000000</v>
      </c>
      <c r="G674" s="4414"/>
      <c r="H674" s="4414"/>
      <c r="I674" s="4871"/>
      <c r="J674" s="4414"/>
      <c r="K674" s="2859"/>
      <c r="L674" s="2879"/>
      <c r="M674" s="386"/>
      <c r="N674" s="386"/>
      <c r="O674" s="386"/>
      <c r="P674" s="386"/>
      <c r="Q674" s="386"/>
    </row>
    <row r="675" spans="1:17" ht="30" customHeight="1" x14ac:dyDescent="0.2">
      <c r="A675" s="4464"/>
      <c r="B675" s="2889" t="s">
        <v>2050</v>
      </c>
      <c r="C675" s="4859"/>
      <c r="D675" s="2886">
        <v>110000000</v>
      </c>
      <c r="E675" s="680">
        <v>0.06</v>
      </c>
      <c r="F675" s="2886">
        <f t="shared" si="70"/>
        <v>6600000</v>
      </c>
      <c r="G675" s="4414"/>
      <c r="H675" s="4414"/>
      <c r="I675" s="4871"/>
      <c r="J675" s="4414"/>
      <c r="K675" s="2859"/>
      <c r="L675" s="2879"/>
      <c r="M675" s="386"/>
      <c r="N675" s="386"/>
      <c r="O675" s="386"/>
      <c r="P675" s="386"/>
      <c r="Q675" s="386"/>
    </row>
    <row r="676" spans="1:17" ht="30" customHeight="1" x14ac:dyDescent="0.2">
      <c r="A676" s="4464"/>
      <c r="B676" s="2889" t="s">
        <v>2051</v>
      </c>
      <c r="C676" s="4860"/>
      <c r="D676" s="2886">
        <v>100000000</v>
      </c>
      <c r="E676" s="680">
        <v>0.06</v>
      </c>
      <c r="F676" s="2886">
        <f t="shared" si="70"/>
        <v>6000000</v>
      </c>
      <c r="G676" s="4415"/>
      <c r="H676" s="4415"/>
      <c r="I676" s="4790"/>
      <c r="J676" s="4415"/>
      <c r="K676" s="2859"/>
      <c r="L676" s="2879"/>
      <c r="M676" s="386"/>
      <c r="N676" s="386"/>
      <c r="O676" s="386"/>
      <c r="P676" s="386"/>
      <c r="Q676" s="386"/>
    </row>
    <row r="677" spans="1:17" ht="30" customHeight="1" x14ac:dyDescent="0.2">
      <c r="A677" s="4464"/>
      <c r="B677" s="1792" t="s">
        <v>4590</v>
      </c>
      <c r="C677" s="2894"/>
      <c r="D677" s="2895">
        <v>50000000</v>
      </c>
      <c r="E677" s="2899">
        <v>0.06</v>
      </c>
      <c r="F677" s="2895">
        <f t="shared" si="70"/>
        <v>3000000</v>
      </c>
      <c r="G677" s="4469" t="s">
        <v>4592</v>
      </c>
      <c r="H677" s="4470"/>
      <c r="I677" s="4470"/>
      <c r="J677" s="4471"/>
      <c r="K677" s="2877"/>
      <c r="L677" s="2855"/>
      <c r="M677" s="386"/>
      <c r="N677" s="386"/>
      <c r="O677" s="386"/>
      <c r="P677" s="386"/>
      <c r="Q677" s="386"/>
    </row>
    <row r="678" spans="1:17" ht="30" customHeight="1" x14ac:dyDescent="0.2">
      <c r="A678" s="4464"/>
      <c r="B678" s="4813" t="s">
        <v>3423</v>
      </c>
      <c r="C678" s="4858" t="s">
        <v>1306</v>
      </c>
      <c r="D678" s="4861">
        <f>SUM(D672:D677)</f>
        <v>1220000000</v>
      </c>
      <c r="E678" s="4802"/>
      <c r="F678" s="4861">
        <f>SUM(F672:F677)</f>
        <v>73200000</v>
      </c>
      <c r="G678" s="4941" t="s">
        <v>4591</v>
      </c>
      <c r="H678" s="4942"/>
      <c r="I678" s="4942"/>
      <c r="J678" s="4943"/>
      <c r="K678" s="4603">
        <f>F678-J678</f>
        <v>73200000</v>
      </c>
      <c r="L678" s="4603"/>
      <c r="M678" s="386"/>
      <c r="N678" s="386"/>
      <c r="O678" s="386"/>
      <c r="P678" s="386"/>
      <c r="Q678" s="386"/>
    </row>
    <row r="679" spans="1:17" ht="30" customHeight="1" x14ac:dyDescent="0.2">
      <c r="A679" s="4460"/>
      <c r="B679" s="4814"/>
      <c r="C679" s="4860"/>
      <c r="D679" s="4863"/>
      <c r="E679" s="4803"/>
      <c r="F679" s="4863"/>
      <c r="G679" s="4944"/>
      <c r="H679" s="4945"/>
      <c r="I679" s="4945"/>
      <c r="J679" s="4946"/>
      <c r="K679" s="4604"/>
      <c r="L679" s="4604"/>
      <c r="M679" s="386"/>
      <c r="N679" s="386"/>
      <c r="O679" s="386"/>
      <c r="P679" s="386"/>
      <c r="Q679" s="386"/>
    </row>
    <row r="680" spans="1:17" ht="30" customHeight="1" x14ac:dyDescent="0.2">
      <c r="A680" s="2876"/>
      <c r="B680" s="2874" t="s">
        <v>2069</v>
      </c>
      <c r="C680" s="2873" t="s">
        <v>3323</v>
      </c>
      <c r="D680" s="2848">
        <v>200000000</v>
      </c>
      <c r="E680" s="2871">
        <v>7.0000000000000007E-2</v>
      </c>
      <c r="F680" s="2848">
        <f t="shared" ref="F680:F684" si="71">D680*E680</f>
        <v>14000000.000000002</v>
      </c>
      <c r="G680" s="2821">
        <v>14000000</v>
      </c>
      <c r="H680" s="2821" t="s">
        <v>5108</v>
      </c>
      <c r="I680" s="473" t="s">
        <v>1076</v>
      </c>
      <c r="J680" s="2848">
        <f>G680</f>
        <v>14000000</v>
      </c>
      <c r="K680" s="2816">
        <f>F680-J680</f>
        <v>0</v>
      </c>
      <c r="L680" s="2858"/>
      <c r="M680" s="386"/>
      <c r="N680" s="386"/>
      <c r="O680" s="386"/>
      <c r="P680" s="386"/>
      <c r="Q680" s="386"/>
    </row>
    <row r="681" spans="1:17" ht="30" customHeight="1" x14ac:dyDescent="0.2">
      <c r="A681" s="2826"/>
      <c r="B681" s="2829" t="s">
        <v>2089</v>
      </c>
      <c r="C681" s="2847" t="s">
        <v>2278</v>
      </c>
      <c r="D681" s="2821">
        <v>13000000</v>
      </c>
      <c r="E681" s="2871">
        <v>0.05</v>
      </c>
      <c r="F681" s="2821">
        <f t="shared" si="71"/>
        <v>650000</v>
      </c>
      <c r="G681" s="2821">
        <v>650000</v>
      </c>
      <c r="H681" s="2821" t="s">
        <v>5156</v>
      </c>
      <c r="I681" s="473" t="s">
        <v>2984</v>
      </c>
      <c r="J681" s="2821">
        <f>G681</f>
        <v>650000</v>
      </c>
      <c r="K681" s="2859">
        <f>F681-J681</f>
        <v>0</v>
      </c>
      <c r="L681" s="2879"/>
      <c r="M681" s="386"/>
      <c r="N681" s="386"/>
      <c r="O681" s="386"/>
      <c r="P681" s="386"/>
      <c r="Q681" s="386"/>
    </row>
    <row r="682" spans="1:17" ht="30" customHeight="1" x14ac:dyDescent="0.2">
      <c r="A682" s="2826"/>
      <c r="B682" s="2829" t="s">
        <v>2128</v>
      </c>
      <c r="C682" s="2847" t="s">
        <v>1287</v>
      </c>
      <c r="D682" s="2821">
        <v>50000000</v>
      </c>
      <c r="E682" s="2871">
        <v>0.04</v>
      </c>
      <c r="F682" s="2821">
        <f t="shared" si="71"/>
        <v>2000000</v>
      </c>
      <c r="G682" s="2821">
        <v>2000000</v>
      </c>
      <c r="H682" s="2821" t="s">
        <v>5018</v>
      </c>
      <c r="I682" s="473" t="s">
        <v>2169</v>
      </c>
      <c r="J682" s="2821">
        <f>G682</f>
        <v>2000000</v>
      </c>
      <c r="K682" s="2859">
        <f>F682-G682</f>
        <v>0</v>
      </c>
      <c r="L682" s="2879"/>
      <c r="M682" s="386"/>
      <c r="N682" s="386"/>
      <c r="O682" s="386"/>
      <c r="P682" s="386"/>
      <c r="Q682" s="386"/>
    </row>
    <row r="683" spans="1:17" ht="30" customHeight="1" x14ac:dyDescent="0.2">
      <c r="A683" s="2825"/>
      <c r="B683" s="2869" t="s">
        <v>2129</v>
      </c>
      <c r="C683" s="2847" t="s">
        <v>372</v>
      </c>
      <c r="D683" s="2820">
        <v>100000000</v>
      </c>
      <c r="E683" s="2822">
        <v>0.05</v>
      </c>
      <c r="F683" s="2820">
        <f t="shared" si="71"/>
        <v>5000000</v>
      </c>
      <c r="G683" s="2831">
        <v>5000000</v>
      </c>
      <c r="H683" s="2831" t="s">
        <v>5054</v>
      </c>
      <c r="I683" s="1664" t="s">
        <v>3581</v>
      </c>
      <c r="J683" s="2820">
        <f>G683</f>
        <v>5000000</v>
      </c>
      <c r="K683" s="2858">
        <f>F683-J683</f>
        <v>0</v>
      </c>
      <c r="L683" s="2858"/>
      <c r="M683" s="386"/>
      <c r="N683" s="386"/>
      <c r="O683" s="386"/>
      <c r="P683" s="386"/>
      <c r="Q683" s="386"/>
    </row>
    <row r="684" spans="1:17" s="1540" customFormat="1" ht="30" customHeight="1" x14ac:dyDescent="0.2">
      <c r="A684" s="2876"/>
      <c r="B684" s="2874" t="s">
        <v>2208</v>
      </c>
      <c r="C684" s="2873" t="s">
        <v>1306</v>
      </c>
      <c r="D684" s="2848">
        <v>30000000</v>
      </c>
      <c r="E684" s="2871">
        <v>0.05</v>
      </c>
      <c r="F684" s="2848">
        <f t="shared" si="71"/>
        <v>1500000</v>
      </c>
      <c r="G684" s="2848">
        <v>1500000</v>
      </c>
      <c r="H684" s="2848" t="s">
        <v>5230</v>
      </c>
      <c r="I684" s="2848" t="s">
        <v>3204</v>
      </c>
      <c r="J684" s="2848">
        <f>G684</f>
        <v>1500000</v>
      </c>
      <c r="K684" s="2848">
        <f>F684-J684</f>
        <v>0</v>
      </c>
      <c r="L684" s="2879"/>
      <c r="M684" s="387"/>
      <c r="N684" s="387"/>
      <c r="O684" s="387"/>
      <c r="P684" s="387"/>
      <c r="Q684" s="387"/>
    </row>
    <row r="685" spans="1:17" ht="30" customHeight="1" x14ac:dyDescent="0.2">
      <c r="A685" s="2826"/>
      <c r="B685" s="2829" t="s">
        <v>2303</v>
      </c>
      <c r="C685" s="2847"/>
      <c r="D685" s="2821">
        <v>100000000</v>
      </c>
      <c r="E685" s="2871">
        <v>4.4999999999999998E-2</v>
      </c>
      <c r="F685" s="2821">
        <f>D685*E685</f>
        <v>4500000</v>
      </c>
      <c r="G685" s="2821"/>
      <c r="H685" s="2821"/>
      <c r="I685" s="473" t="s">
        <v>2304</v>
      </c>
      <c r="J685" s="2821">
        <f t="shared" ref="J685:J689" si="72">G685</f>
        <v>0</v>
      </c>
      <c r="K685" s="2859">
        <f>F685-J685</f>
        <v>4500000</v>
      </c>
      <c r="L685" s="2879" t="s">
        <v>4830</v>
      </c>
      <c r="M685" s="386"/>
      <c r="N685" s="386"/>
      <c r="O685" s="386"/>
      <c r="P685" s="386"/>
      <c r="Q685" s="386"/>
    </row>
    <row r="686" spans="1:17" ht="30" customHeight="1" x14ac:dyDescent="0.2">
      <c r="A686" s="2826"/>
      <c r="B686" s="2829" t="s">
        <v>2344</v>
      </c>
      <c r="C686" s="2847" t="s">
        <v>1306</v>
      </c>
      <c r="D686" s="2821">
        <v>25000000</v>
      </c>
      <c r="E686" s="2871">
        <v>0.04</v>
      </c>
      <c r="F686" s="2821">
        <f>D686*E686</f>
        <v>1000000</v>
      </c>
      <c r="G686" s="2821">
        <v>1000000</v>
      </c>
      <c r="H686" s="2821" t="s">
        <v>5229</v>
      </c>
      <c r="I686" s="473" t="s">
        <v>2346</v>
      </c>
      <c r="J686" s="2821">
        <f t="shared" si="72"/>
        <v>1000000</v>
      </c>
      <c r="K686" s="2859">
        <f>F686-J686</f>
        <v>0</v>
      </c>
      <c r="L686" s="2879"/>
      <c r="M686" s="386"/>
      <c r="N686" s="386"/>
      <c r="O686" s="386"/>
      <c r="P686" s="386"/>
      <c r="Q686" s="386"/>
    </row>
    <row r="687" spans="1:17" ht="30" customHeight="1" x14ac:dyDescent="0.2">
      <c r="A687" s="2826"/>
      <c r="B687" s="2829" t="s">
        <v>2385</v>
      </c>
      <c r="C687" s="2847"/>
      <c r="D687" s="2838"/>
      <c r="E687" s="2521"/>
      <c r="F687" s="2838"/>
      <c r="G687" s="2821"/>
      <c r="H687" s="2821"/>
      <c r="I687" s="473"/>
      <c r="J687" s="2821">
        <f t="shared" si="72"/>
        <v>0</v>
      </c>
      <c r="K687" s="2865">
        <f>F687-J687</f>
        <v>0</v>
      </c>
      <c r="L687" s="2879"/>
      <c r="M687" s="386"/>
      <c r="N687" s="386"/>
      <c r="O687" s="386"/>
      <c r="P687" s="386"/>
      <c r="Q687" s="386"/>
    </row>
    <row r="688" spans="1:17" ht="30" customHeight="1" x14ac:dyDescent="0.2">
      <c r="A688" s="1029"/>
      <c r="B688" s="2996" t="s">
        <v>2388</v>
      </c>
      <c r="C688" s="2997" t="s">
        <v>1172</v>
      </c>
      <c r="D688" s="2935">
        <v>110000000</v>
      </c>
      <c r="E688" s="2945">
        <v>0.05</v>
      </c>
      <c r="F688" s="2935">
        <f>D688*E688</f>
        <v>5500000</v>
      </c>
      <c r="G688" s="2941">
        <v>3500000</v>
      </c>
      <c r="H688" s="2941" t="s">
        <v>4893</v>
      </c>
      <c r="I688" s="2696" t="s">
        <v>4909</v>
      </c>
      <c r="J688" s="2941">
        <f>G688</f>
        <v>3500000</v>
      </c>
      <c r="K688" s="2932">
        <v>0</v>
      </c>
      <c r="L688" s="2879" t="s">
        <v>4831</v>
      </c>
      <c r="M688" s="386"/>
      <c r="N688" s="386"/>
      <c r="O688" s="386"/>
      <c r="P688" s="386"/>
      <c r="Q688" s="386"/>
    </row>
    <row r="689" spans="1:17" ht="30" customHeight="1" x14ac:dyDescent="0.2">
      <c r="A689" s="4459"/>
      <c r="B689" s="4457" t="s">
        <v>2647</v>
      </c>
      <c r="C689" s="4620" t="s">
        <v>1652</v>
      </c>
      <c r="D689" s="2821">
        <v>100000000</v>
      </c>
      <c r="E689" s="2871">
        <v>0.05</v>
      </c>
      <c r="F689" s="2821">
        <f t="shared" ref="F689:F712" si="73">D689*E689</f>
        <v>5000000</v>
      </c>
      <c r="G689" s="4413">
        <v>16000000</v>
      </c>
      <c r="H689" s="4413" t="s">
        <v>4893</v>
      </c>
      <c r="I689" s="4413" t="s">
        <v>4507</v>
      </c>
      <c r="J689" s="4413">
        <f t="shared" si="72"/>
        <v>16000000</v>
      </c>
      <c r="K689" s="4603">
        <f>(F689+F690)-J689</f>
        <v>0</v>
      </c>
      <c r="L689" s="4675"/>
      <c r="M689" s="386"/>
      <c r="N689" s="386"/>
      <c r="O689" s="386"/>
      <c r="P689" s="386"/>
      <c r="Q689" s="386"/>
    </row>
    <row r="690" spans="1:17" ht="30" customHeight="1" x14ac:dyDescent="0.2">
      <c r="A690" s="4464"/>
      <c r="B690" s="4488"/>
      <c r="C690" s="4620"/>
      <c r="D690" s="2821">
        <v>220000000</v>
      </c>
      <c r="E690" s="2871">
        <v>0.05</v>
      </c>
      <c r="F690" s="2821">
        <f t="shared" si="73"/>
        <v>11000000</v>
      </c>
      <c r="G690" s="4415"/>
      <c r="H690" s="4415"/>
      <c r="I690" s="4415"/>
      <c r="J690" s="4415"/>
      <c r="K690" s="4604"/>
      <c r="L690" s="4676"/>
      <c r="M690" s="386"/>
      <c r="N690" s="386"/>
      <c r="O690" s="386"/>
      <c r="P690" s="386"/>
      <c r="Q690" s="386"/>
    </row>
    <row r="691" spans="1:17" ht="30" customHeight="1" x14ac:dyDescent="0.2">
      <c r="A691" s="4464"/>
      <c r="B691" s="4488"/>
      <c r="C691" s="4537" t="s">
        <v>3390</v>
      </c>
      <c r="D691" s="4413">
        <v>1000000000</v>
      </c>
      <c r="E691" s="4476">
        <v>6.5000000000000002E-2</v>
      </c>
      <c r="F691" s="4413">
        <f>D691*E691</f>
        <v>65000000</v>
      </c>
      <c r="G691" s="4413">
        <v>65000000</v>
      </c>
      <c r="H691" s="4413" t="s">
        <v>5205</v>
      </c>
      <c r="I691" s="4413" t="s">
        <v>4507</v>
      </c>
      <c r="J691" s="4413">
        <f>G691+G692</f>
        <v>65000000</v>
      </c>
      <c r="K691" s="4603">
        <f>F691-J691</f>
        <v>0</v>
      </c>
      <c r="L691" s="2856"/>
      <c r="M691" s="386"/>
      <c r="N691" s="386"/>
      <c r="O691" s="386"/>
      <c r="P691" s="386"/>
      <c r="Q691" s="386"/>
    </row>
    <row r="692" spans="1:17" ht="30" customHeight="1" x14ac:dyDescent="0.2">
      <c r="A692" s="4460"/>
      <c r="B692" s="4458"/>
      <c r="C692" s="4538"/>
      <c r="D692" s="4415"/>
      <c r="E692" s="4477"/>
      <c r="F692" s="4415"/>
      <c r="G692" s="4415"/>
      <c r="H692" s="4415"/>
      <c r="I692" s="4415"/>
      <c r="J692" s="4415"/>
      <c r="K692" s="4604"/>
      <c r="L692" s="2879"/>
      <c r="M692" s="386"/>
      <c r="N692" s="386"/>
      <c r="O692" s="386"/>
      <c r="P692" s="386"/>
      <c r="Q692" s="386"/>
    </row>
    <row r="693" spans="1:17" ht="30" customHeight="1" x14ac:dyDescent="0.2">
      <c r="A693" s="4459"/>
      <c r="B693" s="4457" t="s">
        <v>2407</v>
      </c>
      <c r="C693" s="4537" t="s">
        <v>1299</v>
      </c>
      <c r="D693" s="2821">
        <v>20000000</v>
      </c>
      <c r="E693" s="2871">
        <v>0.05</v>
      </c>
      <c r="F693" s="2821">
        <f t="shared" si="73"/>
        <v>1000000</v>
      </c>
      <c r="G693" s="4413">
        <v>1600000</v>
      </c>
      <c r="H693" s="4413" t="s">
        <v>5176</v>
      </c>
      <c r="I693" s="4789" t="s">
        <v>4126</v>
      </c>
      <c r="J693" s="4413">
        <f>G693</f>
        <v>1600000</v>
      </c>
      <c r="K693" s="4603"/>
      <c r="L693" s="2879"/>
      <c r="M693" s="386"/>
      <c r="N693" s="386"/>
      <c r="O693" s="386"/>
      <c r="P693" s="386"/>
      <c r="Q693" s="386"/>
    </row>
    <row r="694" spans="1:17" ht="30" customHeight="1" x14ac:dyDescent="0.2">
      <c r="A694" s="4460"/>
      <c r="B694" s="4458"/>
      <c r="C694" s="4538"/>
      <c r="D694" s="2982">
        <v>20000000</v>
      </c>
      <c r="E694" s="3229">
        <v>0.06</v>
      </c>
      <c r="F694" s="3222">
        <f t="shared" si="73"/>
        <v>1200000</v>
      </c>
      <c r="G694" s="4415"/>
      <c r="H694" s="4415"/>
      <c r="I694" s="4790"/>
      <c r="J694" s="4415"/>
      <c r="K694" s="4604"/>
      <c r="L694" s="3434" t="s">
        <v>5259</v>
      </c>
      <c r="M694" s="386"/>
      <c r="N694" s="386"/>
      <c r="O694" s="386"/>
      <c r="P694" s="386"/>
      <c r="Q694" s="386"/>
    </row>
    <row r="695" spans="1:17" ht="30" customHeight="1" x14ac:dyDescent="0.2">
      <c r="A695" s="4459"/>
      <c r="B695" s="4457" t="s">
        <v>4883</v>
      </c>
      <c r="C695" s="4537" t="s">
        <v>402</v>
      </c>
      <c r="D695" s="2982">
        <v>30000000</v>
      </c>
      <c r="E695" s="2995">
        <v>0.06</v>
      </c>
      <c r="F695" s="2982">
        <f t="shared" si="73"/>
        <v>1800000</v>
      </c>
      <c r="G695" s="2982"/>
      <c r="H695" s="2982"/>
      <c r="I695" s="473"/>
      <c r="J695" s="2982"/>
      <c r="K695" s="3031"/>
      <c r="L695" s="3434" t="s">
        <v>5260</v>
      </c>
      <c r="M695" s="386"/>
      <c r="N695" s="386"/>
      <c r="O695" s="386"/>
      <c r="P695" s="386"/>
      <c r="Q695" s="386"/>
    </row>
    <row r="696" spans="1:17" ht="30" customHeight="1" x14ac:dyDescent="0.2">
      <c r="A696" s="4460"/>
      <c r="B696" s="4458"/>
      <c r="C696" s="4538"/>
      <c r="D696" s="3445">
        <v>20000000</v>
      </c>
      <c r="E696" s="3464">
        <v>0.06</v>
      </c>
      <c r="F696" s="3445">
        <f t="shared" si="73"/>
        <v>1200000</v>
      </c>
      <c r="G696" s="3453"/>
      <c r="H696" s="3458"/>
      <c r="I696" s="3484"/>
      <c r="J696" s="3454"/>
      <c r="K696" s="3031"/>
      <c r="L696" s="3459" t="s">
        <v>5326</v>
      </c>
      <c r="M696" s="386"/>
      <c r="N696" s="386"/>
      <c r="O696" s="386"/>
      <c r="P696" s="386"/>
      <c r="Q696" s="386"/>
    </row>
    <row r="697" spans="1:17" ht="30" customHeight="1" x14ac:dyDescent="0.2">
      <c r="A697" s="4459"/>
      <c r="B697" s="4457" t="s">
        <v>234</v>
      </c>
      <c r="C697" s="4537" t="s">
        <v>1172</v>
      </c>
      <c r="D697" s="3216">
        <v>60000000</v>
      </c>
      <c r="E697" s="3217">
        <v>0.05</v>
      </c>
      <c r="F697" s="3216">
        <f>D697*E697</f>
        <v>3000000</v>
      </c>
      <c r="G697" s="4469" t="s">
        <v>4903</v>
      </c>
      <c r="H697" s="4470"/>
      <c r="I697" s="4470"/>
      <c r="J697" s="4471"/>
      <c r="K697" s="3031"/>
      <c r="L697" s="3459" t="s">
        <v>4271</v>
      </c>
      <c r="M697" s="386"/>
      <c r="N697" s="386"/>
      <c r="O697" s="386"/>
      <c r="P697" s="386"/>
      <c r="Q697" s="386"/>
    </row>
    <row r="698" spans="1:17" ht="30" customHeight="1" x14ac:dyDescent="0.2">
      <c r="A698" s="4460"/>
      <c r="B698" s="4458"/>
      <c r="C698" s="4538"/>
      <c r="D698" s="3445">
        <v>30000000</v>
      </c>
      <c r="E698" s="3464">
        <v>0.06</v>
      </c>
      <c r="F698" s="3445">
        <f>D698*E698</f>
        <v>1800000</v>
      </c>
      <c r="G698" s="3450"/>
      <c r="H698" s="3468"/>
      <c r="I698" s="3468"/>
      <c r="J698" s="3469"/>
      <c r="K698" s="3485"/>
      <c r="L698" s="3459" t="s">
        <v>5327</v>
      </c>
      <c r="M698" s="386"/>
      <c r="N698" s="386"/>
      <c r="O698" s="386"/>
      <c r="P698" s="386"/>
      <c r="Q698" s="386"/>
    </row>
    <row r="699" spans="1:17" ht="30" customHeight="1" x14ac:dyDescent="0.2">
      <c r="A699" s="4459"/>
      <c r="B699" s="4457" t="s">
        <v>4948</v>
      </c>
      <c r="C699" s="4537" t="s">
        <v>1299</v>
      </c>
      <c r="D699" s="3061">
        <v>30000000</v>
      </c>
      <c r="E699" s="3070">
        <v>0.05</v>
      </c>
      <c r="F699" s="3061">
        <f>D699*E699</f>
        <v>1500000</v>
      </c>
      <c r="G699" s="4322">
        <v>1200000</v>
      </c>
      <c r="H699" s="4413" t="s">
        <v>5205</v>
      </c>
      <c r="I699" s="4413" t="s">
        <v>5207</v>
      </c>
      <c r="J699" s="4413">
        <f>G699</f>
        <v>1200000</v>
      </c>
      <c r="K699" s="4413"/>
      <c r="L699" s="3459" t="s">
        <v>5151</v>
      </c>
      <c r="M699" s="386"/>
      <c r="N699" s="386"/>
      <c r="O699" s="386"/>
      <c r="P699" s="386"/>
      <c r="Q699" s="386"/>
    </row>
    <row r="700" spans="1:17" ht="30" customHeight="1" x14ac:dyDescent="0.2">
      <c r="A700" s="4460"/>
      <c r="B700" s="4458"/>
      <c r="C700" s="4538"/>
      <c r="D700" s="3216">
        <v>10000000</v>
      </c>
      <c r="E700" s="3217">
        <v>7.0000000000000007E-2</v>
      </c>
      <c r="F700" s="3216">
        <f>D700*E700</f>
        <v>700000.00000000012</v>
      </c>
      <c r="G700" s="4322"/>
      <c r="H700" s="4415"/>
      <c r="I700" s="4415"/>
      <c r="J700" s="4415"/>
      <c r="K700" s="4415"/>
      <c r="L700" s="3459" t="s">
        <v>5152</v>
      </c>
      <c r="M700" s="386"/>
      <c r="N700" s="386"/>
      <c r="O700" s="386"/>
      <c r="P700" s="386"/>
      <c r="Q700" s="386"/>
    </row>
    <row r="701" spans="1:17" ht="30" customHeight="1" x14ac:dyDescent="0.2">
      <c r="A701" s="4459"/>
      <c r="B701" s="4457" t="s">
        <v>2471</v>
      </c>
      <c r="C701" s="4537" t="s">
        <v>889</v>
      </c>
      <c r="D701" s="2982">
        <v>57120000</v>
      </c>
      <c r="E701" s="2995">
        <v>0.06</v>
      </c>
      <c r="F701" s="2982">
        <f t="shared" si="73"/>
        <v>3427200</v>
      </c>
      <c r="G701" s="2992">
        <v>3427000</v>
      </c>
      <c r="H701" s="2992" t="s">
        <v>4877</v>
      </c>
      <c r="I701" s="233" t="s">
        <v>4043</v>
      </c>
      <c r="J701" s="2992">
        <f>G701</f>
        <v>3427000</v>
      </c>
      <c r="K701" s="2979">
        <f>F701-J701</f>
        <v>200</v>
      </c>
      <c r="L701" s="3005"/>
      <c r="M701" s="386"/>
      <c r="N701" s="386"/>
      <c r="O701" s="386"/>
      <c r="P701" s="386"/>
      <c r="Q701" s="386"/>
    </row>
    <row r="702" spans="1:17" ht="30" customHeight="1" x14ac:dyDescent="0.2">
      <c r="A702" s="4464"/>
      <c r="B702" s="4488"/>
      <c r="C702" s="4540"/>
      <c r="D702" s="3061">
        <v>10000000</v>
      </c>
      <c r="E702" s="3070"/>
      <c r="F702" s="3061"/>
      <c r="G702" s="3069"/>
      <c r="H702" s="3069"/>
      <c r="I702" s="233"/>
      <c r="J702" s="3069"/>
      <c r="K702" s="3060"/>
      <c r="L702" s="3074" t="s">
        <v>4985</v>
      </c>
      <c r="M702" s="386"/>
      <c r="N702" s="386"/>
      <c r="O702" s="386"/>
      <c r="P702" s="386"/>
      <c r="Q702" s="386"/>
    </row>
    <row r="703" spans="1:17" ht="30" customHeight="1" x14ac:dyDescent="0.2">
      <c r="A703" s="4464"/>
      <c r="B703" s="4488"/>
      <c r="C703" s="4540"/>
      <c r="D703" s="3061">
        <v>6000000</v>
      </c>
      <c r="E703" s="3070"/>
      <c r="F703" s="3061"/>
      <c r="G703" s="3069"/>
      <c r="H703" s="3069"/>
      <c r="I703" s="233"/>
      <c r="J703" s="3069"/>
      <c r="K703" s="3060"/>
      <c r="L703" s="3074" t="s">
        <v>4986</v>
      </c>
      <c r="M703" s="386"/>
      <c r="N703" s="386"/>
      <c r="O703" s="386"/>
      <c r="P703" s="386"/>
      <c r="Q703" s="386"/>
    </row>
    <row r="704" spans="1:17" ht="30" customHeight="1" x14ac:dyDescent="0.2">
      <c r="A704" s="4464"/>
      <c r="B704" s="4488"/>
      <c r="C704" s="4540"/>
      <c r="D704" s="3061">
        <v>10000000</v>
      </c>
      <c r="E704" s="3070"/>
      <c r="F704" s="3061"/>
      <c r="G704" s="3069"/>
      <c r="H704" s="3069"/>
      <c r="I704" s="233"/>
      <c r="J704" s="3069"/>
      <c r="K704" s="3060"/>
      <c r="L704" s="3074" t="s">
        <v>4987</v>
      </c>
      <c r="M704" s="386"/>
      <c r="N704" s="386"/>
      <c r="O704" s="386"/>
      <c r="P704" s="386"/>
      <c r="Q704" s="386"/>
    </row>
    <row r="705" spans="1:17" ht="30" customHeight="1" x14ac:dyDescent="0.2">
      <c r="A705" s="4464"/>
      <c r="B705" s="4488"/>
      <c r="C705" s="4540"/>
      <c r="D705" s="3061">
        <v>9000000</v>
      </c>
      <c r="E705" s="3070"/>
      <c r="F705" s="3061"/>
      <c r="G705" s="3069"/>
      <c r="H705" s="3069"/>
      <c r="I705" s="233"/>
      <c r="J705" s="3069"/>
      <c r="K705" s="3060"/>
      <c r="L705" s="3074" t="s">
        <v>4988</v>
      </c>
      <c r="M705" s="386"/>
      <c r="N705" s="386"/>
      <c r="O705" s="386"/>
      <c r="P705" s="386"/>
      <c r="Q705" s="386"/>
    </row>
    <row r="706" spans="1:17" ht="30" customHeight="1" x14ac:dyDescent="0.2">
      <c r="A706" s="4464"/>
      <c r="B706" s="4488"/>
      <c r="C706" s="4540"/>
      <c r="D706" s="3061">
        <v>10000000</v>
      </c>
      <c r="E706" s="3070"/>
      <c r="F706" s="3061"/>
      <c r="G706" s="3069"/>
      <c r="H706" s="3069"/>
      <c r="I706" s="233"/>
      <c r="J706" s="3069"/>
      <c r="K706" s="3060"/>
      <c r="L706" s="3074" t="s">
        <v>4990</v>
      </c>
      <c r="M706" s="386"/>
      <c r="N706" s="386"/>
      <c r="O706" s="386"/>
      <c r="P706" s="386"/>
      <c r="Q706" s="386"/>
    </row>
    <row r="707" spans="1:17" ht="30" customHeight="1" x14ac:dyDescent="0.2">
      <c r="A707" s="4464"/>
      <c r="B707" s="4488"/>
      <c r="C707" s="4540"/>
      <c r="D707" s="3061">
        <v>8000000</v>
      </c>
      <c r="E707" s="3070"/>
      <c r="F707" s="3061"/>
      <c r="G707" s="3069"/>
      <c r="H707" s="3069"/>
      <c r="I707" s="233"/>
      <c r="J707" s="3069"/>
      <c r="K707" s="3060"/>
      <c r="L707" s="3074" t="s">
        <v>4989</v>
      </c>
      <c r="M707" s="386"/>
      <c r="N707" s="386"/>
      <c r="O707" s="386"/>
      <c r="P707" s="386"/>
      <c r="Q707" s="386"/>
    </row>
    <row r="708" spans="1:17" ht="30" customHeight="1" x14ac:dyDescent="0.2">
      <c r="A708" s="4460"/>
      <c r="B708" s="4458"/>
      <c r="C708" s="4538"/>
      <c r="D708" s="3061"/>
      <c r="E708" s="3070"/>
      <c r="F708" s="3061"/>
      <c r="G708" s="3069"/>
      <c r="H708" s="3069"/>
      <c r="I708" s="233"/>
      <c r="J708" s="3069"/>
      <c r="K708" s="3060"/>
      <c r="L708" s="3074"/>
      <c r="M708" s="386"/>
      <c r="N708" s="386"/>
      <c r="O708" s="386"/>
      <c r="P708" s="386"/>
      <c r="Q708" s="386"/>
    </row>
    <row r="709" spans="1:17" ht="30" customHeight="1" x14ac:dyDescent="0.2">
      <c r="A709" s="4459"/>
      <c r="B709" s="4457" t="s">
        <v>2517</v>
      </c>
      <c r="C709" s="4537" t="s">
        <v>1080</v>
      </c>
      <c r="D709" s="2821">
        <v>134700000</v>
      </c>
      <c r="E709" s="2871">
        <v>0.05</v>
      </c>
      <c r="F709" s="2821">
        <f t="shared" si="73"/>
        <v>6735000</v>
      </c>
      <c r="G709" s="2941"/>
      <c r="H709" s="2941"/>
      <c r="I709" s="2941"/>
      <c r="J709" s="2941"/>
      <c r="K709" s="2848">
        <f>F709-J709</f>
        <v>6735000</v>
      </c>
      <c r="L709" s="4675" t="s">
        <v>4738</v>
      </c>
      <c r="M709" s="386"/>
      <c r="N709" s="386"/>
      <c r="O709" s="386"/>
      <c r="P709" s="386"/>
      <c r="Q709" s="386"/>
    </row>
    <row r="710" spans="1:17" ht="30" customHeight="1" x14ac:dyDescent="0.2">
      <c r="A710" s="4464"/>
      <c r="B710" s="4488"/>
      <c r="C710" s="4540"/>
      <c r="D710" s="2821">
        <v>6735000</v>
      </c>
      <c r="E710" s="2871">
        <v>0.05</v>
      </c>
      <c r="F710" s="2821">
        <f t="shared" si="73"/>
        <v>336750</v>
      </c>
      <c r="G710" s="2941"/>
      <c r="H710" s="2941"/>
      <c r="I710" s="2941"/>
      <c r="J710" s="2941"/>
      <c r="K710" s="2820"/>
      <c r="L710" s="4676"/>
      <c r="M710" s="386"/>
      <c r="N710" s="386"/>
      <c r="O710" s="386"/>
      <c r="P710" s="386"/>
      <c r="Q710" s="386"/>
    </row>
    <row r="711" spans="1:17" ht="30" customHeight="1" x14ac:dyDescent="0.2">
      <c r="A711" s="4464"/>
      <c r="B711" s="4488"/>
      <c r="C711" s="4540"/>
      <c r="D711" s="2821">
        <v>100000000</v>
      </c>
      <c r="E711" s="2871">
        <v>0.05</v>
      </c>
      <c r="F711" s="2821">
        <f t="shared" si="73"/>
        <v>5000000</v>
      </c>
      <c r="G711" s="2941"/>
      <c r="H711" s="2941"/>
      <c r="I711" s="2941"/>
      <c r="J711" s="2941"/>
      <c r="K711" s="2820"/>
      <c r="L711" s="2949" t="s">
        <v>4832</v>
      </c>
      <c r="M711" s="386"/>
      <c r="N711" s="386"/>
      <c r="O711" s="386"/>
      <c r="P711" s="386"/>
      <c r="Q711" s="386"/>
    </row>
    <row r="712" spans="1:17" ht="30" customHeight="1" x14ac:dyDescent="0.2">
      <c r="A712" s="4464"/>
      <c r="B712" s="4488"/>
      <c r="C712" s="4540"/>
      <c r="D712" s="2821">
        <v>8565000</v>
      </c>
      <c r="E712" s="2871">
        <v>0.05</v>
      </c>
      <c r="F712" s="2821">
        <f t="shared" si="73"/>
        <v>428250</v>
      </c>
      <c r="G712" s="2941"/>
      <c r="H712" s="2941"/>
      <c r="I712" s="2941"/>
      <c r="J712" s="2941"/>
      <c r="K712" s="2820"/>
      <c r="L712" s="2949" t="s">
        <v>4796</v>
      </c>
      <c r="M712" s="386"/>
      <c r="N712" s="386"/>
      <c r="O712" s="386"/>
      <c r="P712" s="386"/>
      <c r="Q712" s="386"/>
    </row>
    <row r="713" spans="1:17" ht="30" customHeight="1" x14ac:dyDescent="0.2">
      <c r="A713" s="4464"/>
      <c r="B713" s="4488"/>
      <c r="C713" s="4540"/>
      <c r="D713" s="1856">
        <f>SUM(D709:D712)</f>
        <v>250000000</v>
      </c>
      <c r="E713" s="897">
        <v>0.05</v>
      </c>
      <c r="F713" s="1856">
        <f>D713*E713</f>
        <v>12500000</v>
      </c>
      <c r="G713" s="2941"/>
      <c r="H713" s="2941"/>
      <c r="I713" s="2941"/>
      <c r="J713" s="2941"/>
      <c r="K713" s="2820"/>
      <c r="L713" s="2949" t="s">
        <v>4739</v>
      </c>
      <c r="M713" s="386"/>
      <c r="N713" s="386"/>
      <c r="O713" s="386"/>
      <c r="P713" s="386"/>
      <c r="Q713" s="386"/>
    </row>
    <row r="714" spans="1:17" ht="30" customHeight="1" x14ac:dyDescent="0.2">
      <c r="A714" s="4459"/>
      <c r="B714" s="4457" t="s">
        <v>2633</v>
      </c>
      <c r="C714" s="4537" t="s">
        <v>1172</v>
      </c>
      <c r="D714" s="4413">
        <v>60000000</v>
      </c>
      <c r="E714" s="4476">
        <v>0.05</v>
      </c>
      <c r="F714" s="4413">
        <f>D714*E714</f>
        <v>3000000</v>
      </c>
      <c r="G714" s="3439"/>
      <c r="H714" s="3439"/>
      <c r="I714" s="3439"/>
      <c r="J714" s="233"/>
      <c r="K714" s="233"/>
      <c r="L714" s="1115" t="s">
        <v>5204</v>
      </c>
      <c r="M714" s="386"/>
      <c r="N714" s="386"/>
      <c r="O714" s="386"/>
      <c r="P714" s="386"/>
      <c r="Q714" s="386"/>
    </row>
    <row r="715" spans="1:17" ht="30" customHeight="1" x14ac:dyDescent="0.2">
      <c r="A715" s="4460"/>
      <c r="B715" s="4458"/>
      <c r="C715" s="4538"/>
      <c r="D715" s="4415"/>
      <c r="E715" s="4477"/>
      <c r="F715" s="4415"/>
      <c r="G715" s="3439"/>
      <c r="H715" s="3439"/>
      <c r="I715" s="3439"/>
      <c r="J715" s="233"/>
      <c r="K715" s="233"/>
      <c r="L715" s="3440" t="s">
        <v>5304</v>
      </c>
      <c r="M715" s="386"/>
      <c r="N715" s="386"/>
      <c r="O715" s="386"/>
      <c r="P715" s="386"/>
      <c r="Q715" s="386"/>
    </row>
    <row r="716" spans="1:17" ht="30" customHeight="1" x14ac:dyDescent="0.2">
      <c r="A716" s="4459"/>
      <c r="B716" s="4457" t="s">
        <v>4905</v>
      </c>
      <c r="C716" s="4537" t="s">
        <v>3390</v>
      </c>
      <c r="D716" s="4413">
        <v>30000000</v>
      </c>
      <c r="E716" s="4476">
        <v>0.05</v>
      </c>
      <c r="F716" s="4413">
        <f>D716*E716</f>
        <v>1500000</v>
      </c>
      <c r="G716" s="3439"/>
      <c r="H716" s="3439"/>
      <c r="I716" s="3439"/>
      <c r="J716" s="233"/>
      <c r="K716" s="233"/>
      <c r="L716" s="3441" t="s">
        <v>5305</v>
      </c>
      <c r="M716" s="386"/>
      <c r="N716" s="386"/>
      <c r="O716" s="386"/>
      <c r="P716" s="386"/>
      <c r="Q716" s="386"/>
    </row>
    <row r="717" spans="1:17" ht="30" customHeight="1" x14ac:dyDescent="0.2">
      <c r="A717" s="4460"/>
      <c r="B717" s="4458"/>
      <c r="C717" s="4538"/>
      <c r="D717" s="4415"/>
      <c r="E717" s="4477"/>
      <c r="F717" s="4415"/>
      <c r="G717" s="3439"/>
      <c r="H717" s="3439"/>
      <c r="I717" s="3439"/>
      <c r="J717" s="233"/>
      <c r="K717" s="233"/>
      <c r="L717" s="3440" t="s">
        <v>5306</v>
      </c>
      <c r="M717" s="386"/>
      <c r="N717" s="386"/>
      <c r="O717" s="386"/>
      <c r="P717" s="386"/>
      <c r="Q717" s="386"/>
    </row>
    <row r="718" spans="1:17" ht="30" customHeight="1" x14ac:dyDescent="0.2">
      <c r="A718" s="4459"/>
      <c r="B718" s="4457" t="s">
        <v>2551</v>
      </c>
      <c r="C718" s="4537"/>
      <c r="D718" s="2821">
        <v>10000000</v>
      </c>
      <c r="E718" s="2871"/>
      <c r="F718" s="2821"/>
      <c r="G718" s="2821"/>
      <c r="H718" s="2821"/>
      <c r="I718" s="473"/>
      <c r="J718" s="2821"/>
      <c r="K718" s="2859"/>
      <c r="L718" s="2879"/>
      <c r="M718" s="386"/>
      <c r="N718" s="386"/>
      <c r="O718" s="386"/>
      <c r="P718" s="386"/>
      <c r="Q718" s="386"/>
    </row>
    <row r="719" spans="1:17" ht="30" customHeight="1" x14ac:dyDescent="0.2">
      <c r="A719" s="4460"/>
      <c r="B719" s="4458"/>
      <c r="C719" s="4538"/>
      <c r="D719" s="2821">
        <v>5000000</v>
      </c>
      <c r="E719" s="2871"/>
      <c r="F719" s="2821"/>
      <c r="G719" s="2821"/>
      <c r="H719" s="2821"/>
      <c r="I719" s="473"/>
      <c r="J719" s="2821"/>
      <c r="K719" s="2859"/>
      <c r="L719" s="2855"/>
      <c r="M719" s="386"/>
      <c r="N719" s="386"/>
      <c r="O719" s="386"/>
      <c r="P719" s="386"/>
      <c r="Q719" s="386"/>
    </row>
    <row r="720" spans="1:17" ht="30" customHeight="1" x14ac:dyDescent="0.2">
      <c r="A720" s="2827"/>
      <c r="B720" s="2829" t="s">
        <v>2573</v>
      </c>
      <c r="C720" s="2847" t="s">
        <v>1172</v>
      </c>
      <c r="D720" s="2821">
        <v>60000000</v>
      </c>
      <c r="E720" s="2823">
        <v>5.5E-2</v>
      </c>
      <c r="F720" s="2821">
        <f t="shared" ref="F720" si="74">D720*E720</f>
        <v>3300000</v>
      </c>
      <c r="G720" s="2821">
        <v>3300000</v>
      </c>
      <c r="H720" s="2848" t="s">
        <v>5085</v>
      </c>
      <c r="I720" s="2696" t="s">
        <v>3103</v>
      </c>
      <c r="J720" s="2821">
        <f>G720</f>
        <v>3300000</v>
      </c>
      <c r="K720" s="2859">
        <v>0</v>
      </c>
      <c r="L720" s="2879" t="s">
        <v>3522</v>
      </c>
      <c r="M720" s="386"/>
      <c r="N720" s="386"/>
      <c r="O720" s="386"/>
      <c r="P720" s="386"/>
      <c r="Q720" s="386"/>
    </row>
    <row r="721" spans="1:17" ht="30" customHeight="1" x14ac:dyDescent="0.2">
      <c r="A721" s="4459"/>
      <c r="B721" s="4457" t="s">
        <v>2714</v>
      </c>
      <c r="C721" s="4537" t="s">
        <v>262</v>
      </c>
      <c r="D721" s="4413">
        <v>186000000</v>
      </c>
      <c r="E721" s="4476">
        <v>5.5E-2</v>
      </c>
      <c r="F721" s="4413">
        <f>D721*E721</f>
        <v>10230000</v>
      </c>
      <c r="G721" s="2992">
        <v>500000</v>
      </c>
      <c r="H721" s="2992" t="s">
        <v>4893</v>
      </c>
      <c r="I721" s="2696" t="s">
        <v>2715</v>
      </c>
      <c r="J721" s="2992">
        <f>G721</f>
        <v>500000</v>
      </c>
      <c r="K721" s="2978"/>
      <c r="L721" s="2855" t="s">
        <v>4262</v>
      </c>
      <c r="M721" s="386"/>
      <c r="N721" s="386"/>
      <c r="O721" s="386"/>
      <c r="P721" s="386"/>
      <c r="Q721" s="386"/>
    </row>
    <row r="722" spans="1:17" ht="30" customHeight="1" x14ac:dyDescent="0.2">
      <c r="A722" s="4464"/>
      <c r="B722" s="4488"/>
      <c r="C722" s="4540"/>
      <c r="D722" s="4414"/>
      <c r="E722" s="4516"/>
      <c r="F722" s="4414"/>
      <c r="G722" s="2992"/>
      <c r="H722" s="2992"/>
      <c r="I722" s="2696"/>
      <c r="J722" s="2992"/>
      <c r="K722" s="2978"/>
      <c r="L722" s="2855"/>
      <c r="M722" s="386"/>
      <c r="N722" s="386"/>
      <c r="O722" s="386"/>
      <c r="P722" s="386"/>
      <c r="Q722" s="386"/>
    </row>
    <row r="723" spans="1:17" ht="30" customHeight="1" x14ac:dyDescent="0.2">
      <c r="A723" s="4464"/>
      <c r="B723" s="4488"/>
      <c r="C723" s="4540"/>
      <c r="D723" s="4415"/>
      <c r="E723" s="4477"/>
      <c r="F723" s="4415"/>
      <c r="G723" s="2992"/>
      <c r="H723" s="2992"/>
      <c r="I723" s="2696"/>
      <c r="J723" s="2992"/>
      <c r="K723" s="2978"/>
      <c r="L723" s="2855"/>
      <c r="M723" s="386"/>
      <c r="N723" s="386"/>
      <c r="O723" s="386"/>
      <c r="P723" s="386"/>
      <c r="Q723" s="386"/>
    </row>
    <row r="724" spans="1:17" ht="30" customHeight="1" x14ac:dyDescent="0.2">
      <c r="A724" s="4464"/>
      <c r="B724" s="4488"/>
      <c r="C724" s="4540"/>
      <c r="D724" s="2821">
        <v>10000000</v>
      </c>
      <c r="E724" s="2823">
        <v>5.5E-2</v>
      </c>
      <c r="F724" s="2821">
        <f t="shared" ref="F724:F730" si="75">D724*E724</f>
        <v>550000</v>
      </c>
      <c r="G724" s="2992"/>
      <c r="H724" s="2992"/>
      <c r="I724" s="2696"/>
      <c r="J724" s="2992"/>
      <c r="K724" s="2978"/>
      <c r="L724" s="2855"/>
      <c r="M724" s="386"/>
      <c r="N724" s="386"/>
      <c r="O724" s="386"/>
      <c r="P724" s="386"/>
      <c r="Q724" s="386"/>
    </row>
    <row r="725" spans="1:17" ht="30" customHeight="1" x14ac:dyDescent="0.2">
      <c r="A725" s="4464"/>
      <c r="B725" s="4488"/>
      <c r="C725" s="4540"/>
      <c r="D725" s="2821">
        <v>4000000</v>
      </c>
      <c r="E725" s="2823">
        <v>5.5E-2</v>
      </c>
      <c r="F725" s="2821">
        <f t="shared" si="75"/>
        <v>220000</v>
      </c>
      <c r="G725" s="2992"/>
      <c r="H725" s="2992"/>
      <c r="I725" s="2696"/>
      <c r="J725" s="2992"/>
      <c r="K725" s="2978"/>
      <c r="L725" s="2855"/>
      <c r="M725" s="386"/>
      <c r="N725" s="386"/>
      <c r="O725" s="386"/>
      <c r="P725" s="386"/>
      <c r="Q725" s="386"/>
    </row>
    <row r="726" spans="1:17" ht="30" customHeight="1" x14ac:dyDescent="0.2">
      <c r="A726" s="4464"/>
      <c r="B726" s="4488"/>
      <c r="C726" s="4540"/>
      <c r="D726" s="2891">
        <v>200000000</v>
      </c>
      <c r="E726" s="2893">
        <v>5.5E-2</v>
      </c>
      <c r="F726" s="2891">
        <f t="shared" si="75"/>
        <v>11000000</v>
      </c>
      <c r="G726" s="4733" t="s">
        <v>3882</v>
      </c>
      <c r="H726" s="4734"/>
      <c r="I726" s="4734"/>
      <c r="J726" s="4735"/>
      <c r="K726" s="2351"/>
      <c r="L726" s="2855"/>
      <c r="M726" s="386"/>
      <c r="N726" s="386"/>
      <c r="O726" s="386"/>
      <c r="P726" s="386"/>
      <c r="Q726" s="386"/>
    </row>
    <row r="727" spans="1:17" ht="30" customHeight="1" x14ac:dyDescent="0.2">
      <c r="A727" s="4464"/>
      <c r="B727" s="4488"/>
      <c r="C727" s="4540"/>
      <c r="D727" s="2821">
        <v>19000000</v>
      </c>
      <c r="E727" s="2823">
        <v>5.5E-2</v>
      </c>
      <c r="F727" s="2821">
        <f t="shared" si="75"/>
        <v>1045000</v>
      </c>
      <c r="G727" s="4469" t="s">
        <v>4562</v>
      </c>
      <c r="H727" s="4470"/>
      <c r="I727" s="4470"/>
      <c r="J727" s="4471"/>
      <c r="K727" s="2351"/>
      <c r="L727" s="2855"/>
      <c r="M727" s="386"/>
      <c r="N727" s="386"/>
      <c r="O727" s="386"/>
      <c r="P727" s="386"/>
      <c r="Q727" s="386"/>
    </row>
    <row r="728" spans="1:17" ht="30" customHeight="1" x14ac:dyDescent="0.2">
      <c r="A728" s="4464"/>
      <c r="B728" s="4488"/>
      <c r="C728" s="4540"/>
      <c r="D728" s="2821">
        <v>9000000</v>
      </c>
      <c r="E728" s="2823">
        <v>5.5E-2</v>
      </c>
      <c r="F728" s="2821">
        <f t="shared" si="75"/>
        <v>495000</v>
      </c>
      <c r="G728" s="4469" t="s">
        <v>4654</v>
      </c>
      <c r="H728" s="4470"/>
      <c r="I728" s="4470"/>
      <c r="J728" s="4471"/>
      <c r="K728" s="2351"/>
      <c r="L728" s="2855"/>
      <c r="M728" s="386"/>
      <c r="N728" s="386"/>
      <c r="O728" s="386"/>
      <c r="P728" s="386"/>
      <c r="Q728" s="386"/>
    </row>
    <row r="729" spans="1:17" ht="30" customHeight="1" x14ac:dyDescent="0.2">
      <c r="A729" s="4464"/>
      <c r="B729" s="4488"/>
      <c r="C729" s="4540"/>
      <c r="D729" s="2821">
        <v>2000000</v>
      </c>
      <c r="E729" s="2823">
        <v>5.5E-2</v>
      </c>
      <c r="F729" s="2821">
        <f t="shared" si="75"/>
        <v>110000</v>
      </c>
      <c r="G729" s="4469" t="s">
        <v>4700</v>
      </c>
      <c r="H729" s="4470"/>
      <c r="I729" s="4470"/>
      <c r="J729" s="4471"/>
      <c r="K729" s="2351"/>
      <c r="L729" s="2855"/>
      <c r="M729" s="386"/>
      <c r="N729" s="386"/>
      <c r="O729" s="386"/>
      <c r="P729" s="386"/>
      <c r="Q729" s="386"/>
    </row>
    <row r="730" spans="1:17" ht="30" customHeight="1" x14ac:dyDescent="0.2">
      <c r="A730" s="4464"/>
      <c r="B730" s="4488"/>
      <c r="C730" s="4540"/>
      <c r="D730" s="5083">
        <f>D726+D727+D728+D729</f>
        <v>230000000</v>
      </c>
      <c r="E730" s="5085">
        <v>5.5E-2</v>
      </c>
      <c r="F730" s="5083">
        <f t="shared" si="75"/>
        <v>12650000</v>
      </c>
      <c r="G730" s="4956" t="s">
        <v>3217</v>
      </c>
      <c r="H730" s="4957"/>
      <c r="I730" s="4957"/>
      <c r="J730" s="4958"/>
      <c r="K730" s="2351"/>
      <c r="L730" s="2855"/>
      <c r="M730" s="386"/>
      <c r="N730" s="386"/>
      <c r="O730" s="386"/>
      <c r="P730" s="386"/>
      <c r="Q730" s="386"/>
    </row>
    <row r="731" spans="1:17" ht="30" customHeight="1" x14ac:dyDescent="0.2">
      <c r="A731" s="4460"/>
      <c r="B731" s="4458"/>
      <c r="C731" s="4538"/>
      <c r="D731" s="5084"/>
      <c r="E731" s="5086"/>
      <c r="F731" s="5084"/>
      <c r="G731" s="2941">
        <v>12208000</v>
      </c>
      <c r="H731" s="2941" t="s">
        <v>5085</v>
      </c>
      <c r="I731" s="2941" t="s">
        <v>3103</v>
      </c>
      <c r="J731" s="2941">
        <f>G731</f>
        <v>12208000</v>
      </c>
      <c r="K731" s="2351"/>
      <c r="L731" s="2855"/>
      <c r="M731" s="386"/>
      <c r="N731" s="386"/>
      <c r="O731" s="386"/>
      <c r="P731" s="386"/>
      <c r="Q731" s="386"/>
    </row>
    <row r="732" spans="1:17" ht="30" customHeight="1" x14ac:dyDescent="0.2">
      <c r="A732" s="2826"/>
      <c r="B732" s="2829" t="s">
        <v>2609</v>
      </c>
      <c r="C732" s="2847"/>
      <c r="D732" s="2838"/>
      <c r="E732" s="2521"/>
      <c r="F732" s="2838"/>
      <c r="G732" s="2821">
        <v>1200000</v>
      </c>
      <c r="H732" s="2821" t="s">
        <v>5054</v>
      </c>
      <c r="I732" s="473" t="s">
        <v>4462</v>
      </c>
      <c r="J732" s="2821">
        <f>G732</f>
        <v>1200000</v>
      </c>
      <c r="K732" s="2865">
        <f>F732-J732</f>
        <v>-1200000</v>
      </c>
      <c r="L732" s="2879"/>
      <c r="M732" s="386"/>
      <c r="N732" s="386"/>
      <c r="O732" s="386"/>
      <c r="P732" s="386"/>
      <c r="Q732" s="386"/>
    </row>
    <row r="733" spans="1:17" ht="30" customHeight="1" x14ac:dyDescent="0.2">
      <c r="A733" s="4459"/>
      <c r="B733" s="4457" t="s">
        <v>3818</v>
      </c>
      <c r="C733" s="4537" t="s">
        <v>5658</v>
      </c>
      <c r="D733" s="3238">
        <v>4215000000</v>
      </c>
      <c r="E733" s="3251">
        <v>0.05</v>
      </c>
      <c r="F733" s="3238">
        <f>D733*E733</f>
        <v>210750000</v>
      </c>
      <c r="G733" s="4793" t="s">
        <v>5148</v>
      </c>
      <c r="H733" s="4794"/>
      <c r="I733" s="4794"/>
      <c r="J733" s="4795"/>
      <c r="K733" s="5039">
        <f>SUM(F733:F735)</f>
        <v>577850000</v>
      </c>
      <c r="L733" s="2855"/>
      <c r="M733" s="386"/>
      <c r="N733" s="386"/>
      <c r="O733" s="386"/>
      <c r="P733" s="386"/>
      <c r="Q733" s="386"/>
    </row>
    <row r="734" spans="1:17" ht="30" customHeight="1" x14ac:dyDescent="0.2">
      <c r="A734" s="4464"/>
      <c r="B734" s="4488"/>
      <c r="C734" s="4540"/>
      <c r="D734" s="3238">
        <v>2000000000</v>
      </c>
      <c r="E734" s="3251">
        <v>7.0000000000000007E-2</v>
      </c>
      <c r="F734" s="3238">
        <f t="shared" ref="F734:F738" si="76">D734*E734</f>
        <v>140000000</v>
      </c>
      <c r="G734" s="4796"/>
      <c r="H734" s="4797"/>
      <c r="I734" s="4797"/>
      <c r="J734" s="4798"/>
      <c r="K734" s="5040"/>
      <c r="L734" s="899"/>
      <c r="M734" s="386"/>
      <c r="N734" s="386"/>
      <c r="O734" s="386"/>
      <c r="P734" s="386"/>
      <c r="Q734" s="386"/>
    </row>
    <row r="735" spans="1:17" ht="30" customHeight="1" x14ac:dyDescent="0.2">
      <c r="A735" s="4464"/>
      <c r="B735" s="4488"/>
      <c r="C735" s="4540"/>
      <c r="D735" s="3238">
        <v>3785000000</v>
      </c>
      <c r="E735" s="3251">
        <v>0.06</v>
      </c>
      <c r="F735" s="3238">
        <f t="shared" si="76"/>
        <v>227100000</v>
      </c>
      <c r="G735" s="4799"/>
      <c r="H735" s="4800"/>
      <c r="I735" s="4800"/>
      <c r="J735" s="4801"/>
      <c r="K735" s="5041"/>
      <c r="L735" s="2856"/>
      <c r="M735" s="386"/>
      <c r="N735" s="386"/>
      <c r="O735" s="386"/>
      <c r="P735" s="386"/>
      <c r="Q735" s="386"/>
    </row>
    <row r="736" spans="1:17" ht="30" customHeight="1" x14ac:dyDescent="0.2">
      <c r="A736" s="4464"/>
      <c r="B736" s="4488"/>
      <c r="C736" s="4540"/>
      <c r="D736" s="3246">
        <v>2915000000</v>
      </c>
      <c r="E736" s="3252">
        <v>0.08</v>
      </c>
      <c r="F736" s="3246">
        <f t="shared" si="76"/>
        <v>233200000</v>
      </c>
      <c r="G736" s="4793" t="s">
        <v>5149</v>
      </c>
      <c r="H736" s="4794"/>
      <c r="I736" s="4794"/>
      <c r="J736" s="4795"/>
      <c r="K736" s="5042">
        <f>F736+F737+F738</f>
        <v>362400000</v>
      </c>
      <c r="L736" s="2856"/>
      <c r="M736" s="386"/>
      <c r="N736" s="386"/>
      <c r="O736" s="386"/>
      <c r="P736" s="386"/>
      <c r="Q736" s="386"/>
    </row>
    <row r="737" spans="1:17" ht="30" customHeight="1" x14ac:dyDescent="0.2">
      <c r="A737" s="4464"/>
      <c r="B737" s="4488"/>
      <c r="C737" s="4540"/>
      <c r="D737" s="3246">
        <v>690000000</v>
      </c>
      <c r="E737" s="3252">
        <v>0.08</v>
      </c>
      <c r="F737" s="3246">
        <f t="shared" si="76"/>
        <v>55200000</v>
      </c>
      <c r="G737" s="4796"/>
      <c r="H737" s="4797"/>
      <c r="I737" s="4797"/>
      <c r="J737" s="4798"/>
      <c r="K737" s="5043"/>
      <c r="L737" s="2856"/>
      <c r="M737" s="386"/>
      <c r="N737" s="386"/>
      <c r="O737" s="386"/>
      <c r="P737" s="386"/>
      <c r="Q737" s="386"/>
    </row>
    <row r="738" spans="1:17" ht="30" customHeight="1" x14ac:dyDescent="0.2">
      <c r="A738" s="4464"/>
      <c r="B738" s="4488"/>
      <c r="C738" s="4540"/>
      <c r="D738" s="3247">
        <v>925000000</v>
      </c>
      <c r="E738" s="3252">
        <v>0.08</v>
      </c>
      <c r="F738" s="3247">
        <f t="shared" si="76"/>
        <v>74000000</v>
      </c>
      <c r="G738" s="4799"/>
      <c r="H738" s="4800"/>
      <c r="I738" s="4800"/>
      <c r="J738" s="4801"/>
      <c r="K738" s="5044"/>
      <c r="L738" s="2859"/>
      <c r="M738" s="386"/>
      <c r="N738" s="386"/>
      <c r="O738" s="386"/>
      <c r="P738" s="386"/>
      <c r="Q738" s="386"/>
    </row>
    <row r="739" spans="1:17" ht="30" customHeight="1" x14ac:dyDescent="0.2">
      <c r="A739" s="4464"/>
      <c r="B739" s="4488"/>
      <c r="C739" s="4540"/>
      <c r="D739" s="4822">
        <f>SUM(D733:D738)</f>
        <v>14530000000</v>
      </c>
      <c r="E739" s="4823"/>
      <c r="F739" s="3241">
        <f>SUM(F733:F738)</f>
        <v>940250000</v>
      </c>
      <c r="G739" s="4793" t="s">
        <v>5142</v>
      </c>
      <c r="H739" s="4794"/>
      <c r="I739" s="4794"/>
      <c r="J739" s="4795"/>
      <c r="K739" s="4603"/>
      <c r="L739" s="3228"/>
      <c r="M739" s="386"/>
      <c r="N739" s="386"/>
      <c r="O739" s="386"/>
      <c r="P739" s="386"/>
      <c r="Q739" s="386"/>
    </row>
    <row r="740" spans="1:17" ht="30" customHeight="1" x14ac:dyDescent="0.2">
      <c r="A740" s="4464"/>
      <c r="B740" s="4488"/>
      <c r="C740" s="4540"/>
      <c r="D740" s="4822" t="s">
        <v>5143</v>
      </c>
      <c r="E740" s="4823"/>
      <c r="F740" s="3316">
        <v>1600000</v>
      </c>
      <c r="G740" s="4796"/>
      <c r="H740" s="4797"/>
      <c r="I740" s="4797"/>
      <c r="J740" s="4798"/>
      <c r="K740" s="4609"/>
      <c r="L740" s="3228"/>
      <c r="M740" s="386"/>
      <c r="N740" s="386"/>
      <c r="O740" s="386"/>
      <c r="P740" s="386"/>
      <c r="Q740" s="386"/>
    </row>
    <row r="741" spans="1:17" ht="30" customHeight="1" x14ac:dyDescent="0.2">
      <c r="A741" s="4464"/>
      <c r="B741" s="4488"/>
      <c r="C741" s="4540"/>
      <c r="D741" s="4822" t="s">
        <v>5144</v>
      </c>
      <c r="E741" s="4823"/>
      <c r="F741" s="3316">
        <v>1300000</v>
      </c>
      <c r="G741" s="4796"/>
      <c r="H741" s="4797"/>
      <c r="I741" s="4797"/>
      <c r="J741" s="4798"/>
      <c r="K741" s="4609"/>
      <c r="L741" s="3228"/>
      <c r="M741" s="386"/>
      <c r="N741" s="386"/>
      <c r="O741" s="386"/>
      <c r="P741" s="386"/>
      <c r="Q741" s="386"/>
    </row>
    <row r="742" spans="1:17" ht="30" customHeight="1" x14ac:dyDescent="0.2">
      <c r="A742" s="4464"/>
      <c r="B742" s="4488"/>
      <c r="C742" s="4540"/>
      <c r="D742" s="4822" t="s">
        <v>5145</v>
      </c>
      <c r="E742" s="4823"/>
      <c r="F742" s="3241">
        <f>SUM(F739:F741)</f>
        <v>943150000</v>
      </c>
      <c r="G742" s="4796"/>
      <c r="H742" s="4797"/>
      <c r="I742" s="4797"/>
      <c r="J742" s="4798"/>
      <c r="K742" s="4609"/>
      <c r="L742" s="3228"/>
      <c r="M742" s="386"/>
      <c r="N742" s="386"/>
      <c r="O742" s="386"/>
      <c r="P742" s="386"/>
      <c r="Q742" s="386"/>
    </row>
    <row r="743" spans="1:17" ht="30" customHeight="1" x14ac:dyDescent="0.2">
      <c r="A743" s="4464"/>
      <c r="B743" s="4488"/>
      <c r="C743" s="4540"/>
      <c r="D743" s="4822" t="s">
        <v>5169</v>
      </c>
      <c r="E743" s="4823"/>
      <c r="F743" s="3285">
        <v>6850000</v>
      </c>
      <c r="G743" s="4796"/>
      <c r="H743" s="4797"/>
      <c r="I743" s="4797"/>
      <c r="J743" s="4798"/>
      <c r="K743" s="4609"/>
      <c r="L743" s="3282" t="s">
        <v>5171</v>
      </c>
      <c r="M743" s="386"/>
      <c r="N743" s="386"/>
      <c r="O743" s="386"/>
      <c r="P743" s="386"/>
      <c r="Q743" s="386"/>
    </row>
    <row r="744" spans="1:17" ht="30" customHeight="1" x14ac:dyDescent="0.2">
      <c r="A744" s="4464"/>
      <c r="B744" s="4488"/>
      <c r="C744" s="4540"/>
      <c r="D744" s="4822" t="s">
        <v>5170</v>
      </c>
      <c r="E744" s="4823"/>
      <c r="F744" s="3285">
        <f>F742+F743</f>
        <v>950000000</v>
      </c>
      <c r="G744" s="4799"/>
      <c r="H744" s="4800"/>
      <c r="I744" s="4800"/>
      <c r="J744" s="4801"/>
      <c r="K744" s="4604"/>
      <c r="L744" s="3278"/>
      <c r="M744" s="386"/>
      <c r="N744" s="386"/>
      <c r="O744" s="386"/>
      <c r="P744" s="386"/>
      <c r="Q744" s="386"/>
    </row>
    <row r="745" spans="1:17" ht="30" customHeight="1" x14ac:dyDescent="0.2">
      <c r="A745" s="4464"/>
      <c r="B745" s="4488"/>
      <c r="C745" s="4540"/>
      <c r="D745" s="745">
        <v>850000000</v>
      </c>
      <c r="E745" s="3250">
        <v>0.08</v>
      </c>
      <c r="F745" s="745">
        <f>D745*E745</f>
        <v>68000000</v>
      </c>
      <c r="G745" s="4838" t="s">
        <v>5174</v>
      </c>
      <c r="H745" s="4838"/>
      <c r="I745" s="4838"/>
      <c r="J745" s="4838"/>
      <c r="K745" s="3228"/>
      <c r="L745" s="3234" t="s">
        <v>5147</v>
      </c>
      <c r="M745" s="386"/>
      <c r="N745" s="386"/>
      <c r="O745" s="386"/>
      <c r="P745" s="386"/>
      <c r="Q745" s="386"/>
    </row>
    <row r="746" spans="1:17" ht="30" customHeight="1" x14ac:dyDescent="0.2">
      <c r="A746" s="4464"/>
      <c r="B746" s="4488"/>
      <c r="C746" s="4540"/>
      <c r="D746" s="4939">
        <f>D739+D745</f>
        <v>15380000000</v>
      </c>
      <c r="E746" s="4940"/>
      <c r="F746" s="3253">
        <f>F739+F745</f>
        <v>1008250000</v>
      </c>
      <c r="G746" s="4838"/>
      <c r="H746" s="4838"/>
      <c r="I746" s="4838"/>
      <c r="J746" s="4838"/>
      <c r="K746" s="3228"/>
      <c r="L746" s="3228"/>
      <c r="M746" s="386"/>
      <c r="N746" s="386"/>
      <c r="O746" s="386"/>
      <c r="P746" s="386"/>
      <c r="Q746" s="386"/>
    </row>
    <row r="747" spans="1:17" ht="30" customHeight="1" x14ac:dyDescent="0.2">
      <c r="A747" s="4464"/>
      <c r="B747" s="4488"/>
      <c r="C747" s="4540"/>
      <c r="D747" s="3253">
        <v>50000000</v>
      </c>
      <c r="E747" s="3250">
        <v>0.08</v>
      </c>
      <c r="F747" s="3253">
        <f>D747*E747</f>
        <v>4000000</v>
      </c>
      <c r="G747" s="4838"/>
      <c r="H747" s="4838"/>
      <c r="I747" s="4838"/>
      <c r="J747" s="4838"/>
      <c r="K747" s="3228"/>
      <c r="L747" s="3234" t="s">
        <v>5168</v>
      </c>
      <c r="M747" s="386"/>
      <c r="N747" s="386"/>
      <c r="O747" s="386"/>
      <c r="P747" s="386"/>
      <c r="Q747" s="386"/>
    </row>
    <row r="748" spans="1:17" ht="30" customHeight="1" x14ac:dyDescent="0.2">
      <c r="A748" s="4464"/>
      <c r="B748" s="4488"/>
      <c r="C748" s="4540"/>
      <c r="D748" s="4939">
        <f>D746+D747</f>
        <v>15430000000</v>
      </c>
      <c r="E748" s="4940"/>
      <c r="F748" s="3253">
        <f>F746+F747</f>
        <v>1012250000</v>
      </c>
      <c r="G748" s="4838"/>
      <c r="H748" s="4838"/>
      <c r="I748" s="4838"/>
      <c r="J748" s="4838"/>
      <c r="K748" s="3228"/>
      <c r="L748" s="3228"/>
      <c r="M748" s="386"/>
      <c r="N748" s="386"/>
      <c r="O748" s="386"/>
      <c r="P748" s="386"/>
      <c r="Q748" s="386"/>
    </row>
    <row r="749" spans="1:17" ht="30" customHeight="1" x14ac:dyDescent="0.2">
      <c r="A749" s="4464"/>
      <c r="B749" s="4488"/>
      <c r="C749" s="4540"/>
      <c r="D749" s="3478"/>
      <c r="E749" s="3478"/>
      <c r="F749" s="3478"/>
      <c r="G749" s="3478">
        <v>40000000</v>
      </c>
      <c r="H749" s="3478" t="s">
        <v>3898</v>
      </c>
      <c r="I749" s="3478" t="s">
        <v>2686</v>
      </c>
      <c r="J749" s="3478">
        <f>G749</f>
        <v>40000000</v>
      </c>
      <c r="K749" s="3479"/>
      <c r="L749" s="3479"/>
      <c r="M749" s="386"/>
      <c r="N749" s="386"/>
      <c r="O749" s="386"/>
      <c r="P749" s="386"/>
      <c r="Q749" s="386"/>
    </row>
    <row r="750" spans="1:17" ht="30" customHeight="1" x14ac:dyDescent="0.2">
      <c r="A750" s="4464"/>
      <c r="B750" s="4488"/>
      <c r="C750" s="4540"/>
      <c r="D750" s="3478"/>
      <c r="E750" s="3478"/>
      <c r="F750" s="3478"/>
      <c r="G750" s="3478"/>
      <c r="H750" s="3478"/>
      <c r="I750" s="3478"/>
      <c r="J750" s="3478"/>
      <c r="K750" s="3479"/>
      <c r="L750" s="3479"/>
      <c r="M750" s="386"/>
      <c r="N750" s="386"/>
      <c r="O750" s="386"/>
      <c r="P750" s="386"/>
      <c r="Q750" s="386"/>
    </row>
    <row r="751" spans="1:17" ht="30" customHeight="1" x14ac:dyDescent="0.2">
      <c r="A751" s="4460"/>
      <c r="B751" s="4458"/>
      <c r="C751" s="4538"/>
      <c r="D751" s="3478"/>
      <c r="E751" s="3478"/>
      <c r="F751" s="3478"/>
      <c r="G751" s="3478"/>
      <c r="H751" s="3478"/>
      <c r="I751" s="3478"/>
      <c r="J751" s="3478"/>
      <c r="K751" s="3278"/>
      <c r="L751" s="3278"/>
      <c r="M751" s="386"/>
      <c r="N751" s="386"/>
      <c r="O751" s="386"/>
      <c r="P751" s="386"/>
      <c r="Q751" s="386"/>
    </row>
    <row r="752" spans="1:17" ht="30" customHeight="1" x14ac:dyDescent="0.2">
      <c r="A752" s="2946"/>
      <c r="B752" s="2947" t="s">
        <v>2622</v>
      </c>
      <c r="C752" s="2948"/>
      <c r="D752" s="2941">
        <v>160000000</v>
      </c>
      <c r="E752" s="2945">
        <v>0.05</v>
      </c>
      <c r="F752" s="2941">
        <f t="shared" ref="F752:F756" si="77">D752*E752</f>
        <v>8000000</v>
      </c>
      <c r="G752" s="2941">
        <v>8000000</v>
      </c>
      <c r="H752" s="2941" t="s">
        <v>4877</v>
      </c>
      <c r="I752" s="2696" t="s">
        <v>4366</v>
      </c>
      <c r="J752" s="2941">
        <f>G752</f>
        <v>8000000</v>
      </c>
      <c r="K752" s="2932">
        <f>F752-J752</f>
        <v>0</v>
      </c>
      <c r="L752" s="2879"/>
      <c r="M752" s="386"/>
      <c r="N752" s="386"/>
      <c r="O752" s="386"/>
      <c r="P752" s="386"/>
      <c r="Q752" s="386"/>
    </row>
    <row r="753" spans="1:17" ht="30" customHeight="1" x14ac:dyDescent="0.2">
      <c r="A753" s="2876"/>
      <c r="B753" s="2874" t="s">
        <v>2639</v>
      </c>
      <c r="C753" s="2847" t="s">
        <v>1172</v>
      </c>
      <c r="D753" s="2821">
        <v>80000000</v>
      </c>
      <c r="E753" s="2871">
        <v>0.05</v>
      </c>
      <c r="F753" s="2821">
        <f t="shared" si="77"/>
        <v>4000000</v>
      </c>
      <c r="G753" s="2821">
        <v>4000000</v>
      </c>
      <c r="H753" s="2821" t="s">
        <v>4922</v>
      </c>
      <c r="I753" s="473" t="s">
        <v>4021</v>
      </c>
      <c r="J753" s="2821">
        <f t="shared" ref="J753:J773" si="78">G753</f>
        <v>4000000</v>
      </c>
      <c r="K753" s="2859">
        <f t="shared" ref="K753:K774" si="79">F753-J753</f>
        <v>0</v>
      </c>
      <c r="L753" s="2879"/>
      <c r="M753" s="386"/>
      <c r="N753" s="386"/>
      <c r="O753" s="386"/>
      <c r="P753" s="386"/>
      <c r="Q753" s="386"/>
    </row>
    <row r="754" spans="1:17" ht="30" customHeight="1" x14ac:dyDescent="0.2">
      <c r="A754" s="2876"/>
      <c r="B754" s="2874" t="s">
        <v>4022</v>
      </c>
      <c r="C754" s="2847" t="s">
        <v>1172</v>
      </c>
      <c r="D754" s="2821">
        <v>100000000</v>
      </c>
      <c r="E754" s="2871">
        <v>0.05</v>
      </c>
      <c r="F754" s="2821">
        <f t="shared" si="77"/>
        <v>5000000</v>
      </c>
      <c r="G754" s="2821">
        <v>5000000</v>
      </c>
      <c r="H754" s="2821" t="s">
        <v>4922</v>
      </c>
      <c r="I754" s="473" t="s">
        <v>4065</v>
      </c>
      <c r="J754" s="2821">
        <f>G754</f>
        <v>5000000</v>
      </c>
      <c r="K754" s="2859">
        <f>F754-J754</f>
        <v>0</v>
      </c>
      <c r="L754" s="2879"/>
      <c r="M754" s="386"/>
      <c r="N754" s="386"/>
      <c r="O754" s="386"/>
      <c r="P754" s="386"/>
      <c r="Q754" s="386"/>
    </row>
    <row r="755" spans="1:17" ht="30" customHeight="1" x14ac:dyDescent="0.2">
      <c r="A755" s="2876"/>
      <c r="B755" s="2874" t="s">
        <v>3998</v>
      </c>
      <c r="C755" s="2873" t="s">
        <v>1652</v>
      </c>
      <c r="D755" s="2848">
        <v>25000000</v>
      </c>
      <c r="E755" s="2871">
        <v>0.04</v>
      </c>
      <c r="F755" s="2848">
        <f t="shared" si="77"/>
        <v>1000000</v>
      </c>
      <c r="G755" s="2848">
        <v>2000000</v>
      </c>
      <c r="H755" s="2848" t="s">
        <v>5011</v>
      </c>
      <c r="I755" s="2696" t="s">
        <v>2651</v>
      </c>
      <c r="J755" s="2848">
        <f t="shared" si="78"/>
        <v>2000000</v>
      </c>
      <c r="K755" s="2816">
        <f t="shared" si="79"/>
        <v>-1000000</v>
      </c>
      <c r="L755" s="2879" t="s">
        <v>5013</v>
      </c>
      <c r="M755" s="386"/>
      <c r="N755" s="386"/>
      <c r="O755" s="386"/>
      <c r="P755" s="386"/>
      <c r="Q755" s="386"/>
    </row>
    <row r="756" spans="1:17" ht="30" customHeight="1" x14ac:dyDescent="0.2">
      <c r="A756" s="4459"/>
      <c r="B756" s="4474" t="s">
        <v>2692</v>
      </c>
      <c r="C756" s="4537" t="s">
        <v>371</v>
      </c>
      <c r="D756" s="2848">
        <v>200000000</v>
      </c>
      <c r="E756" s="2871">
        <v>7.0000000000000007E-2</v>
      </c>
      <c r="F756" s="1857">
        <f t="shared" si="77"/>
        <v>14000000.000000002</v>
      </c>
      <c r="G756" s="4922"/>
      <c r="H756" s="4923"/>
      <c r="I756" s="4923"/>
      <c r="J756" s="4924"/>
      <c r="K756" s="387"/>
      <c r="L756" s="2879"/>
      <c r="M756" s="386"/>
      <c r="N756" s="386"/>
      <c r="O756" s="386"/>
      <c r="P756" s="386"/>
      <c r="Q756" s="386"/>
    </row>
    <row r="757" spans="1:17" ht="30" customHeight="1" x14ac:dyDescent="0.2">
      <c r="A757" s="4464"/>
      <c r="B757" s="4487"/>
      <c r="C757" s="4540"/>
      <c r="D757" s="2820">
        <v>14000000</v>
      </c>
      <c r="E757" s="2871">
        <v>7.0000000000000007E-2</v>
      </c>
      <c r="F757" s="1857">
        <f t="shared" ref="F757:F761" si="80">D757*E757</f>
        <v>980000.00000000012</v>
      </c>
      <c r="G757" s="4922" t="s">
        <v>4286</v>
      </c>
      <c r="H757" s="4923"/>
      <c r="I757" s="4923"/>
      <c r="J757" s="4924"/>
      <c r="K757" s="387"/>
      <c r="L757" s="2855"/>
      <c r="M757" s="386"/>
      <c r="N757" s="386"/>
      <c r="O757" s="386"/>
      <c r="P757" s="386"/>
      <c r="Q757" s="386"/>
    </row>
    <row r="758" spans="1:17" ht="30" customHeight="1" x14ac:dyDescent="0.2">
      <c r="A758" s="4464"/>
      <c r="B758" s="4487"/>
      <c r="C758" s="4540"/>
      <c r="D758" s="2820">
        <v>100000000</v>
      </c>
      <c r="E758" s="2871">
        <v>7.0000000000000007E-2</v>
      </c>
      <c r="F758" s="2848">
        <f t="shared" si="80"/>
        <v>7000000.0000000009</v>
      </c>
      <c r="G758" s="4922" t="s">
        <v>4715</v>
      </c>
      <c r="H758" s="4923"/>
      <c r="I758" s="4923"/>
      <c r="J758" s="4924"/>
      <c r="K758" s="387"/>
      <c r="L758" s="2728" t="s">
        <v>4717</v>
      </c>
      <c r="M758" s="386"/>
      <c r="N758" s="386"/>
      <c r="O758" s="386"/>
      <c r="P758" s="386"/>
      <c r="Q758" s="386"/>
    </row>
    <row r="759" spans="1:17" ht="30" customHeight="1" x14ac:dyDescent="0.2">
      <c r="A759" s="4464"/>
      <c r="B759" s="4487"/>
      <c r="C759" s="4540"/>
      <c r="D759" s="2820">
        <v>145000000</v>
      </c>
      <c r="E759" s="2871">
        <v>7.0000000000000007E-2</v>
      </c>
      <c r="F759" s="2848">
        <f t="shared" si="80"/>
        <v>10150000.000000002</v>
      </c>
      <c r="G759" s="4922" t="s">
        <v>4800</v>
      </c>
      <c r="H759" s="4923"/>
      <c r="I759" s="4923"/>
      <c r="J759" s="4924"/>
      <c r="K759" s="387"/>
      <c r="L759" s="2728" t="s">
        <v>4999</v>
      </c>
      <c r="M759" s="386"/>
      <c r="N759" s="386"/>
      <c r="O759" s="386"/>
      <c r="P759" s="386"/>
      <c r="Q759" s="386"/>
    </row>
    <row r="760" spans="1:17" ht="30" customHeight="1" x14ac:dyDescent="0.2">
      <c r="A760" s="4464"/>
      <c r="B760" s="4487"/>
      <c r="C760" s="4540"/>
      <c r="D760" s="2820">
        <v>6000000</v>
      </c>
      <c r="E760" s="2871">
        <v>7.0000000000000007E-2</v>
      </c>
      <c r="F760" s="2848">
        <f t="shared" si="80"/>
        <v>420000.00000000006</v>
      </c>
      <c r="G760" s="4922" t="s">
        <v>4719</v>
      </c>
      <c r="H760" s="4923"/>
      <c r="I760" s="4923"/>
      <c r="J760" s="4924"/>
      <c r="K760" s="387"/>
      <c r="L760" s="2728" t="s">
        <v>4720</v>
      </c>
      <c r="M760" s="386"/>
      <c r="N760" s="386"/>
      <c r="O760" s="386"/>
      <c r="P760" s="386"/>
      <c r="Q760" s="386"/>
    </row>
    <row r="761" spans="1:17" ht="30" customHeight="1" x14ac:dyDescent="0.2">
      <c r="A761" s="4464"/>
      <c r="B761" s="4487"/>
      <c r="C761" s="4540"/>
      <c r="D761" s="2820">
        <v>35000000</v>
      </c>
      <c r="E761" s="2871">
        <v>7.0000000000000007E-2</v>
      </c>
      <c r="F761" s="2848">
        <f t="shared" si="80"/>
        <v>2450000.0000000005</v>
      </c>
      <c r="G761" s="4922" t="s">
        <v>4801</v>
      </c>
      <c r="H761" s="4923"/>
      <c r="I761" s="4923"/>
      <c r="J761" s="4924"/>
      <c r="K761" s="387"/>
      <c r="L761" s="2728" t="s">
        <v>5000</v>
      </c>
      <c r="M761" s="386"/>
      <c r="N761" s="386"/>
      <c r="O761" s="386"/>
      <c r="P761" s="386"/>
      <c r="Q761" s="386"/>
    </row>
    <row r="762" spans="1:17" ht="30" customHeight="1" x14ac:dyDescent="0.2">
      <c r="A762" s="4464"/>
      <c r="B762" s="4487"/>
      <c r="C762" s="4540"/>
      <c r="D762" s="4413">
        <v>500000000</v>
      </c>
      <c r="E762" s="4476">
        <v>7.0000000000000007E-2</v>
      </c>
      <c r="F762" s="4861">
        <f>F756+F757+4900000+5750000+294000+1550000</f>
        <v>27474000</v>
      </c>
      <c r="G762" s="4959" t="s">
        <v>4716</v>
      </c>
      <c r="H762" s="4960"/>
      <c r="I762" s="4960"/>
      <c r="J762" s="4961"/>
      <c r="K762" s="4332">
        <f>F762-J763</f>
        <v>0</v>
      </c>
      <c r="L762" s="4675" t="s">
        <v>4907</v>
      </c>
      <c r="M762" s="386"/>
      <c r="N762" s="386"/>
      <c r="O762" s="386"/>
      <c r="P762" s="386"/>
      <c r="Q762" s="386"/>
    </row>
    <row r="763" spans="1:17" ht="30" customHeight="1" x14ac:dyDescent="0.2">
      <c r="A763" s="4464"/>
      <c r="B763" s="4487"/>
      <c r="C763" s="4540"/>
      <c r="D763" s="4415"/>
      <c r="E763" s="4477"/>
      <c r="F763" s="4863"/>
      <c r="G763" s="3209">
        <v>27474000</v>
      </c>
      <c r="H763" s="3209" t="s">
        <v>5017</v>
      </c>
      <c r="I763" s="3209" t="s">
        <v>5095</v>
      </c>
      <c r="J763" s="3209">
        <f>G763</f>
        <v>27474000</v>
      </c>
      <c r="K763" s="4332"/>
      <c r="L763" s="4676"/>
      <c r="M763" s="386"/>
      <c r="N763" s="386"/>
      <c r="O763" s="386"/>
      <c r="P763" s="386"/>
      <c r="Q763" s="386"/>
    </row>
    <row r="764" spans="1:17" ht="30" customHeight="1" x14ac:dyDescent="0.2">
      <c r="A764" s="4464"/>
      <c r="B764" s="4487"/>
      <c r="C764" s="4540"/>
      <c r="D764" s="2890">
        <v>500000000</v>
      </c>
      <c r="E764" s="2892">
        <v>7.0000000000000007E-2</v>
      </c>
      <c r="F764" s="2890">
        <f>D764*E764</f>
        <v>35000000</v>
      </c>
      <c r="G764" s="4967" t="s">
        <v>4718</v>
      </c>
      <c r="H764" s="4968"/>
      <c r="I764" s="4968"/>
      <c r="J764" s="4969"/>
      <c r="K764" s="387"/>
      <c r="L764" s="387"/>
      <c r="M764" s="386"/>
      <c r="N764" s="386"/>
      <c r="O764" s="386"/>
      <c r="P764" s="386"/>
      <c r="Q764" s="386"/>
    </row>
    <row r="765" spans="1:17" ht="30" customHeight="1" x14ac:dyDescent="0.2">
      <c r="A765" s="4459"/>
      <c r="B765" s="4474" t="s">
        <v>4701</v>
      </c>
      <c r="C765" s="4537" t="s">
        <v>371</v>
      </c>
      <c r="D765" s="3050">
        <v>183930000</v>
      </c>
      <c r="E765" s="3053">
        <v>7.0000000000000007E-2</v>
      </c>
      <c r="F765" s="3050">
        <f>D765*E765</f>
        <v>12875100.000000002</v>
      </c>
      <c r="G765" s="3145">
        <v>4309000</v>
      </c>
      <c r="H765" s="639" t="s">
        <v>5085</v>
      </c>
      <c r="I765" s="639" t="s">
        <v>5089</v>
      </c>
      <c r="J765" s="639">
        <f>G765</f>
        <v>4309000</v>
      </c>
      <c r="K765" s="2859"/>
      <c r="L765" s="4675" t="s">
        <v>4702</v>
      </c>
      <c r="M765" s="386"/>
      <c r="N765" s="386"/>
      <c r="O765" s="386"/>
      <c r="P765" s="386"/>
      <c r="Q765" s="386"/>
    </row>
    <row r="766" spans="1:17" ht="30" customHeight="1" x14ac:dyDescent="0.2">
      <c r="A766" s="4464"/>
      <c r="B766" s="4487"/>
      <c r="C766" s="4540"/>
      <c r="D766" s="3050">
        <v>183000000</v>
      </c>
      <c r="E766" s="3053">
        <v>7.0000000000000007E-2</v>
      </c>
      <c r="F766" s="3050">
        <f>D766*E766</f>
        <v>12810000.000000002</v>
      </c>
      <c r="G766" s="4922" t="s">
        <v>4964</v>
      </c>
      <c r="H766" s="4923"/>
      <c r="I766" s="4923"/>
      <c r="J766" s="4924"/>
      <c r="K766" s="3051"/>
      <c r="L766" s="4676"/>
      <c r="M766" s="386"/>
      <c r="N766" s="386"/>
      <c r="O766" s="386"/>
      <c r="P766" s="386"/>
      <c r="Q766" s="386"/>
    </row>
    <row r="767" spans="1:17" ht="30" customHeight="1" x14ac:dyDescent="0.2">
      <c r="A767" s="4464"/>
      <c r="B767" s="4487"/>
      <c r="C767" s="4540"/>
      <c r="D767" s="3050">
        <v>33070000</v>
      </c>
      <c r="E767" s="3053">
        <v>7.0000000000000007E-2</v>
      </c>
      <c r="F767" s="3050">
        <f>D767*E767</f>
        <v>2314900</v>
      </c>
      <c r="G767" s="4922" t="s">
        <v>4962</v>
      </c>
      <c r="H767" s="4923"/>
      <c r="I767" s="4923"/>
      <c r="J767" s="4924"/>
      <c r="K767" s="3051"/>
      <c r="L767" s="2023" t="s">
        <v>4963</v>
      </c>
      <c r="M767" s="386"/>
      <c r="N767" s="386"/>
      <c r="O767" s="386"/>
      <c r="P767" s="386"/>
      <c r="Q767" s="386"/>
    </row>
    <row r="768" spans="1:17" ht="30" customHeight="1" x14ac:dyDescent="0.2">
      <c r="A768" s="4460"/>
      <c r="B768" s="4475"/>
      <c r="C768" s="4538"/>
      <c r="D768" s="3044">
        <v>400000000</v>
      </c>
      <c r="E768" s="436">
        <v>7.0000000000000007E-2</v>
      </c>
      <c r="F768" s="3044">
        <f>D768*E768</f>
        <v>28000000.000000004</v>
      </c>
      <c r="G768" s="4922" t="s">
        <v>5090</v>
      </c>
      <c r="H768" s="4923"/>
      <c r="I768" s="4923"/>
      <c r="J768" s="4924"/>
      <c r="K768" s="2859"/>
      <c r="L768" s="2856"/>
      <c r="M768" s="386"/>
      <c r="N768" s="386"/>
      <c r="O768" s="386"/>
      <c r="P768" s="386"/>
      <c r="Q768" s="386"/>
    </row>
    <row r="769" spans="1:17" ht="30" customHeight="1" x14ac:dyDescent="0.2">
      <c r="A769" s="2876"/>
      <c r="B769" s="2874" t="s">
        <v>2702</v>
      </c>
      <c r="C769" s="2847" t="s">
        <v>262</v>
      </c>
      <c r="D769" s="2821">
        <v>30000000</v>
      </c>
      <c r="E769" s="2871">
        <v>0.05</v>
      </c>
      <c r="F769" s="2821">
        <f t="shared" ref="F769:F777" si="81">D769*E769</f>
        <v>1500000</v>
      </c>
      <c r="G769" s="2848">
        <v>1500000</v>
      </c>
      <c r="H769" s="2848" t="s">
        <v>4938</v>
      </c>
      <c r="I769" s="2848" t="s">
        <v>3536</v>
      </c>
      <c r="J769" s="2848">
        <f t="shared" si="78"/>
        <v>1500000</v>
      </c>
      <c r="K769" s="2859">
        <f t="shared" si="79"/>
        <v>0</v>
      </c>
      <c r="L769" s="2879"/>
      <c r="M769" s="386"/>
      <c r="N769" s="386"/>
      <c r="O769" s="386"/>
      <c r="P769" s="386"/>
      <c r="Q769" s="386"/>
    </row>
    <row r="770" spans="1:17" ht="30" customHeight="1" x14ac:dyDescent="0.2">
      <c r="A770" s="2876"/>
      <c r="B770" s="2874" t="s">
        <v>2727</v>
      </c>
      <c r="C770" s="2847" t="s">
        <v>392</v>
      </c>
      <c r="D770" s="2821">
        <v>140000000</v>
      </c>
      <c r="E770" s="2871">
        <v>7.0000000000000007E-2</v>
      </c>
      <c r="F770" s="2821">
        <f t="shared" si="81"/>
        <v>9800000.0000000019</v>
      </c>
      <c r="G770" s="2848">
        <v>9800000</v>
      </c>
      <c r="H770" s="2848" t="s">
        <v>4922</v>
      </c>
      <c r="I770" s="2848" t="s">
        <v>4933</v>
      </c>
      <c r="J770" s="2848">
        <f t="shared" si="78"/>
        <v>9800000</v>
      </c>
      <c r="K770" s="2859">
        <f t="shared" si="79"/>
        <v>0</v>
      </c>
      <c r="L770" s="2879"/>
      <c r="M770" s="386"/>
      <c r="N770" s="386"/>
      <c r="O770" s="386"/>
      <c r="P770" s="386"/>
      <c r="Q770" s="386"/>
    </row>
    <row r="771" spans="1:17" ht="30" customHeight="1" x14ac:dyDescent="0.2">
      <c r="A771" s="2876"/>
      <c r="B771" s="2874" t="s">
        <v>2735</v>
      </c>
      <c r="C771" s="2847" t="s">
        <v>889</v>
      </c>
      <c r="D771" s="2821">
        <v>85000000</v>
      </c>
      <c r="E771" s="2871">
        <v>0.05</v>
      </c>
      <c r="F771" s="2821">
        <f t="shared" si="81"/>
        <v>4250000</v>
      </c>
      <c r="G771" s="2848">
        <v>4250000</v>
      </c>
      <c r="H771" s="2848" t="s">
        <v>4862</v>
      </c>
      <c r="I771" s="2696" t="s">
        <v>3529</v>
      </c>
      <c r="J771" s="2848">
        <f t="shared" si="78"/>
        <v>4250000</v>
      </c>
      <c r="K771" s="2859">
        <f t="shared" si="79"/>
        <v>0</v>
      </c>
      <c r="L771" s="2879"/>
      <c r="M771" s="386"/>
      <c r="N771" s="386"/>
      <c r="O771" s="386"/>
      <c r="P771" s="386"/>
      <c r="Q771" s="386"/>
    </row>
    <row r="772" spans="1:17" ht="30" customHeight="1" x14ac:dyDescent="0.2">
      <c r="A772" s="2876"/>
      <c r="B772" s="2874" t="s">
        <v>3534</v>
      </c>
      <c r="C772" s="2847" t="s">
        <v>372</v>
      </c>
      <c r="D772" s="2821">
        <v>50000000</v>
      </c>
      <c r="E772" s="2871">
        <v>0.05</v>
      </c>
      <c r="F772" s="2821">
        <f t="shared" si="81"/>
        <v>2500000</v>
      </c>
      <c r="G772" s="2848">
        <v>2500000</v>
      </c>
      <c r="H772" s="2848" t="s">
        <v>4938</v>
      </c>
      <c r="I772" s="2848" t="s">
        <v>4093</v>
      </c>
      <c r="J772" s="2848">
        <f t="shared" si="78"/>
        <v>2500000</v>
      </c>
      <c r="K772" s="2859">
        <f t="shared" si="79"/>
        <v>0</v>
      </c>
      <c r="L772" s="2879"/>
      <c r="M772" s="386"/>
      <c r="N772" s="386"/>
      <c r="O772" s="386"/>
      <c r="P772" s="386"/>
      <c r="Q772" s="386"/>
    </row>
    <row r="773" spans="1:17" ht="30" customHeight="1" x14ac:dyDescent="0.2">
      <c r="A773" s="2876"/>
      <c r="B773" s="2874" t="s">
        <v>2738</v>
      </c>
      <c r="C773" s="2847" t="s">
        <v>372</v>
      </c>
      <c r="D773" s="2821">
        <v>25000000</v>
      </c>
      <c r="E773" s="2871">
        <v>0.05</v>
      </c>
      <c r="F773" s="2821">
        <f t="shared" si="81"/>
        <v>1250000</v>
      </c>
      <c r="G773" s="2848">
        <v>1250000</v>
      </c>
      <c r="H773" s="2848" t="s">
        <v>4938</v>
      </c>
      <c r="I773" s="2848" t="s">
        <v>4018</v>
      </c>
      <c r="J773" s="2848">
        <f t="shared" si="78"/>
        <v>1250000</v>
      </c>
      <c r="K773" s="2859">
        <f t="shared" si="79"/>
        <v>0</v>
      </c>
      <c r="L773" s="2879"/>
      <c r="M773" s="386"/>
      <c r="N773" s="386"/>
      <c r="O773" s="386"/>
      <c r="P773" s="386"/>
      <c r="Q773" s="386"/>
    </row>
    <row r="774" spans="1:17" ht="30" customHeight="1" x14ac:dyDescent="0.2">
      <c r="A774" s="4459"/>
      <c r="B774" s="4457" t="s">
        <v>2767</v>
      </c>
      <c r="C774" s="4537"/>
      <c r="D774" s="3227">
        <v>300000000</v>
      </c>
      <c r="E774" s="3229">
        <v>5.5E-2</v>
      </c>
      <c r="F774" s="3227">
        <f t="shared" si="81"/>
        <v>16500000</v>
      </c>
      <c r="G774" s="3227">
        <v>16500000</v>
      </c>
      <c r="H774" s="3227" t="s">
        <v>5011</v>
      </c>
      <c r="I774" s="3227" t="s">
        <v>3477</v>
      </c>
      <c r="J774" s="3227">
        <f>G774+G775</f>
        <v>52500000</v>
      </c>
      <c r="K774" s="3219">
        <f t="shared" si="79"/>
        <v>-36000000</v>
      </c>
      <c r="L774" s="848"/>
      <c r="M774" s="386"/>
      <c r="N774" s="386"/>
      <c r="O774" s="386"/>
      <c r="P774" s="386"/>
      <c r="Q774" s="386"/>
    </row>
    <row r="775" spans="1:17" ht="30" customHeight="1" x14ac:dyDescent="0.2">
      <c r="A775" s="4464"/>
      <c r="B775" s="4488"/>
      <c r="C775" s="4540"/>
      <c r="D775" s="3222">
        <v>50000000</v>
      </c>
      <c r="E775" s="3224">
        <v>5.5E-2</v>
      </c>
      <c r="F775" s="3222">
        <f t="shared" si="81"/>
        <v>2750000</v>
      </c>
      <c r="G775" s="4413">
        <v>36000000</v>
      </c>
      <c r="H775" s="4413" t="s">
        <v>5348</v>
      </c>
      <c r="I775" s="4413" t="s">
        <v>5504</v>
      </c>
      <c r="J775" s="4413">
        <f>G775</f>
        <v>36000000</v>
      </c>
      <c r="K775" s="4603">
        <f>F778-J775</f>
        <v>0</v>
      </c>
      <c r="L775" s="2023" t="s">
        <v>5192</v>
      </c>
      <c r="M775" s="386"/>
      <c r="N775" s="386"/>
      <c r="O775" s="386"/>
      <c r="P775" s="386"/>
      <c r="Q775" s="386"/>
    </row>
    <row r="776" spans="1:17" ht="30" customHeight="1" x14ac:dyDescent="0.2">
      <c r="A776" s="4464"/>
      <c r="B776" s="4488"/>
      <c r="C776" s="4540"/>
      <c r="D776" s="3222">
        <v>100000000</v>
      </c>
      <c r="E776" s="3224">
        <v>5.5E-2</v>
      </c>
      <c r="F776" s="3222">
        <f t="shared" si="81"/>
        <v>5500000</v>
      </c>
      <c r="G776" s="4414"/>
      <c r="H776" s="4414"/>
      <c r="I776" s="4414"/>
      <c r="J776" s="4414"/>
      <c r="K776" s="4609"/>
      <c r="L776" s="2023" t="s">
        <v>5193</v>
      </c>
      <c r="M776" s="386"/>
      <c r="N776" s="386"/>
      <c r="O776" s="386"/>
      <c r="P776" s="386"/>
      <c r="Q776" s="386"/>
    </row>
    <row r="777" spans="1:17" ht="30" customHeight="1" x14ac:dyDescent="0.2">
      <c r="A777" s="4464"/>
      <c r="B777" s="4488"/>
      <c r="C777" s="4540"/>
      <c r="D777" s="3290">
        <v>200000000</v>
      </c>
      <c r="E777" s="3291">
        <v>0.05</v>
      </c>
      <c r="F777" s="3290">
        <f t="shared" si="81"/>
        <v>10000000</v>
      </c>
      <c r="G777" s="4414"/>
      <c r="H777" s="4414"/>
      <c r="I777" s="4414"/>
      <c r="J777" s="4414"/>
      <c r="K777" s="4609"/>
      <c r="L777" s="2023" t="s">
        <v>5194</v>
      </c>
      <c r="M777" s="386"/>
      <c r="N777" s="386"/>
      <c r="O777" s="386"/>
      <c r="P777" s="386"/>
      <c r="Q777" s="386"/>
    </row>
    <row r="778" spans="1:17" ht="30" customHeight="1" x14ac:dyDescent="0.2">
      <c r="A778" s="4460"/>
      <c r="B778" s="4458"/>
      <c r="C778" s="4538"/>
      <c r="D778" s="3307">
        <f>SUM(D774:D777)</f>
        <v>650000000</v>
      </c>
      <c r="E778" s="3243">
        <v>5.5E-2</v>
      </c>
      <c r="F778" s="3242">
        <v>36000000</v>
      </c>
      <c r="G778" s="4415"/>
      <c r="H778" s="4415"/>
      <c r="I778" s="4415"/>
      <c r="J778" s="4415"/>
      <c r="K778" s="4604"/>
      <c r="L778" s="2023" t="s">
        <v>5195</v>
      </c>
      <c r="M778" s="386"/>
      <c r="N778" s="386"/>
      <c r="O778" s="386"/>
      <c r="P778" s="386"/>
      <c r="Q778" s="386"/>
    </row>
    <row r="779" spans="1:17" ht="30" customHeight="1" x14ac:dyDescent="0.2">
      <c r="A779" s="2876"/>
      <c r="B779" s="2874" t="s">
        <v>2799</v>
      </c>
      <c r="C779" s="2847"/>
      <c r="D779" s="2821">
        <v>85000000</v>
      </c>
      <c r="E779" s="2871"/>
      <c r="F779" s="2821"/>
      <c r="G779" s="2848"/>
      <c r="H779" s="2848"/>
      <c r="I779" s="2848"/>
      <c r="J779" s="2848"/>
      <c r="K779" s="2859"/>
      <c r="L779" s="2879" t="s">
        <v>2800</v>
      </c>
      <c r="M779" s="386"/>
      <c r="N779" s="386"/>
      <c r="O779" s="386"/>
      <c r="P779" s="386"/>
      <c r="Q779" s="386"/>
    </row>
    <row r="780" spans="1:17" ht="30" customHeight="1" x14ac:dyDescent="0.2">
      <c r="A780" s="2876"/>
      <c r="B780" s="2874" t="s">
        <v>2802</v>
      </c>
      <c r="C780" s="2847" t="s">
        <v>359</v>
      </c>
      <c r="D780" s="2821">
        <v>20000000</v>
      </c>
      <c r="E780" s="2871">
        <v>0.05</v>
      </c>
      <c r="F780" s="2821">
        <f t="shared" ref="F780:F787" si="82">D780*E780</f>
        <v>1000000</v>
      </c>
      <c r="G780" s="2848">
        <v>1000000</v>
      </c>
      <c r="H780" s="2848" t="s">
        <v>5085</v>
      </c>
      <c r="I780" s="2848" t="s">
        <v>3556</v>
      </c>
      <c r="J780" s="2848">
        <f>G780</f>
        <v>1000000</v>
      </c>
      <c r="K780" s="2859">
        <f>F780-J780</f>
        <v>0</v>
      </c>
      <c r="L780" s="2879"/>
      <c r="M780" s="386"/>
      <c r="N780" s="386"/>
      <c r="O780" s="386"/>
      <c r="P780" s="386"/>
      <c r="Q780" s="386"/>
    </row>
    <row r="781" spans="1:17" ht="30" customHeight="1" x14ac:dyDescent="0.2">
      <c r="A781" s="2825"/>
      <c r="B781" s="4457" t="s">
        <v>2904</v>
      </c>
      <c r="C781" s="4537" t="s">
        <v>1081</v>
      </c>
      <c r="D781" s="4413">
        <v>40000000</v>
      </c>
      <c r="E781" s="4476">
        <v>0.04</v>
      </c>
      <c r="F781" s="4413">
        <f t="shared" si="82"/>
        <v>1600000</v>
      </c>
      <c r="G781" s="2848">
        <v>1600000</v>
      </c>
      <c r="H781" s="2848" t="s">
        <v>4848</v>
      </c>
      <c r="I781" s="2848" t="s">
        <v>4316</v>
      </c>
      <c r="J781" s="2848">
        <f>G781</f>
        <v>1600000</v>
      </c>
      <c r="K781" s="2859">
        <f>F781-J781</f>
        <v>0</v>
      </c>
      <c r="L781" s="2879" t="s">
        <v>4439</v>
      </c>
      <c r="M781" s="386"/>
      <c r="N781" s="386"/>
      <c r="O781" s="386"/>
      <c r="P781" s="386"/>
      <c r="Q781" s="386"/>
    </row>
    <row r="782" spans="1:17" ht="30" customHeight="1" x14ac:dyDescent="0.2">
      <c r="A782" s="3398"/>
      <c r="B782" s="4458"/>
      <c r="C782" s="4538"/>
      <c r="D782" s="4415"/>
      <c r="E782" s="4477"/>
      <c r="F782" s="4415"/>
      <c r="G782" s="3409">
        <v>1600000</v>
      </c>
      <c r="H782" s="3409" t="s">
        <v>5229</v>
      </c>
      <c r="I782" s="3409" t="s">
        <v>4316</v>
      </c>
      <c r="J782" s="3409">
        <f>G782</f>
        <v>1600000</v>
      </c>
      <c r="K782" s="3411">
        <f>F781-J782</f>
        <v>0</v>
      </c>
      <c r="L782" s="3422" t="s">
        <v>4907</v>
      </c>
      <c r="M782" s="386"/>
      <c r="N782" s="386"/>
      <c r="O782" s="386"/>
      <c r="P782" s="386"/>
      <c r="Q782" s="386"/>
    </row>
    <row r="783" spans="1:17" ht="30" customHeight="1" x14ac:dyDescent="0.2">
      <c r="A783" s="4459"/>
      <c r="B783" s="4457" t="s">
        <v>2834</v>
      </c>
      <c r="C783" s="4537" t="s">
        <v>2849</v>
      </c>
      <c r="D783" s="2821">
        <v>20000000</v>
      </c>
      <c r="E783" s="2823">
        <v>0.05</v>
      </c>
      <c r="F783" s="2821">
        <f t="shared" si="82"/>
        <v>1000000</v>
      </c>
      <c r="G783" s="4469" t="s">
        <v>5513</v>
      </c>
      <c r="H783" s="4470"/>
      <c r="I783" s="4470"/>
      <c r="J783" s="4471"/>
      <c r="K783" s="2859"/>
      <c r="L783" s="2879"/>
      <c r="M783" s="386"/>
      <c r="N783" s="386"/>
      <c r="O783" s="386"/>
      <c r="P783" s="386"/>
      <c r="Q783" s="386"/>
    </row>
    <row r="784" spans="1:17" ht="30" customHeight="1" x14ac:dyDescent="0.2">
      <c r="A784" s="4460"/>
      <c r="B784" s="4458"/>
      <c r="C784" s="4538"/>
      <c r="D784" s="3136">
        <v>20000000</v>
      </c>
      <c r="E784" s="3137">
        <v>0.05</v>
      </c>
      <c r="F784" s="3136">
        <f t="shared" si="82"/>
        <v>1000000</v>
      </c>
      <c r="G784" s="4469" t="s">
        <v>5512</v>
      </c>
      <c r="H784" s="4470"/>
      <c r="I784" s="4470"/>
      <c r="J784" s="4471"/>
      <c r="K784" s="3147"/>
      <c r="L784" s="3157" t="s">
        <v>5070</v>
      </c>
      <c r="M784" s="386"/>
      <c r="N784" s="386"/>
      <c r="O784" s="386"/>
      <c r="P784" s="386"/>
      <c r="Q784" s="386"/>
    </row>
    <row r="785" spans="1:17" ht="30" customHeight="1" x14ac:dyDescent="0.2">
      <c r="A785" s="2826"/>
      <c r="B785" s="2971" t="s">
        <v>2899</v>
      </c>
      <c r="C785" s="2973" t="s">
        <v>1718</v>
      </c>
      <c r="D785" s="2972">
        <v>400000000</v>
      </c>
      <c r="E785" s="2974">
        <v>7.0000000000000007E-2</v>
      </c>
      <c r="F785" s="2972">
        <f t="shared" si="82"/>
        <v>28000000.000000004</v>
      </c>
      <c r="G785" s="3011">
        <v>28000000</v>
      </c>
      <c r="H785" s="3011" t="s">
        <v>4938</v>
      </c>
      <c r="I785" s="3014" t="s">
        <v>2868</v>
      </c>
      <c r="J785" s="3011">
        <f t="shared" ref="J785:J791" si="83">G785</f>
        <v>28000000</v>
      </c>
      <c r="K785" s="2859">
        <f>F785-J785</f>
        <v>0</v>
      </c>
      <c r="L785" s="2880" t="s">
        <v>4696</v>
      </c>
      <c r="M785" s="386"/>
      <c r="N785" s="386"/>
      <c r="O785" s="386"/>
      <c r="P785" s="386"/>
      <c r="Q785" s="386"/>
    </row>
    <row r="786" spans="1:17" ht="30" customHeight="1" x14ac:dyDescent="0.2">
      <c r="A786" s="2826"/>
      <c r="B786" s="2971" t="s">
        <v>4694</v>
      </c>
      <c r="C786" s="2973" t="s">
        <v>2278</v>
      </c>
      <c r="D786" s="2972">
        <v>100000000</v>
      </c>
      <c r="E786" s="2974">
        <v>7.0000000000000007E-2</v>
      </c>
      <c r="F786" s="2972">
        <f t="shared" si="82"/>
        <v>7000000.0000000009</v>
      </c>
      <c r="G786" s="3290">
        <v>7000000</v>
      </c>
      <c r="H786" s="3290" t="s">
        <v>5176</v>
      </c>
      <c r="I786" s="3294" t="s">
        <v>2868</v>
      </c>
      <c r="J786" s="3290">
        <f t="shared" si="83"/>
        <v>7000000</v>
      </c>
      <c r="K786" s="3300">
        <f>F786-G786</f>
        <v>0</v>
      </c>
      <c r="L786" s="2880" t="s">
        <v>4695</v>
      </c>
      <c r="M786" s="386"/>
      <c r="N786" s="386"/>
      <c r="O786" s="386"/>
      <c r="P786" s="386"/>
      <c r="Q786" s="386"/>
    </row>
    <row r="787" spans="1:17" ht="30" customHeight="1" x14ac:dyDescent="0.2">
      <c r="A787" s="2876"/>
      <c r="B787" s="2971" t="s">
        <v>2206</v>
      </c>
      <c r="C787" s="2973" t="s">
        <v>1306</v>
      </c>
      <c r="D787" s="2972">
        <v>150000000</v>
      </c>
      <c r="E787" s="2974">
        <v>0.05</v>
      </c>
      <c r="F787" s="2972">
        <f t="shared" si="82"/>
        <v>7500000</v>
      </c>
      <c r="G787" s="2821">
        <v>7500000</v>
      </c>
      <c r="H787" s="2821" t="s">
        <v>5214</v>
      </c>
      <c r="I787" s="2841" t="s">
        <v>4541</v>
      </c>
      <c r="J787" s="2821">
        <f t="shared" si="83"/>
        <v>7500000</v>
      </c>
      <c r="K787" s="2859">
        <f>F787-J787</f>
        <v>0</v>
      </c>
      <c r="L787" s="2856"/>
      <c r="M787" s="386"/>
      <c r="N787" s="386"/>
      <c r="O787" s="386"/>
      <c r="P787" s="386"/>
      <c r="Q787" s="386"/>
    </row>
    <row r="788" spans="1:17" ht="30" customHeight="1" x14ac:dyDescent="0.2">
      <c r="A788" s="2876"/>
      <c r="B788" s="19" t="s">
        <v>180</v>
      </c>
      <c r="C788" s="2847" t="s">
        <v>2849</v>
      </c>
      <c r="D788" s="2821">
        <v>126000000</v>
      </c>
      <c r="E788" s="2871">
        <f>F788/D788</f>
        <v>0.05</v>
      </c>
      <c r="F788" s="2821">
        <v>6300000</v>
      </c>
      <c r="G788" s="2848">
        <v>6300000</v>
      </c>
      <c r="H788" s="2848" t="s">
        <v>4877</v>
      </c>
      <c r="I788" s="2848" t="s">
        <v>4882</v>
      </c>
      <c r="J788" s="2848">
        <f t="shared" si="83"/>
        <v>6300000</v>
      </c>
      <c r="K788" s="2859">
        <f t="shared" ref="K788:K794" si="84">F788-J788</f>
        <v>0</v>
      </c>
      <c r="L788" s="2879"/>
      <c r="M788" s="386"/>
      <c r="N788" s="386"/>
      <c r="O788" s="386"/>
      <c r="P788" s="386"/>
      <c r="Q788" s="386"/>
    </row>
    <row r="789" spans="1:17" ht="30" customHeight="1" x14ac:dyDescent="0.2">
      <c r="A789" s="2876"/>
      <c r="B789" s="19" t="s">
        <v>4697</v>
      </c>
      <c r="C789" s="2847" t="s">
        <v>989</v>
      </c>
      <c r="D789" s="2821">
        <v>50000000</v>
      </c>
      <c r="E789" s="2871">
        <v>0.05</v>
      </c>
      <c r="F789" s="2821">
        <f>D789*E789</f>
        <v>2500000</v>
      </c>
      <c r="G789" s="2821">
        <v>2500000</v>
      </c>
      <c r="H789" s="2821" t="s">
        <v>1491</v>
      </c>
      <c r="I789" s="2841" t="s">
        <v>4766</v>
      </c>
      <c r="J789" s="2821">
        <f t="shared" si="83"/>
        <v>2500000</v>
      </c>
      <c r="K789" s="2859">
        <f>F789-J789</f>
        <v>0</v>
      </c>
      <c r="L789" s="2702"/>
      <c r="M789" s="386"/>
      <c r="N789" s="386"/>
      <c r="O789" s="386"/>
      <c r="P789" s="386"/>
      <c r="Q789" s="386"/>
    </row>
    <row r="790" spans="1:17" ht="30" customHeight="1" x14ac:dyDescent="0.2">
      <c r="A790" s="2876"/>
      <c r="B790" s="2874" t="s">
        <v>2873</v>
      </c>
      <c r="C790" s="2847" t="s">
        <v>1172</v>
      </c>
      <c r="D790" s="2821">
        <v>40000000</v>
      </c>
      <c r="E790" s="2871">
        <v>0.05</v>
      </c>
      <c r="F790" s="2821">
        <f>D790*E790</f>
        <v>2000000</v>
      </c>
      <c r="G790" s="2821">
        <v>2000000</v>
      </c>
      <c r="H790" s="2821" t="s">
        <v>5085</v>
      </c>
      <c r="I790" s="2841" t="s">
        <v>4080</v>
      </c>
      <c r="J790" s="2821">
        <f t="shared" si="83"/>
        <v>2000000</v>
      </c>
      <c r="K790" s="2859">
        <f t="shared" si="84"/>
        <v>0</v>
      </c>
      <c r="L790" s="2879"/>
      <c r="M790" s="386"/>
      <c r="N790" s="386"/>
      <c r="O790" s="386"/>
      <c r="P790" s="386"/>
      <c r="Q790" s="386"/>
    </row>
    <row r="791" spans="1:17" ht="30" customHeight="1" x14ac:dyDescent="0.2">
      <c r="A791" s="2876"/>
      <c r="B791" s="2874" t="s">
        <v>2878</v>
      </c>
      <c r="C791" s="2847" t="s">
        <v>1718</v>
      </c>
      <c r="D791" s="2821">
        <v>25000000</v>
      </c>
      <c r="E791" s="2871">
        <v>0.04</v>
      </c>
      <c r="F791" s="2821">
        <f>D791*E791</f>
        <v>1000000</v>
      </c>
      <c r="G791" s="2821">
        <v>1000000</v>
      </c>
      <c r="H791" s="2821" t="s">
        <v>5085</v>
      </c>
      <c r="I791" s="2841" t="s">
        <v>4064</v>
      </c>
      <c r="J791" s="2821">
        <f t="shared" si="83"/>
        <v>1000000</v>
      </c>
      <c r="K791" s="2859">
        <f t="shared" si="84"/>
        <v>0</v>
      </c>
      <c r="L791" s="2879"/>
      <c r="M791" s="386"/>
      <c r="N791" s="386"/>
      <c r="O791" s="386"/>
      <c r="P791" s="386"/>
      <c r="Q791" s="386"/>
    </row>
    <row r="792" spans="1:17" ht="30" customHeight="1" x14ac:dyDescent="0.2">
      <c r="A792" s="2876"/>
      <c r="B792" s="2874" t="s">
        <v>2932</v>
      </c>
      <c r="C792" s="2847" t="s">
        <v>1172</v>
      </c>
      <c r="D792" s="2821">
        <v>50000000</v>
      </c>
      <c r="E792" s="2871">
        <v>0.05</v>
      </c>
      <c r="F792" s="2821">
        <f>D792*E792</f>
        <v>2500000</v>
      </c>
      <c r="G792" s="2821">
        <v>2500000</v>
      </c>
      <c r="H792" s="2821" t="s">
        <v>4893</v>
      </c>
      <c r="I792" s="2841" t="s">
        <v>4094</v>
      </c>
      <c r="J792" s="2821">
        <f t="shared" ref="J792:J795" si="85">G792</f>
        <v>2500000</v>
      </c>
      <c r="K792" s="2859">
        <f t="shared" si="84"/>
        <v>0</v>
      </c>
      <c r="L792" s="2879"/>
      <c r="M792" s="386"/>
      <c r="N792" s="386"/>
      <c r="O792" s="386"/>
      <c r="P792" s="386"/>
      <c r="Q792" s="386"/>
    </row>
    <row r="793" spans="1:17" ht="30" customHeight="1" x14ac:dyDescent="0.2">
      <c r="A793" s="2825"/>
      <c r="B793" s="19" t="s">
        <v>2938</v>
      </c>
      <c r="C793" s="2873" t="s">
        <v>1138</v>
      </c>
      <c r="D793" s="2848">
        <v>10000000</v>
      </c>
      <c r="E793" s="2871">
        <v>0.05</v>
      </c>
      <c r="F793" s="2848">
        <f>D793*E793</f>
        <v>500000</v>
      </c>
      <c r="G793" s="2848">
        <v>500000</v>
      </c>
      <c r="H793" s="2848" t="s">
        <v>4877</v>
      </c>
      <c r="I793" s="2848" t="s">
        <v>2939</v>
      </c>
      <c r="J793" s="2848">
        <f t="shared" si="85"/>
        <v>500000</v>
      </c>
      <c r="K793" s="2859">
        <f t="shared" si="84"/>
        <v>0</v>
      </c>
      <c r="L793" s="2879" t="s">
        <v>5261</v>
      </c>
      <c r="M793" s="386"/>
      <c r="N793" s="386"/>
      <c r="O793" s="386"/>
      <c r="P793" s="386"/>
      <c r="Q793" s="386"/>
    </row>
    <row r="794" spans="1:17" ht="30" customHeight="1" x14ac:dyDescent="0.2">
      <c r="A794" s="2876"/>
      <c r="B794" s="2829" t="s">
        <v>2943</v>
      </c>
      <c r="C794" s="2847"/>
      <c r="D794" s="2838"/>
      <c r="E794" s="2839"/>
      <c r="F794" s="2838"/>
      <c r="G794" s="2821"/>
      <c r="H794" s="2821"/>
      <c r="I794" s="2841"/>
      <c r="J794" s="2821">
        <f t="shared" si="85"/>
        <v>0</v>
      </c>
      <c r="K794" s="2865">
        <f t="shared" si="84"/>
        <v>0</v>
      </c>
      <c r="L794" s="2879"/>
      <c r="M794" s="386"/>
      <c r="N794" s="386"/>
      <c r="O794" s="386"/>
      <c r="P794" s="386"/>
      <c r="Q794" s="386"/>
    </row>
    <row r="795" spans="1:17" ht="30" customHeight="1" x14ac:dyDescent="0.2">
      <c r="A795" s="4459"/>
      <c r="B795" s="4457" t="s">
        <v>3037</v>
      </c>
      <c r="C795" s="4537" t="s">
        <v>1306</v>
      </c>
      <c r="D795" s="3293">
        <v>30000000</v>
      </c>
      <c r="E795" s="436">
        <v>0.05</v>
      </c>
      <c r="F795" s="3293">
        <f t="shared" ref="F795:F802" si="86">D795*E795</f>
        <v>1500000</v>
      </c>
      <c r="G795" s="2848">
        <v>3000000</v>
      </c>
      <c r="H795" s="2848" t="s">
        <v>5205</v>
      </c>
      <c r="I795" s="2848" t="s">
        <v>3719</v>
      </c>
      <c r="J795" s="2848">
        <f t="shared" si="85"/>
        <v>3000000</v>
      </c>
      <c r="K795" s="2859">
        <f>(F795+F796+F797)-J795</f>
        <v>0</v>
      </c>
      <c r="L795" s="2879"/>
      <c r="M795" s="386"/>
      <c r="N795" s="386"/>
      <c r="O795" s="386"/>
      <c r="P795" s="386"/>
      <c r="Q795" s="386"/>
    </row>
    <row r="796" spans="1:17" ht="30" customHeight="1" x14ac:dyDescent="0.2">
      <c r="A796" s="4464"/>
      <c r="B796" s="4488"/>
      <c r="C796" s="4540"/>
      <c r="D796" s="3293">
        <v>15000000</v>
      </c>
      <c r="E796" s="436">
        <v>0.05</v>
      </c>
      <c r="F796" s="3293">
        <f t="shared" si="86"/>
        <v>750000</v>
      </c>
      <c r="G796" s="4303" t="s">
        <v>4494</v>
      </c>
      <c r="H796" s="4324"/>
      <c r="I796" s="4324"/>
      <c r="J796" s="4355"/>
      <c r="K796" s="2859"/>
      <c r="L796" s="2879"/>
      <c r="M796" s="386"/>
      <c r="N796" s="386"/>
      <c r="O796" s="386"/>
      <c r="P796" s="386"/>
      <c r="Q796" s="386"/>
    </row>
    <row r="797" spans="1:17" ht="30" customHeight="1" x14ac:dyDescent="0.2">
      <c r="A797" s="4460"/>
      <c r="B797" s="4458"/>
      <c r="C797" s="4538"/>
      <c r="D797" s="3293">
        <v>15000000</v>
      </c>
      <c r="E797" s="436">
        <v>0.05</v>
      </c>
      <c r="F797" s="3293">
        <f t="shared" si="86"/>
        <v>750000</v>
      </c>
      <c r="G797" s="4303" t="s">
        <v>4495</v>
      </c>
      <c r="H797" s="4324"/>
      <c r="I797" s="4324"/>
      <c r="J797" s="4355"/>
      <c r="K797" s="2859"/>
      <c r="L797" s="2879" t="s">
        <v>4685</v>
      </c>
      <c r="M797" s="386"/>
      <c r="N797" s="386"/>
      <c r="O797" s="386"/>
      <c r="P797" s="386"/>
      <c r="Q797" s="386"/>
    </row>
    <row r="798" spans="1:17" ht="30" customHeight="1" x14ac:dyDescent="0.2">
      <c r="A798" s="4459"/>
      <c r="B798" s="4457" t="s">
        <v>3040</v>
      </c>
      <c r="C798" s="4537" t="s">
        <v>1172</v>
      </c>
      <c r="D798" s="2821">
        <f>1000000000+19000000</f>
        <v>1019000000</v>
      </c>
      <c r="E798" s="2871">
        <v>7.0000000000000007E-2</v>
      </c>
      <c r="F798" s="2821">
        <f t="shared" si="86"/>
        <v>71330000</v>
      </c>
      <c r="G798" s="2821">
        <v>71330000</v>
      </c>
      <c r="H798" s="4413" t="s">
        <v>4922</v>
      </c>
      <c r="I798" s="4413" t="s">
        <v>4944</v>
      </c>
      <c r="J798" s="4413">
        <f>G798+G799</f>
        <v>90330000</v>
      </c>
      <c r="K798" s="4603">
        <v>0</v>
      </c>
      <c r="L798" s="3019"/>
      <c r="M798" s="386"/>
      <c r="N798" s="386"/>
      <c r="O798" s="386"/>
      <c r="P798" s="386"/>
      <c r="Q798" s="386"/>
    </row>
    <row r="799" spans="1:17" ht="30" customHeight="1" x14ac:dyDescent="0.2">
      <c r="A799" s="4464"/>
      <c r="B799" s="4488"/>
      <c r="C799" s="4540"/>
      <c r="D799" s="4303" t="s">
        <v>4943</v>
      </c>
      <c r="E799" s="4324"/>
      <c r="F799" s="4355"/>
      <c r="G799" s="3011">
        <v>19000000</v>
      </c>
      <c r="H799" s="4415"/>
      <c r="I799" s="4415"/>
      <c r="J799" s="4415"/>
      <c r="K799" s="4604"/>
      <c r="L799" s="3027"/>
      <c r="M799" s="386"/>
      <c r="N799" s="386"/>
      <c r="O799" s="386"/>
      <c r="P799" s="386"/>
      <c r="Q799" s="386"/>
    </row>
    <row r="800" spans="1:17" ht="30" customHeight="1" x14ac:dyDescent="0.2">
      <c r="A800" s="4460"/>
      <c r="B800" s="4458"/>
      <c r="C800" s="4538"/>
      <c r="D800" s="3011">
        <v>1000000000</v>
      </c>
      <c r="E800" s="3024">
        <v>7.0000000000000007E-2</v>
      </c>
      <c r="F800" s="3011">
        <f>D800*E800</f>
        <v>70000000</v>
      </c>
      <c r="G800" s="3011"/>
      <c r="H800" s="3011"/>
      <c r="I800" s="3014"/>
      <c r="J800" s="3011"/>
      <c r="K800" s="3021"/>
      <c r="L800" s="3020"/>
      <c r="M800" s="386"/>
      <c r="N800" s="386"/>
      <c r="O800" s="386"/>
      <c r="P800" s="386"/>
      <c r="Q800" s="386"/>
    </row>
    <row r="801" spans="1:17" ht="30" customHeight="1" x14ac:dyDescent="0.2">
      <c r="A801" s="2876"/>
      <c r="B801" s="2874" t="s">
        <v>3071</v>
      </c>
      <c r="C801" s="2847" t="s">
        <v>889</v>
      </c>
      <c r="D801" s="2821">
        <v>100000000</v>
      </c>
      <c r="E801" s="2871">
        <v>0.05</v>
      </c>
      <c r="F801" s="2821">
        <f t="shared" si="86"/>
        <v>5000000</v>
      </c>
      <c r="G801" s="2821">
        <v>5000000</v>
      </c>
      <c r="H801" s="2821" t="s">
        <v>4841</v>
      </c>
      <c r="I801" s="2841" t="s">
        <v>3967</v>
      </c>
      <c r="J801" s="2821">
        <f>G801</f>
        <v>5000000</v>
      </c>
      <c r="K801" s="2859">
        <f>F801-J801</f>
        <v>0</v>
      </c>
      <c r="L801" s="2954"/>
      <c r="M801" s="2954"/>
      <c r="N801" s="2954"/>
      <c r="O801" s="2954"/>
      <c r="P801" s="2954"/>
      <c r="Q801" s="386"/>
    </row>
    <row r="802" spans="1:17" ht="30" customHeight="1" x14ac:dyDescent="0.2">
      <c r="A802" s="2946"/>
      <c r="B802" s="2947" t="s">
        <v>3764</v>
      </c>
      <c r="C802" s="2948"/>
      <c r="D802" s="2941">
        <v>30000000</v>
      </c>
      <c r="E802" s="2945">
        <v>7.0000000000000007E-2</v>
      </c>
      <c r="F802" s="2941">
        <f t="shared" si="86"/>
        <v>2100000</v>
      </c>
      <c r="G802" s="2941">
        <v>2100000</v>
      </c>
      <c r="H802" s="2941" t="s">
        <v>1491</v>
      </c>
      <c r="I802" s="2941" t="s">
        <v>4143</v>
      </c>
      <c r="J802" s="2941">
        <f>G802</f>
        <v>2100000</v>
      </c>
      <c r="K802" s="2932">
        <f>F802-J802</f>
        <v>0</v>
      </c>
      <c r="L802" s="2949"/>
      <c r="M802" s="386"/>
      <c r="N802" s="386"/>
      <c r="O802" s="386"/>
      <c r="P802" s="386"/>
      <c r="Q802" s="386"/>
    </row>
    <row r="803" spans="1:17" ht="30" customHeight="1" x14ac:dyDescent="0.2">
      <c r="A803" s="4459"/>
      <c r="B803" s="4457" t="s">
        <v>3955</v>
      </c>
      <c r="C803" s="4537"/>
      <c r="D803" s="4413">
        <v>300000000</v>
      </c>
      <c r="E803" s="4476">
        <v>0.05</v>
      </c>
      <c r="F803" s="4413">
        <f>D803*E803</f>
        <v>15000000</v>
      </c>
      <c r="G803" s="2848">
        <v>1500000</v>
      </c>
      <c r="H803" s="2848" t="s">
        <v>5107</v>
      </c>
      <c r="I803" s="2848" t="s">
        <v>4149</v>
      </c>
      <c r="J803" s="4413">
        <f>G803+G804+G805</f>
        <v>15000000</v>
      </c>
      <c r="K803" s="4603">
        <f>F803-J803</f>
        <v>0</v>
      </c>
      <c r="L803" s="3358"/>
      <c r="M803" s="386"/>
      <c r="N803" s="386"/>
      <c r="O803" s="386"/>
      <c r="P803" s="386"/>
      <c r="Q803" s="386"/>
    </row>
    <row r="804" spans="1:17" ht="30" customHeight="1" x14ac:dyDescent="0.2">
      <c r="A804" s="4464"/>
      <c r="B804" s="4488"/>
      <c r="C804" s="4540"/>
      <c r="D804" s="4414"/>
      <c r="E804" s="4516"/>
      <c r="F804" s="4414"/>
      <c r="G804" s="3355">
        <v>9000000</v>
      </c>
      <c r="H804" s="3355" t="s">
        <v>5107</v>
      </c>
      <c r="I804" s="3355" t="s">
        <v>4149</v>
      </c>
      <c r="J804" s="4414"/>
      <c r="K804" s="4609"/>
      <c r="L804" s="3356"/>
      <c r="M804" s="386"/>
      <c r="N804" s="386"/>
      <c r="O804" s="386"/>
      <c r="P804" s="386"/>
      <c r="Q804" s="386"/>
    </row>
    <row r="805" spans="1:17" ht="30" customHeight="1" x14ac:dyDescent="0.2">
      <c r="A805" s="4464"/>
      <c r="B805" s="4488"/>
      <c r="C805" s="4540"/>
      <c r="D805" s="4415"/>
      <c r="E805" s="4477"/>
      <c r="F805" s="4415"/>
      <c r="G805" s="2848">
        <v>4500000</v>
      </c>
      <c r="H805" s="2848" t="s">
        <v>5108</v>
      </c>
      <c r="I805" s="2848" t="s">
        <v>4149</v>
      </c>
      <c r="J805" s="4415"/>
      <c r="K805" s="4604"/>
      <c r="L805" s="2856" t="s">
        <v>4765</v>
      </c>
      <c r="M805" s="386"/>
      <c r="N805" s="386"/>
      <c r="O805" s="386"/>
      <c r="P805" s="386"/>
      <c r="Q805" s="386"/>
    </row>
    <row r="806" spans="1:17" ht="30" customHeight="1" x14ac:dyDescent="0.2">
      <c r="A806" s="4460"/>
      <c r="B806" s="4458"/>
      <c r="C806" s="4538"/>
      <c r="D806" s="3396">
        <v>60000000</v>
      </c>
      <c r="E806" s="3400">
        <v>0.05</v>
      </c>
      <c r="F806" s="3396">
        <f>D806*E806</f>
        <v>3000000</v>
      </c>
      <c r="G806" s="3409"/>
      <c r="H806" s="3409"/>
      <c r="I806" s="3409"/>
      <c r="J806" s="3396"/>
      <c r="K806" s="3411"/>
      <c r="L806" s="3419" t="s">
        <v>5268</v>
      </c>
      <c r="M806" s="386"/>
      <c r="N806" s="386"/>
      <c r="O806" s="386"/>
      <c r="P806" s="386"/>
      <c r="Q806" s="386"/>
    </row>
    <row r="807" spans="1:17" ht="30" customHeight="1" x14ac:dyDescent="0.2">
      <c r="A807" s="1029"/>
      <c r="B807" s="19" t="s">
        <v>3159</v>
      </c>
      <c r="C807" s="378" t="s">
        <v>989</v>
      </c>
      <c r="D807" s="2821">
        <v>50000000</v>
      </c>
      <c r="E807" s="2823">
        <v>0.05</v>
      </c>
      <c r="F807" s="2821">
        <f>D807*E807</f>
        <v>2500000</v>
      </c>
      <c r="G807" s="2848">
        <v>2500000</v>
      </c>
      <c r="H807" s="2848" t="s">
        <v>1491</v>
      </c>
      <c r="I807" s="2848" t="s">
        <v>4381</v>
      </c>
      <c r="J807" s="2848">
        <f>G807</f>
        <v>2500000</v>
      </c>
      <c r="K807" s="2859">
        <f>F807-J807</f>
        <v>0</v>
      </c>
      <c r="L807" s="2856"/>
      <c r="M807" s="386"/>
      <c r="N807" s="386"/>
      <c r="O807" s="386"/>
      <c r="P807" s="386"/>
      <c r="Q807" s="386"/>
    </row>
    <row r="808" spans="1:17" ht="30" customHeight="1" x14ac:dyDescent="0.2">
      <c r="A808" s="4459"/>
      <c r="B808" s="4474" t="s">
        <v>3164</v>
      </c>
      <c r="C808" s="4537" t="s">
        <v>3323</v>
      </c>
      <c r="D808" s="4322">
        <v>400000000</v>
      </c>
      <c r="E808" s="4608">
        <v>0.04</v>
      </c>
      <c r="F808" s="4322">
        <f>D808*E808</f>
        <v>16000000</v>
      </c>
      <c r="G808" s="2848">
        <v>16000000</v>
      </c>
      <c r="H808" s="2848" t="s">
        <v>4841</v>
      </c>
      <c r="I808" s="2848" t="s">
        <v>4846</v>
      </c>
      <c r="J808" s="2848">
        <f>G808</f>
        <v>16000000</v>
      </c>
      <c r="K808" s="2859">
        <f>F808-J808</f>
        <v>0</v>
      </c>
      <c r="L808" s="2879" t="s">
        <v>4439</v>
      </c>
      <c r="M808" s="386"/>
      <c r="N808" s="386"/>
      <c r="O808" s="386"/>
      <c r="P808" s="386"/>
      <c r="Q808" s="386"/>
    </row>
    <row r="809" spans="1:17" ht="30" customHeight="1" x14ac:dyDescent="0.2">
      <c r="A809" s="4460"/>
      <c r="B809" s="4475"/>
      <c r="C809" s="4538"/>
      <c r="D809" s="4322"/>
      <c r="E809" s="4608"/>
      <c r="F809" s="4322"/>
      <c r="G809" s="3456">
        <v>16000000</v>
      </c>
      <c r="H809" s="3456" t="s">
        <v>5108</v>
      </c>
      <c r="I809" s="3456" t="s">
        <v>4846</v>
      </c>
      <c r="J809" s="3443">
        <f>G809</f>
        <v>16000000</v>
      </c>
      <c r="K809" s="3466">
        <f>F808-J809</f>
        <v>0</v>
      </c>
      <c r="L809" s="3467" t="s">
        <v>4907</v>
      </c>
      <c r="M809" s="386"/>
      <c r="N809" s="386"/>
      <c r="O809" s="386"/>
      <c r="P809" s="386"/>
      <c r="Q809" s="386"/>
    </row>
    <row r="810" spans="1:17" ht="30" customHeight="1" x14ac:dyDescent="0.2">
      <c r="A810" s="4459"/>
      <c r="B810" s="4474" t="s">
        <v>825</v>
      </c>
      <c r="C810" s="4599"/>
      <c r="D810" s="4715" t="s">
        <v>4937</v>
      </c>
      <c r="E810" s="4716"/>
      <c r="F810" s="4717"/>
      <c r="G810" s="2848">
        <v>50000000</v>
      </c>
      <c r="H810" s="2848" t="s">
        <v>4941</v>
      </c>
      <c r="I810" s="2848" t="s">
        <v>855</v>
      </c>
      <c r="J810" s="4413">
        <f>G810+G811</f>
        <v>100000000</v>
      </c>
      <c r="K810" s="4603">
        <f>100000000-J810</f>
        <v>0</v>
      </c>
      <c r="L810" s="2879"/>
      <c r="M810" s="386"/>
      <c r="N810" s="386"/>
      <c r="O810" s="386"/>
      <c r="P810" s="386"/>
      <c r="Q810" s="386"/>
    </row>
    <row r="811" spans="1:17" ht="30" customHeight="1" x14ac:dyDescent="0.2">
      <c r="A811" s="4464"/>
      <c r="B811" s="4487"/>
      <c r="C811" s="4600"/>
      <c r="D811" s="4721"/>
      <c r="E811" s="4722"/>
      <c r="F811" s="4723"/>
      <c r="G811" s="2821">
        <v>50000000</v>
      </c>
      <c r="H811" s="2821" t="s">
        <v>4938</v>
      </c>
      <c r="I811" s="2821" t="s">
        <v>855</v>
      </c>
      <c r="J811" s="4415"/>
      <c r="K811" s="4604"/>
      <c r="L811" s="2879" t="s">
        <v>4630</v>
      </c>
      <c r="M811" s="386"/>
      <c r="N811" s="386"/>
      <c r="O811" s="386"/>
      <c r="P811" s="386"/>
      <c r="Q811" s="386"/>
    </row>
    <row r="812" spans="1:17" ht="30" customHeight="1" x14ac:dyDescent="0.2">
      <c r="A812" s="4460"/>
      <c r="B812" s="4475"/>
      <c r="C812" s="4607"/>
      <c r="D812" s="5022" t="s">
        <v>5710</v>
      </c>
      <c r="E812" s="5023"/>
      <c r="F812" s="5024"/>
      <c r="G812" s="3011">
        <v>20000000</v>
      </c>
      <c r="H812" s="3011" t="s">
        <v>5292</v>
      </c>
      <c r="I812" s="3011" t="s">
        <v>5711</v>
      </c>
      <c r="J812" s="3011">
        <f>G812</f>
        <v>20000000</v>
      </c>
      <c r="K812" s="3021"/>
      <c r="L812" s="3026"/>
      <c r="M812" s="386"/>
      <c r="N812" s="386"/>
      <c r="O812" s="386"/>
      <c r="P812" s="386"/>
      <c r="Q812" s="386"/>
    </row>
    <row r="813" spans="1:17" ht="30" customHeight="1" x14ac:dyDescent="0.2">
      <c r="A813" s="399"/>
      <c r="B813" s="2824" t="s">
        <v>3215</v>
      </c>
      <c r="C813" s="2847" t="s">
        <v>3216</v>
      </c>
      <c r="D813" s="2821">
        <v>120000000</v>
      </c>
      <c r="E813" s="2823">
        <v>0.04</v>
      </c>
      <c r="F813" s="2821">
        <f>D813*E813</f>
        <v>4800000</v>
      </c>
      <c r="G813" s="2821">
        <v>4800000</v>
      </c>
      <c r="H813" s="2821" t="s">
        <v>5214</v>
      </c>
      <c r="I813" s="2821" t="s">
        <v>1946</v>
      </c>
      <c r="J813" s="2821">
        <f t="shared" ref="J813:J826" si="87">G813</f>
        <v>4800000</v>
      </c>
      <c r="K813" s="2859">
        <f t="shared" ref="K813:K822" si="88">F813-J813</f>
        <v>0</v>
      </c>
      <c r="L813" s="2879"/>
      <c r="M813" s="386"/>
      <c r="N813" s="386"/>
      <c r="O813" s="386"/>
      <c r="P813" s="386"/>
      <c r="Q813" s="386"/>
    </row>
    <row r="814" spans="1:17" ht="30" customHeight="1" x14ac:dyDescent="0.2">
      <c r="A814" s="146"/>
      <c r="B814" s="2824" t="s">
        <v>3218</v>
      </c>
      <c r="C814" s="2847" t="s">
        <v>3219</v>
      </c>
      <c r="D814" s="2821">
        <v>100000000</v>
      </c>
      <c r="E814" s="2871">
        <v>0.05</v>
      </c>
      <c r="F814" s="2821">
        <f>D814*E814</f>
        <v>5000000</v>
      </c>
      <c r="G814" s="2848">
        <v>5000000</v>
      </c>
      <c r="H814" s="2848" t="s">
        <v>4841</v>
      </c>
      <c r="I814" s="2848" t="s">
        <v>3520</v>
      </c>
      <c r="J814" s="2848">
        <f t="shared" si="87"/>
        <v>5000000</v>
      </c>
      <c r="K814" s="2859">
        <f t="shared" si="88"/>
        <v>0</v>
      </c>
      <c r="L814" s="2879"/>
      <c r="M814" s="386"/>
      <c r="N814" s="386"/>
      <c r="O814" s="386"/>
      <c r="P814" s="386"/>
      <c r="Q814" s="386"/>
    </row>
    <row r="815" spans="1:17" ht="30" customHeight="1" x14ac:dyDescent="0.2">
      <c r="A815" s="146"/>
      <c r="B815" s="2824" t="s">
        <v>3221</v>
      </c>
      <c r="C815" s="2847" t="s">
        <v>1796</v>
      </c>
      <c r="D815" s="2821">
        <v>50000000</v>
      </c>
      <c r="E815" s="2871">
        <v>0.05</v>
      </c>
      <c r="F815" s="2821">
        <f>D815*E815</f>
        <v>2500000</v>
      </c>
      <c r="G815" s="2848">
        <v>2500000</v>
      </c>
      <c r="H815" s="2848" t="s">
        <v>5229</v>
      </c>
      <c r="I815" s="2848" t="s">
        <v>4264</v>
      </c>
      <c r="J815" s="2848">
        <f t="shared" si="87"/>
        <v>2500000</v>
      </c>
      <c r="K815" s="2859">
        <f t="shared" si="88"/>
        <v>0</v>
      </c>
      <c r="L815" s="2879"/>
      <c r="M815" s="386"/>
      <c r="N815" s="386"/>
      <c r="O815" s="386"/>
      <c r="P815" s="386"/>
      <c r="Q815" s="386"/>
    </row>
    <row r="816" spans="1:17" ht="30" customHeight="1" x14ac:dyDescent="0.2">
      <c r="A816" s="146"/>
      <c r="B816" s="2840" t="s">
        <v>3224</v>
      </c>
      <c r="C816" s="2857"/>
      <c r="D816" s="2857"/>
      <c r="E816" s="2521"/>
      <c r="F816" s="2838"/>
      <c r="G816" s="2819">
        <v>5000000</v>
      </c>
      <c r="H816" s="2819" t="s">
        <v>4438</v>
      </c>
      <c r="I816" s="2819" t="s">
        <v>3226</v>
      </c>
      <c r="J816" s="2819">
        <f t="shared" si="87"/>
        <v>5000000</v>
      </c>
      <c r="K816" s="2865">
        <f t="shared" si="88"/>
        <v>-5000000</v>
      </c>
      <c r="L816" s="2179" t="s">
        <v>4833</v>
      </c>
      <c r="M816" s="386"/>
      <c r="N816" s="386"/>
      <c r="O816" s="386"/>
      <c r="P816" s="386"/>
      <c r="Q816" s="386"/>
    </row>
    <row r="817" spans="1:17" ht="30" customHeight="1" x14ac:dyDescent="0.2">
      <c r="A817" s="146"/>
      <c r="B817" s="2824" t="s">
        <v>3257</v>
      </c>
      <c r="C817" s="2847" t="s">
        <v>402</v>
      </c>
      <c r="D817" s="2821">
        <v>40000000</v>
      </c>
      <c r="E817" s="2871">
        <v>0.05</v>
      </c>
      <c r="F817" s="2821">
        <f>D817*E817</f>
        <v>2000000</v>
      </c>
      <c r="G817" s="2848">
        <v>2000000</v>
      </c>
      <c r="H817" s="2848" t="s">
        <v>4938</v>
      </c>
      <c r="I817" s="3115" t="s">
        <v>5034</v>
      </c>
      <c r="J817" s="2848">
        <f t="shared" si="87"/>
        <v>2000000</v>
      </c>
      <c r="K817" s="2354">
        <f t="shared" si="88"/>
        <v>0</v>
      </c>
      <c r="L817" s="2879"/>
      <c r="M817" s="386"/>
      <c r="N817" s="386"/>
      <c r="O817" s="386"/>
      <c r="P817" s="386"/>
      <c r="Q817" s="386"/>
    </row>
    <row r="818" spans="1:17" ht="30" customHeight="1" x14ac:dyDescent="0.2">
      <c r="A818" s="146"/>
      <c r="B818" s="2824" t="s">
        <v>3293</v>
      </c>
      <c r="C818" s="3386" t="s">
        <v>1796</v>
      </c>
      <c r="D818" s="2821">
        <v>15000000</v>
      </c>
      <c r="E818" s="2871">
        <v>0.05</v>
      </c>
      <c r="F818" s="2821">
        <f>D818*E818</f>
        <v>750000</v>
      </c>
      <c r="G818" s="2848"/>
      <c r="H818" s="2848"/>
      <c r="I818" s="2848" t="s">
        <v>3950</v>
      </c>
      <c r="J818" s="2848">
        <f t="shared" si="87"/>
        <v>0</v>
      </c>
      <c r="K818" s="2859">
        <f t="shared" si="88"/>
        <v>750000</v>
      </c>
      <c r="L818" s="2879" t="s">
        <v>3868</v>
      </c>
      <c r="M818" s="386"/>
      <c r="N818" s="386"/>
      <c r="O818" s="386"/>
      <c r="P818" s="386"/>
      <c r="Q818" s="386"/>
    </row>
    <row r="819" spans="1:17" ht="30" customHeight="1" x14ac:dyDescent="0.2">
      <c r="A819" s="4459"/>
      <c r="B819" s="4474" t="s">
        <v>3296</v>
      </c>
      <c r="C819" s="4537" t="s">
        <v>942</v>
      </c>
      <c r="D819" s="4413">
        <v>150000000</v>
      </c>
      <c r="E819" s="4476">
        <v>0.05</v>
      </c>
      <c r="F819" s="4413">
        <f>D819*E819</f>
        <v>7500000</v>
      </c>
      <c r="G819" s="2848">
        <v>7500000</v>
      </c>
      <c r="H819" s="2848" t="s">
        <v>4848</v>
      </c>
      <c r="I819" s="2992" t="s">
        <v>4265</v>
      </c>
      <c r="J819" s="2848">
        <f t="shared" si="87"/>
        <v>7500000</v>
      </c>
      <c r="K819" s="2859">
        <f t="shared" si="88"/>
        <v>0</v>
      </c>
      <c r="L819" s="2879" t="s">
        <v>4439</v>
      </c>
      <c r="M819" s="386"/>
      <c r="N819" s="386"/>
      <c r="O819" s="386"/>
      <c r="P819" s="386"/>
      <c r="Q819" s="386"/>
    </row>
    <row r="820" spans="1:17" ht="30" customHeight="1" x14ac:dyDescent="0.2">
      <c r="A820" s="4460"/>
      <c r="B820" s="4475"/>
      <c r="C820" s="4538"/>
      <c r="D820" s="4415"/>
      <c r="E820" s="4477"/>
      <c r="F820" s="4415"/>
      <c r="G820" s="3456">
        <v>7500000</v>
      </c>
      <c r="H820" s="3456" t="s">
        <v>5108</v>
      </c>
      <c r="I820" s="3456" t="s">
        <v>4265</v>
      </c>
      <c r="J820" s="3456">
        <f t="shared" si="87"/>
        <v>7500000</v>
      </c>
      <c r="K820" s="3460">
        <f>F819-J820</f>
        <v>0</v>
      </c>
      <c r="L820" s="3467" t="s">
        <v>4907</v>
      </c>
      <c r="M820" s="386"/>
      <c r="N820" s="386"/>
      <c r="O820" s="386"/>
      <c r="P820" s="386"/>
      <c r="Q820" s="386"/>
    </row>
    <row r="821" spans="1:17" ht="30" customHeight="1" x14ac:dyDescent="0.2">
      <c r="A821" s="2876"/>
      <c r="B821" s="3" t="s">
        <v>3308</v>
      </c>
      <c r="C821" s="2847" t="s">
        <v>3323</v>
      </c>
      <c r="D821" s="2821">
        <v>20000000</v>
      </c>
      <c r="E821" s="2871">
        <v>0.05</v>
      </c>
      <c r="F821" s="2821">
        <f>D821*E821</f>
        <v>1000000</v>
      </c>
      <c r="G821" s="2848">
        <v>1000000</v>
      </c>
      <c r="H821" s="2848" t="s">
        <v>4893</v>
      </c>
      <c r="I821" s="2848" t="s">
        <v>3901</v>
      </c>
      <c r="J821" s="2848">
        <f t="shared" si="87"/>
        <v>1000000</v>
      </c>
      <c r="K821" s="2859">
        <f t="shared" si="88"/>
        <v>0</v>
      </c>
      <c r="L821" s="2879"/>
      <c r="M821" s="386"/>
      <c r="N821" s="386"/>
      <c r="O821" s="386"/>
      <c r="P821" s="386"/>
      <c r="Q821" s="386"/>
    </row>
    <row r="822" spans="1:17" ht="30" customHeight="1" x14ac:dyDescent="0.2">
      <c r="A822" s="2876"/>
      <c r="B822" s="3" t="s">
        <v>4307</v>
      </c>
      <c r="C822" s="2847" t="s">
        <v>889</v>
      </c>
      <c r="D822" s="2821">
        <v>200000000</v>
      </c>
      <c r="E822" s="2871">
        <v>0.05</v>
      </c>
      <c r="F822" s="2821">
        <f>D822*E822</f>
        <v>10000000</v>
      </c>
      <c r="G822" s="2848">
        <v>10000000</v>
      </c>
      <c r="H822" s="2848" t="s">
        <v>4848</v>
      </c>
      <c r="I822" s="2848" t="s">
        <v>4308</v>
      </c>
      <c r="J822" s="2848">
        <f t="shared" si="87"/>
        <v>10000000</v>
      </c>
      <c r="K822" s="2859">
        <f t="shared" si="88"/>
        <v>0</v>
      </c>
      <c r="L822" s="2879"/>
      <c r="M822" s="386"/>
      <c r="N822" s="386"/>
      <c r="O822" s="386"/>
      <c r="P822" s="386"/>
      <c r="Q822" s="386"/>
    </row>
    <row r="823" spans="1:17" ht="30" customHeight="1" x14ac:dyDescent="0.2">
      <c r="A823" s="2876"/>
      <c r="B823" s="3" t="s">
        <v>3332</v>
      </c>
      <c r="C823" s="2824"/>
      <c r="D823" s="2857"/>
      <c r="E823" s="2521"/>
      <c r="F823" s="2838"/>
      <c r="G823" s="2848"/>
      <c r="H823" s="2848"/>
      <c r="I823" s="2848"/>
      <c r="J823" s="2848">
        <f t="shared" si="87"/>
        <v>0</v>
      </c>
      <c r="K823" s="2865"/>
      <c r="L823" s="2879"/>
      <c r="M823" s="386"/>
      <c r="N823" s="386"/>
      <c r="O823" s="386"/>
      <c r="P823" s="386"/>
      <c r="Q823" s="386"/>
    </row>
    <row r="824" spans="1:17" ht="30" customHeight="1" x14ac:dyDescent="0.2">
      <c r="A824" s="4459"/>
      <c r="B824" s="4474" t="s">
        <v>3395</v>
      </c>
      <c r="C824" s="2847" t="s">
        <v>889</v>
      </c>
      <c r="D824" s="2821">
        <v>1000000000</v>
      </c>
      <c r="E824" s="2871">
        <v>6.5000000000000002E-2</v>
      </c>
      <c r="F824" s="2821">
        <f>D824*E824</f>
        <v>65000000</v>
      </c>
      <c r="G824" s="2821">
        <v>65000000</v>
      </c>
      <c r="H824" s="2821" t="s">
        <v>4862</v>
      </c>
      <c r="I824" s="2841" t="s">
        <v>3941</v>
      </c>
      <c r="J824" s="2821">
        <f t="shared" si="87"/>
        <v>65000000</v>
      </c>
      <c r="K824" s="2859">
        <v>0</v>
      </c>
      <c r="L824" s="2879"/>
      <c r="M824" s="386"/>
      <c r="N824" s="386"/>
      <c r="O824" s="386"/>
      <c r="P824" s="386"/>
      <c r="Q824" s="386"/>
    </row>
    <row r="825" spans="1:17" ht="30" customHeight="1" x14ac:dyDescent="0.2">
      <c r="A825" s="4460"/>
      <c r="B825" s="4475"/>
      <c r="C825" s="2847" t="s">
        <v>1298</v>
      </c>
      <c r="D825" s="2821">
        <v>500000000</v>
      </c>
      <c r="E825" s="2871">
        <v>6.5000000000000002E-2</v>
      </c>
      <c r="F825" s="2821">
        <f>D825*E825</f>
        <v>32500000</v>
      </c>
      <c r="G825" s="2821">
        <v>32500000</v>
      </c>
      <c r="H825" s="2821" t="s">
        <v>5214</v>
      </c>
      <c r="I825" s="2841" t="s">
        <v>3941</v>
      </c>
      <c r="J825" s="2821">
        <f t="shared" si="87"/>
        <v>32500000</v>
      </c>
      <c r="K825" s="2859">
        <f>F825-J825</f>
        <v>0</v>
      </c>
      <c r="L825" s="2879"/>
      <c r="M825" s="386"/>
      <c r="N825" s="386"/>
      <c r="O825" s="386"/>
      <c r="P825" s="386"/>
      <c r="Q825" s="386"/>
    </row>
    <row r="826" spans="1:17" ht="30" customHeight="1" x14ac:dyDescent="0.2">
      <c r="A826" s="2876"/>
      <c r="B826" s="3" t="s">
        <v>3514</v>
      </c>
      <c r="C826" s="2847"/>
      <c r="D826" s="2845">
        <v>120000000</v>
      </c>
      <c r="E826" s="2350">
        <v>0.05</v>
      </c>
      <c r="F826" s="2845">
        <f>D826*E826</f>
        <v>6000000</v>
      </c>
      <c r="G826" s="2845">
        <v>6000000</v>
      </c>
      <c r="H826" s="2845" t="s">
        <v>4877</v>
      </c>
      <c r="I826" s="2844" t="s">
        <v>678</v>
      </c>
      <c r="J826" s="2845">
        <f t="shared" si="87"/>
        <v>6000000</v>
      </c>
      <c r="K826" s="2351">
        <f>F826-J826</f>
        <v>0</v>
      </c>
      <c r="L826" s="2879"/>
      <c r="M826" s="386"/>
      <c r="N826" s="386"/>
      <c r="O826" s="386"/>
      <c r="P826" s="386"/>
      <c r="Q826" s="386"/>
    </row>
    <row r="827" spans="1:17" ht="30" customHeight="1" x14ac:dyDescent="0.2">
      <c r="A827" s="4459"/>
      <c r="B827" s="4474" t="s">
        <v>3424</v>
      </c>
      <c r="C827" s="4537"/>
      <c r="D827" s="4325" t="s">
        <v>4939</v>
      </c>
      <c r="E827" s="4326"/>
      <c r="F827" s="4563"/>
      <c r="G827" s="3016">
        <v>50000000</v>
      </c>
      <c r="H827" s="3016" t="s">
        <v>4941</v>
      </c>
      <c r="I827" s="3016" t="s">
        <v>4940</v>
      </c>
      <c r="J827" s="4322">
        <f>G827+G828+G829+G830</f>
        <v>203000000</v>
      </c>
      <c r="K827" s="4332">
        <f>203000000-J827</f>
        <v>0</v>
      </c>
      <c r="L827" s="2855"/>
      <c r="M827" s="386"/>
      <c r="N827" s="386"/>
      <c r="O827" s="386"/>
      <c r="P827" s="386"/>
      <c r="Q827" s="386"/>
    </row>
    <row r="828" spans="1:17" ht="30" customHeight="1" x14ac:dyDescent="0.2">
      <c r="A828" s="4464"/>
      <c r="B828" s="4487"/>
      <c r="C828" s="4540"/>
      <c r="D828" s="4612"/>
      <c r="E828" s="4359"/>
      <c r="F828" s="4613"/>
      <c r="G828" s="3016">
        <v>53000000</v>
      </c>
      <c r="H828" s="3016" t="s">
        <v>4938</v>
      </c>
      <c r="I828" s="3016" t="s">
        <v>4940</v>
      </c>
      <c r="J828" s="4322"/>
      <c r="K828" s="4332"/>
      <c r="L828" s="3019"/>
      <c r="M828" s="386"/>
      <c r="N828" s="386"/>
      <c r="O828" s="386"/>
      <c r="P828" s="386"/>
      <c r="Q828" s="386"/>
    </row>
    <row r="829" spans="1:17" ht="30" customHeight="1" x14ac:dyDescent="0.2">
      <c r="A829" s="4464"/>
      <c r="B829" s="4487"/>
      <c r="C829" s="4540"/>
      <c r="D829" s="4612"/>
      <c r="E829" s="4359"/>
      <c r="F829" s="4613"/>
      <c r="G829" s="3016">
        <v>86000000</v>
      </c>
      <c r="H829" s="3016" t="s">
        <v>5017</v>
      </c>
      <c r="I829" s="3016" t="s">
        <v>4940</v>
      </c>
      <c r="J829" s="4322"/>
      <c r="K829" s="4332"/>
      <c r="L829" s="3019"/>
      <c r="M829" s="386"/>
      <c r="N829" s="386"/>
      <c r="O829" s="386"/>
      <c r="P829" s="386"/>
      <c r="Q829" s="386"/>
    </row>
    <row r="830" spans="1:17" ht="30" customHeight="1" x14ac:dyDescent="0.2">
      <c r="A830" s="4464"/>
      <c r="B830" s="4487"/>
      <c r="C830" s="4540"/>
      <c r="D830" s="4612"/>
      <c r="E830" s="4359"/>
      <c r="F830" s="4613"/>
      <c r="G830" s="3145">
        <v>14000000</v>
      </c>
      <c r="H830" s="4413" t="s">
        <v>5045</v>
      </c>
      <c r="I830" s="4413" t="s">
        <v>4940</v>
      </c>
      <c r="J830" s="4322"/>
      <c r="K830" s="4332"/>
      <c r="L830" s="3146"/>
      <c r="M830" s="386"/>
      <c r="N830" s="386"/>
      <c r="O830" s="386"/>
      <c r="P830" s="386"/>
      <c r="Q830" s="386"/>
    </row>
    <row r="831" spans="1:17" ht="30" customHeight="1" x14ac:dyDescent="0.2">
      <c r="A831" s="4460"/>
      <c r="B831" s="4475"/>
      <c r="C831" s="4538"/>
      <c r="D831" s="4564"/>
      <c r="E831" s="4596"/>
      <c r="F831" s="4565"/>
      <c r="G831" s="3016">
        <v>2370000</v>
      </c>
      <c r="H831" s="4415"/>
      <c r="I831" s="4415"/>
      <c r="J831" s="7"/>
      <c r="K831" s="899"/>
      <c r="L831" s="3019" t="s">
        <v>5046</v>
      </c>
      <c r="M831" s="386"/>
      <c r="N831" s="386"/>
      <c r="O831" s="386"/>
      <c r="P831" s="386"/>
      <c r="Q831" s="386"/>
    </row>
    <row r="832" spans="1:17" s="1540" customFormat="1" ht="30" customHeight="1" x14ac:dyDescent="0.2">
      <c r="A832" s="4459"/>
      <c r="B832" s="4474" t="s">
        <v>3455</v>
      </c>
      <c r="C832" s="4537" t="s">
        <v>3483</v>
      </c>
      <c r="D832" s="2848">
        <v>25000000</v>
      </c>
      <c r="E832" s="2871">
        <v>0.05</v>
      </c>
      <c r="F832" s="2848">
        <f t="shared" ref="F832:F842" si="89">D832*E832</f>
        <v>1250000</v>
      </c>
      <c r="G832" s="4793" t="s">
        <v>4982</v>
      </c>
      <c r="H832" s="4794"/>
      <c r="I832" s="4794"/>
      <c r="J832" s="4795"/>
      <c r="K832" s="2816"/>
      <c r="L832" s="2879" t="s">
        <v>3456</v>
      </c>
      <c r="M832" s="387"/>
      <c r="N832" s="387"/>
      <c r="O832" s="387"/>
      <c r="P832" s="387"/>
      <c r="Q832" s="387"/>
    </row>
    <row r="833" spans="1:17" s="184" customFormat="1" ht="30" customHeight="1" x14ac:dyDescent="0.2">
      <c r="A833" s="4464"/>
      <c r="B833" s="4487"/>
      <c r="C833" s="4540"/>
      <c r="D833" s="3069">
        <v>1250000</v>
      </c>
      <c r="E833" s="3070">
        <v>0.05</v>
      </c>
      <c r="F833" s="3069">
        <f t="shared" si="89"/>
        <v>62500</v>
      </c>
      <c r="G833" s="233"/>
      <c r="H833" s="233"/>
      <c r="I833" s="233"/>
      <c r="J833" s="233"/>
      <c r="K833" s="3059"/>
      <c r="L833" s="3079"/>
      <c r="M833" s="386"/>
      <c r="N833" s="386"/>
      <c r="O833" s="386"/>
      <c r="P833" s="386"/>
      <c r="Q833" s="386"/>
    </row>
    <row r="834" spans="1:17" s="184" customFormat="1" ht="30" customHeight="1" x14ac:dyDescent="0.2">
      <c r="A834" s="4464"/>
      <c r="B834" s="4487"/>
      <c r="C834" s="4540"/>
      <c r="D834" s="3069">
        <v>3750000</v>
      </c>
      <c r="E834" s="3070">
        <v>0.05</v>
      </c>
      <c r="F834" s="3069">
        <f t="shared" si="89"/>
        <v>187500</v>
      </c>
      <c r="G834" s="3069"/>
      <c r="H834" s="3069"/>
      <c r="I834" s="3069"/>
      <c r="J834" s="3069"/>
      <c r="K834" s="3059"/>
      <c r="L834" s="3079" t="s">
        <v>4983</v>
      </c>
      <c r="M834" s="386"/>
      <c r="N834" s="386"/>
      <c r="O834" s="386"/>
      <c r="P834" s="386"/>
      <c r="Q834" s="386"/>
    </row>
    <row r="835" spans="1:17" s="184" customFormat="1" ht="30" customHeight="1" x14ac:dyDescent="0.2">
      <c r="A835" s="4460"/>
      <c r="B835" s="4475"/>
      <c r="C835" s="4538"/>
      <c r="D835" s="3069">
        <v>30000000</v>
      </c>
      <c r="E835" s="3070">
        <v>0.05</v>
      </c>
      <c r="F835" s="3069">
        <f t="shared" si="89"/>
        <v>1500000</v>
      </c>
      <c r="G835" s="3069"/>
      <c r="H835" s="3069"/>
      <c r="I835" s="3069"/>
      <c r="J835" s="3069"/>
      <c r="K835" s="3059"/>
      <c r="L835" s="3079" t="s">
        <v>4984</v>
      </c>
      <c r="M835" s="386"/>
      <c r="N835" s="386"/>
      <c r="O835" s="386"/>
      <c r="P835" s="386"/>
      <c r="Q835" s="386"/>
    </row>
    <row r="836" spans="1:17" s="184" customFormat="1" ht="30" customHeight="1" x14ac:dyDescent="0.2">
      <c r="A836" s="4459"/>
      <c r="B836" s="4474" t="s">
        <v>3459</v>
      </c>
      <c r="C836" s="4537" t="s">
        <v>262</v>
      </c>
      <c r="D836" s="3181">
        <v>2050000000</v>
      </c>
      <c r="E836" s="3183">
        <v>0.08</v>
      </c>
      <c r="F836" s="3181">
        <f t="shared" si="89"/>
        <v>164000000</v>
      </c>
      <c r="G836" s="3608">
        <v>10000000</v>
      </c>
      <c r="H836" s="3608" t="s">
        <v>5107</v>
      </c>
      <c r="I836" s="3608" t="s">
        <v>5289</v>
      </c>
      <c r="J836" s="3608">
        <f>G836</f>
        <v>10000000</v>
      </c>
      <c r="K836" s="3172"/>
      <c r="L836" s="2879" t="s">
        <v>5359</v>
      </c>
      <c r="M836" s="386"/>
      <c r="N836" s="386"/>
      <c r="O836" s="386"/>
      <c r="P836" s="386"/>
      <c r="Q836" s="386"/>
    </row>
    <row r="837" spans="1:17" s="184" customFormat="1" ht="30" customHeight="1" x14ac:dyDescent="0.2">
      <c r="A837" s="4464"/>
      <c r="B837" s="4487"/>
      <c r="C837" s="4540"/>
      <c r="D837" s="4413">
        <v>100000000</v>
      </c>
      <c r="E837" s="4476"/>
      <c r="F837" s="4413"/>
      <c r="G837" s="4325" t="s">
        <v>5356</v>
      </c>
      <c r="H837" s="4326"/>
      <c r="I837" s="4326"/>
      <c r="J837" s="4563"/>
      <c r="K837" s="4603"/>
      <c r="L837" s="3129" t="s">
        <v>5044</v>
      </c>
      <c r="M837" s="386"/>
      <c r="N837" s="386"/>
      <c r="O837" s="386"/>
      <c r="P837" s="386"/>
      <c r="Q837" s="386"/>
    </row>
    <row r="838" spans="1:17" s="184" customFormat="1" ht="30" customHeight="1" x14ac:dyDescent="0.2">
      <c r="A838" s="4460"/>
      <c r="B838" s="4475"/>
      <c r="C838" s="4538"/>
      <c r="D838" s="4415"/>
      <c r="E838" s="4477"/>
      <c r="F838" s="4415"/>
      <c r="G838" s="4564"/>
      <c r="H838" s="4596"/>
      <c r="I838" s="4596"/>
      <c r="J838" s="4565"/>
      <c r="K838" s="4604"/>
      <c r="L838" s="3184" t="s">
        <v>5093</v>
      </c>
      <c r="M838" s="386"/>
      <c r="N838" s="386"/>
      <c r="O838" s="386"/>
      <c r="P838" s="386"/>
      <c r="Q838" s="386"/>
    </row>
    <row r="839" spans="1:17" s="184" customFormat="1" ht="30" customHeight="1" x14ac:dyDescent="0.2">
      <c r="A839" s="2876"/>
      <c r="B839" s="3" t="s">
        <v>3480</v>
      </c>
      <c r="C839" s="2873" t="s">
        <v>372</v>
      </c>
      <c r="D839" s="2848">
        <v>85000000</v>
      </c>
      <c r="E839" s="2871">
        <v>7.0000000000000007E-2</v>
      </c>
      <c r="F839" s="2848">
        <f t="shared" si="89"/>
        <v>5950000.0000000009</v>
      </c>
      <c r="G839" s="2848">
        <v>5950000</v>
      </c>
      <c r="H839" s="2848" t="s">
        <v>4938</v>
      </c>
      <c r="I839" s="2848" t="s">
        <v>4450</v>
      </c>
      <c r="J839" s="2848">
        <f t="shared" ref="J839:J846" si="90">G839</f>
        <v>5950000</v>
      </c>
      <c r="K839" s="2816">
        <f t="shared" ref="K839:K842" si="91">F839-J839</f>
        <v>0</v>
      </c>
      <c r="L839" s="2879"/>
      <c r="M839" s="386"/>
      <c r="N839" s="386"/>
      <c r="O839" s="386"/>
      <c r="P839" s="386"/>
      <c r="Q839" s="386"/>
    </row>
    <row r="840" spans="1:17" s="184" customFormat="1" ht="30" customHeight="1" x14ac:dyDescent="0.2">
      <c r="A840" s="2876"/>
      <c r="B840" s="3" t="s">
        <v>3482</v>
      </c>
      <c r="C840" s="2873" t="s">
        <v>3483</v>
      </c>
      <c r="D840" s="2848">
        <v>70000000</v>
      </c>
      <c r="E840" s="2871">
        <v>0.05</v>
      </c>
      <c r="F840" s="2848">
        <f t="shared" si="89"/>
        <v>3500000</v>
      </c>
      <c r="G840" s="2848">
        <v>3500000</v>
      </c>
      <c r="H840" s="2848" t="s">
        <v>4938</v>
      </c>
      <c r="I840" s="2848" t="s">
        <v>4430</v>
      </c>
      <c r="J840" s="2848">
        <f t="shared" si="90"/>
        <v>3500000</v>
      </c>
      <c r="K840" s="2816">
        <f t="shared" si="91"/>
        <v>0</v>
      </c>
      <c r="L840" s="2879"/>
      <c r="M840" s="386"/>
      <c r="N840" s="386"/>
      <c r="O840" s="386"/>
      <c r="P840" s="386"/>
      <c r="Q840" s="386"/>
    </row>
    <row r="841" spans="1:17" s="184" customFormat="1" ht="30" customHeight="1" x14ac:dyDescent="0.2">
      <c r="A841" s="2876"/>
      <c r="B841" s="3" t="s">
        <v>3980</v>
      </c>
      <c r="C841" s="2873" t="s">
        <v>889</v>
      </c>
      <c r="D841" s="2848">
        <v>20000000</v>
      </c>
      <c r="E841" s="2871">
        <v>0.05</v>
      </c>
      <c r="F841" s="2848">
        <f t="shared" si="89"/>
        <v>1000000</v>
      </c>
      <c r="G841" s="2848"/>
      <c r="H841" s="2848"/>
      <c r="I841" s="2848" t="s">
        <v>3981</v>
      </c>
      <c r="J841" s="2848">
        <f t="shared" si="90"/>
        <v>0</v>
      </c>
      <c r="K841" s="2816">
        <f t="shared" si="91"/>
        <v>1000000</v>
      </c>
      <c r="L841" s="2879"/>
      <c r="M841" s="386"/>
      <c r="N841" s="386"/>
      <c r="O841" s="386"/>
      <c r="P841" s="386"/>
      <c r="Q841" s="386"/>
    </row>
    <row r="842" spans="1:17" s="184" customFormat="1" ht="30" customHeight="1" x14ac:dyDescent="0.2">
      <c r="A842" s="2876"/>
      <c r="B842" s="3" t="s">
        <v>2952</v>
      </c>
      <c r="C842" s="2873" t="s">
        <v>402</v>
      </c>
      <c r="D842" s="2848">
        <v>150000000</v>
      </c>
      <c r="E842" s="2871">
        <v>0.06</v>
      </c>
      <c r="F842" s="2848">
        <f t="shared" si="89"/>
        <v>9000000</v>
      </c>
      <c r="G842" s="2848">
        <v>9000000</v>
      </c>
      <c r="H842" s="2848" t="s">
        <v>4877</v>
      </c>
      <c r="I842" s="2848" t="s">
        <v>3964</v>
      </c>
      <c r="J842" s="2848">
        <f t="shared" si="90"/>
        <v>9000000</v>
      </c>
      <c r="K842" s="2848">
        <f t="shared" si="91"/>
        <v>0</v>
      </c>
      <c r="L842" s="2879"/>
      <c r="M842" s="386"/>
      <c r="N842" s="386"/>
      <c r="O842" s="386"/>
      <c r="P842" s="386"/>
      <c r="Q842" s="386"/>
    </row>
    <row r="843" spans="1:17" s="9" customFormat="1" ht="30" customHeight="1" x14ac:dyDescent="0.2">
      <c r="A843" s="2883"/>
      <c r="B843" s="2553" t="s">
        <v>153</v>
      </c>
      <c r="C843" s="3033"/>
      <c r="D843" s="2550">
        <v>10000000</v>
      </c>
      <c r="E843" s="2551">
        <v>0.05</v>
      </c>
      <c r="F843" s="2550">
        <f>D843*E843</f>
        <v>500000</v>
      </c>
      <c r="G843" s="2550">
        <v>12000000</v>
      </c>
      <c r="H843" s="2550" t="s">
        <v>4893</v>
      </c>
      <c r="I843" s="2550" t="s">
        <v>1720</v>
      </c>
      <c r="J843" s="2550">
        <f t="shared" si="90"/>
        <v>12000000</v>
      </c>
      <c r="K843" s="2550"/>
      <c r="L843" s="3034" t="s">
        <v>4906</v>
      </c>
      <c r="M843" s="387"/>
      <c r="N843" s="387"/>
      <c r="O843" s="387"/>
      <c r="P843" s="387"/>
      <c r="Q843" s="387"/>
    </row>
    <row r="844" spans="1:17" s="1660" customFormat="1" ht="30" customHeight="1" x14ac:dyDescent="0.2">
      <c r="A844" s="2883"/>
      <c r="B844" s="2874" t="s">
        <v>3554</v>
      </c>
      <c r="C844" s="2847" t="s">
        <v>372</v>
      </c>
      <c r="D844" s="2848">
        <v>10000000</v>
      </c>
      <c r="E844" s="2871">
        <v>0.05</v>
      </c>
      <c r="F844" s="2848">
        <f>D844*E844</f>
        <v>500000</v>
      </c>
      <c r="G844" s="2821">
        <v>500000</v>
      </c>
      <c r="H844" s="2821" t="s">
        <v>4938</v>
      </c>
      <c r="I844" s="2841" t="s">
        <v>3555</v>
      </c>
      <c r="J844" s="2821">
        <f t="shared" si="90"/>
        <v>500000</v>
      </c>
      <c r="K844" s="2821">
        <f>F844-J844</f>
        <v>0</v>
      </c>
      <c r="L844" s="2856"/>
      <c r="M844" s="386"/>
      <c r="N844" s="386"/>
      <c r="O844" s="386"/>
      <c r="P844" s="386"/>
      <c r="Q844" s="386"/>
    </row>
    <row r="845" spans="1:17" s="1660" customFormat="1" ht="30" customHeight="1" x14ac:dyDescent="0.2">
      <c r="A845" s="2843"/>
      <c r="B845" s="2869" t="s">
        <v>4444</v>
      </c>
      <c r="C845" s="2846" t="s">
        <v>4225</v>
      </c>
      <c r="D845" s="2848">
        <v>100000000</v>
      </c>
      <c r="E845" s="2848">
        <v>0.05</v>
      </c>
      <c r="F845" s="2848">
        <f>D845*E845</f>
        <v>5000000</v>
      </c>
      <c r="G845" s="2848">
        <v>5000000</v>
      </c>
      <c r="H845" s="2848" t="s">
        <v>5054</v>
      </c>
      <c r="I845" s="2848" t="s">
        <v>2788</v>
      </c>
      <c r="J845" s="2820">
        <f t="shared" si="90"/>
        <v>5000000</v>
      </c>
      <c r="K845" s="2820">
        <f>F845-J845</f>
        <v>0</v>
      </c>
      <c r="L845" s="848"/>
      <c r="M845" s="386"/>
      <c r="N845" s="386"/>
      <c r="O845" s="386"/>
      <c r="P845" s="386"/>
      <c r="Q845" s="386"/>
    </row>
    <row r="846" spans="1:17" s="1660" customFormat="1" ht="30" customHeight="1" x14ac:dyDescent="0.2">
      <c r="A846" s="2883"/>
      <c r="B846" s="2874" t="s">
        <v>3566</v>
      </c>
      <c r="C846" s="2873"/>
      <c r="D846" s="2848">
        <v>6000000</v>
      </c>
      <c r="E846" s="2871">
        <f>F846/D846</f>
        <v>0.05</v>
      </c>
      <c r="F846" s="2848">
        <v>300000</v>
      </c>
      <c r="G846" s="2848"/>
      <c r="H846" s="2848"/>
      <c r="I846" s="2848" t="s">
        <v>3567</v>
      </c>
      <c r="J846" s="2848">
        <f t="shared" si="90"/>
        <v>0</v>
      </c>
      <c r="K846" s="2848">
        <f>F846-J846</f>
        <v>300000</v>
      </c>
      <c r="L846" s="2179" t="s">
        <v>3568</v>
      </c>
      <c r="M846" s="386"/>
      <c r="N846" s="386"/>
      <c r="O846" s="386"/>
      <c r="P846" s="386"/>
      <c r="Q846" s="386"/>
    </row>
    <row r="847" spans="1:17" s="1660" customFormat="1" ht="30" customHeight="1" x14ac:dyDescent="0.2">
      <c r="A847" s="4599"/>
      <c r="B847" s="4457" t="s">
        <v>3590</v>
      </c>
      <c r="C847" s="4537" t="s">
        <v>2278</v>
      </c>
      <c r="D847" s="4413">
        <v>870000000</v>
      </c>
      <c r="E847" s="4476">
        <v>7.0999999999999994E-2</v>
      </c>
      <c r="F847" s="4413">
        <v>62000000</v>
      </c>
      <c r="G847" s="4413">
        <v>72500000</v>
      </c>
      <c r="H847" s="4413" t="s">
        <v>5045</v>
      </c>
      <c r="I847" s="4413" t="s">
        <v>4473</v>
      </c>
      <c r="J847" s="4413">
        <f>G847+G848</f>
        <v>72500000</v>
      </c>
      <c r="K847" s="4413">
        <f>F850-J847</f>
        <v>0</v>
      </c>
      <c r="L847" s="2856"/>
      <c r="M847" s="386"/>
      <c r="N847" s="386"/>
      <c r="O847" s="386"/>
      <c r="P847" s="386"/>
      <c r="Q847" s="386"/>
    </row>
    <row r="848" spans="1:17" s="1660" customFormat="1" ht="30" customHeight="1" x14ac:dyDescent="0.2">
      <c r="A848" s="4600"/>
      <c r="B848" s="4488"/>
      <c r="C848" s="4540"/>
      <c r="D848" s="4414"/>
      <c r="E848" s="4516"/>
      <c r="F848" s="4414"/>
      <c r="G848" s="4414"/>
      <c r="H848" s="4414"/>
      <c r="I848" s="4414"/>
      <c r="J848" s="4414"/>
      <c r="K848" s="4414"/>
      <c r="L848" s="2856"/>
      <c r="M848" s="386"/>
      <c r="N848" s="386"/>
      <c r="O848" s="386"/>
      <c r="P848" s="386"/>
      <c r="Q848" s="386"/>
    </row>
    <row r="849" spans="1:17" s="1660" customFormat="1" ht="30" customHeight="1" x14ac:dyDescent="0.2">
      <c r="A849" s="4600"/>
      <c r="B849" s="4488"/>
      <c r="C849" s="4540"/>
      <c r="D849" s="2820">
        <v>150000000</v>
      </c>
      <c r="E849" s="2822">
        <v>7.0999999999999994E-2</v>
      </c>
      <c r="F849" s="2848">
        <f>D849*E849</f>
        <v>10649999.999999998</v>
      </c>
      <c r="G849" s="4414"/>
      <c r="H849" s="4414"/>
      <c r="I849" s="4414"/>
      <c r="J849" s="4414"/>
      <c r="K849" s="4414"/>
      <c r="L849" s="2856" t="s">
        <v>4421</v>
      </c>
      <c r="M849" s="386"/>
      <c r="N849" s="386"/>
      <c r="O849" s="386"/>
      <c r="P849" s="386"/>
      <c r="Q849" s="386"/>
    </row>
    <row r="850" spans="1:17" s="1660" customFormat="1" ht="30" customHeight="1" x14ac:dyDescent="0.2">
      <c r="A850" s="4600"/>
      <c r="B850" s="4488"/>
      <c r="C850" s="4540"/>
      <c r="D850" s="3394">
        <f>D847+D849+1000000</f>
        <v>1021000000</v>
      </c>
      <c r="E850" s="3399">
        <v>7.0999999999999994E-2</v>
      </c>
      <c r="F850" s="3409">
        <v>72500000</v>
      </c>
      <c r="G850" s="4415"/>
      <c r="H850" s="4415"/>
      <c r="I850" s="4415"/>
      <c r="J850" s="4415"/>
      <c r="K850" s="4415"/>
      <c r="L850" s="2856" t="s">
        <v>4419</v>
      </c>
      <c r="M850" s="386"/>
      <c r="N850" s="386"/>
      <c r="O850" s="386"/>
      <c r="P850" s="386"/>
      <c r="Q850" s="386"/>
    </row>
    <row r="851" spans="1:17" s="1660" customFormat="1" ht="30" customHeight="1" x14ac:dyDescent="0.2">
      <c r="A851" s="4607"/>
      <c r="B851" s="4458"/>
      <c r="C851" s="4538"/>
      <c r="D851" s="3426">
        <v>1478000000</v>
      </c>
      <c r="E851" s="3428">
        <v>7.0999999999999994E-2</v>
      </c>
      <c r="F851" s="3433">
        <v>104500000</v>
      </c>
      <c r="G851" s="5025" t="s">
        <v>5269</v>
      </c>
      <c r="H851" s="5025"/>
      <c r="I851" s="5025"/>
      <c r="J851" s="5025"/>
      <c r="K851" s="5026"/>
      <c r="L851" s="3419" t="s">
        <v>5275</v>
      </c>
      <c r="M851" s="386"/>
      <c r="N851" s="386"/>
      <c r="O851" s="386"/>
      <c r="P851" s="386"/>
      <c r="Q851" s="386"/>
    </row>
    <row r="852" spans="1:17" s="1660" customFormat="1" ht="30" customHeight="1" x14ac:dyDescent="0.2">
      <c r="A852" s="19"/>
      <c r="B852" s="2947" t="s">
        <v>3597</v>
      </c>
      <c r="C852" s="2948" t="s">
        <v>889</v>
      </c>
      <c r="D852" s="2941">
        <v>200000000</v>
      </c>
      <c r="E852" s="2945">
        <v>0.05</v>
      </c>
      <c r="F852" s="2941">
        <f>D852*E852</f>
        <v>10000000</v>
      </c>
      <c r="G852" s="2941">
        <v>10000000</v>
      </c>
      <c r="H852" s="2941" t="s">
        <v>4893</v>
      </c>
      <c r="I852" s="2941" t="s">
        <v>3598</v>
      </c>
      <c r="J852" s="2941">
        <f>G852</f>
        <v>10000000</v>
      </c>
      <c r="K852" s="2941">
        <f>F852-J852</f>
        <v>0</v>
      </c>
      <c r="L852" s="2856"/>
      <c r="M852" s="386"/>
      <c r="N852" s="386"/>
      <c r="O852" s="386"/>
      <c r="P852" s="386"/>
      <c r="Q852" s="386"/>
    </row>
    <row r="853" spans="1:17" s="1660" customFormat="1" ht="30" customHeight="1" x14ac:dyDescent="0.2">
      <c r="A853" s="2883"/>
      <c r="B853" s="2874" t="s">
        <v>3612</v>
      </c>
      <c r="C853" s="2873" t="s">
        <v>2278</v>
      </c>
      <c r="D853" s="2848">
        <v>100000000</v>
      </c>
      <c r="E853" s="2871">
        <v>0.05</v>
      </c>
      <c r="F853" s="2848">
        <f t="shared" ref="F853:F862" si="92">D853*E853</f>
        <v>5000000</v>
      </c>
      <c r="G853" s="2848">
        <v>5000000</v>
      </c>
      <c r="H853" s="2848" t="s">
        <v>5156</v>
      </c>
      <c r="I853" s="2848" t="s">
        <v>4127</v>
      </c>
      <c r="J853" s="2848">
        <f>G853</f>
        <v>5000000</v>
      </c>
      <c r="K853" s="2848">
        <f>F853-J853</f>
        <v>0</v>
      </c>
      <c r="L853" s="2856"/>
      <c r="M853" s="386"/>
      <c r="N853" s="386"/>
      <c r="O853" s="386"/>
      <c r="P853" s="386"/>
      <c r="Q853" s="386"/>
    </row>
    <row r="854" spans="1:17" s="1660" customFormat="1" ht="30" customHeight="1" x14ac:dyDescent="0.2">
      <c r="A854" s="4599"/>
      <c r="B854" s="4457" t="s">
        <v>4057</v>
      </c>
      <c r="C854" s="4537" t="s">
        <v>2278</v>
      </c>
      <c r="D854" s="2848">
        <v>130000000</v>
      </c>
      <c r="E854" s="2871">
        <v>0.05</v>
      </c>
      <c r="F854" s="2848">
        <f t="shared" si="92"/>
        <v>6500000</v>
      </c>
      <c r="G854" s="4793" t="s">
        <v>4699</v>
      </c>
      <c r="H854" s="4794"/>
      <c r="I854" s="4794"/>
      <c r="J854" s="4794"/>
      <c r="K854" s="4795"/>
      <c r="L854" s="2856" t="s">
        <v>4522</v>
      </c>
      <c r="M854" s="386"/>
      <c r="N854" s="386"/>
      <c r="O854" s="386"/>
      <c r="P854" s="386"/>
      <c r="Q854" s="386"/>
    </row>
    <row r="855" spans="1:17" s="1660" customFormat="1" ht="30" customHeight="1" x14ac:dyDescent="0.2">
      <c r="A855" s="4600"/>
      <c r="B855" s="4488"/>
      <c r="C855" s="4540"/>
      <c r="D855" s="2848">
        <v>70000000</v>
      </c>
      <c r="E855" s="2871">
        <v>0.05</v>
      </c>
      <c r="F855" s="2848">
        <f t="shared" si="92"/>
        <v>3500000</v>
      </c>
      <c r="G855" s="4799"/>
      <c r="H855" s="4800"/>
      <c r="I855" s="4800"/>
      <c r="J855" s="4800"/>
      <c r="K855" s="4801"/>
      <c r="L855" s="2856" t="s">
        <v>4521</v>
      </c>
      <c r="M855" s="386"/>
      <c r="N855" s="386"/>
      <c r="O855" s="386"/>
      <c r="P855" s="386"/>
      <c r="Q855" s="386"/>
    </row>
    <row r="856" spans="1:17" s="1660" customFormat="1" ht="30" customHeight="1" x14ac:dyDescent="0.2">
      <c r="A856" s="4607"/>
      <c r="B856" s="4458"/>
      <c r="C856" s="4538"/>
      <c r="D856" s="1856">
        <v>200000000</v>
      </c>
      <c r="E856" s="897">
        <v>0.05</v>
      </c>
      <c r="F856" s="1856">
        <f t="shared" si="92"/>
        <v>10000000</v>
      </c>
      <c r="G856" s="2848">
        <v>9400000</v>
      </c>
      <c r="H856" s="2848" t="s">
        <v>5045</v>
      </c>
      <c r="I856" s="2848" t="s">
        <v>3776</v>
      </c>
      <c r="J856" s="2820">
        <f>G856</f>
        <v>9400000</v>
      </c>
      <c r="K856" s="2820"/>
      <c r="L856" s="2856" t="s">
        <v>2685</v>
      </c>
      <c r="M856" s="386"/>
      <c r="N856" s="386"/>
      <c r="O856" s="386"/>
      <c r="P856" s="386"/>
      <c r="Q856" s="386"/>
    </row>
    <row r="857" spans="1:17" s="1660" customFormat="1" ht="30" customHeight="1" x14ac:dyDescent="0.2">
      <c r="A857" s="4599"/>
      <c r="B857" s="4457" t="s">
        <v>3674</v>
      </c>
      <c r="C857" s="4537"/>
      <c r="D857" s="2848">
        <v>1140000000</v>
      </c>
      <c r="E857" s="2871">
        <v>7.0000000000000007E-2</v>
      </c>
      <c r="F857" s="2848">
        <f t="shared" si="92"/>
        <v>79800000.000000015</v>
      </c>
      <c r="G857" s="3092">
        <v>40000000</v>
      </c>
      <c r="H857" s="3092" t="s">
        <v>4922</v>
      </c>
      <c r="I857" s="3092" t="s">
        <v>4936</v>
      </c>
      <c r="J857" s="4413">
        <f>G857+G858</f>
        <v>90000000</v>
      </c>
      <c r="K857" s="4413">
        <f>F858-J857</f>
        <v>1000000.0000000149</v>
      </c>
      <c r="L857" s="2856" t="s">
        <v>3919</v>
      </c>
      <c r="M857" s="386"/>
      <c r="N857" s="386"/>
      <c r="O857" s="386"/>
      <c r="P857" s="386"/>
      <c r="Q857" s="386"/>
    </row>
    <row r="858" spans="1:17" s="1660" customFormat="1" ht="30" customHeight="1" x14ac:dyDescent="0.2">
      <c r="A858" s="4600"/>
      <c r="B858" s="4488"/>
      <c r="C858" s="4540"/>
      <c r="D858" s="5065">
        <v>1300000000</v>
      </c>
      <c r="E858" s="4874">
        <v>7.0000000000000007E-2</v>
      </c>
      <c r="F858" s="4872">
        <f t="shared" si="92"/>
        <v>91000000.000000015</v>
      </c>
      <c r="G858" s="3092">
        <v>50000000</v>
      </c>
      <c r="H858" s="3092" t="s">
        <v>4941</v>
      </c>
      <c r="I858" s="3092" t="s">
        <v>1613</v>
      </c>
      <c r="J858" s="4415"/>
      <c r="K858" s="4415"/>
      <c r="L858" s="2856" t="s">
        <v>3709</v>
      </c>
      <c r="M858" s="386"/>
      <c r="N858" s="386"/>
      <c r="O858" s="386"/>
      <c r="P858" s="386"/>
      <c r="Q858" s="386"/>
    </row>
    <row r="859" spans="1:17" s="1660" customFormat="1" ht="30" customHeight="1" x14ac:dyDescent="0.2">
      <c r="A859" s="4607"/>
      <c r="B859" s="4458"/>
      <c r="C859" s="4538"/>
      <c r="D859" s="5066"/>
      <c r="E859" s="4875"/>
      <c r="F859" s="4873"/>
      <c r="G859" s="3199">
        <v>10400000</v>
      </c>
      <c r="H859" s="3199" t="s">
        <v>5045</v>
      </c>
      <c r="I859" s="3199" t="s">
        <v>4936</v>
      </c>
      <c r="J859" s="3191">
        <f>G859</f>
        <v>10400000</v>
      </c>
      <c r="K859" s="3191"/>
      <c r="L859" s="3205"/>
      <c r="M859" s="386"/>
      <c r="N859" s="386"/>
      <c r="O859" s="386"/>
      <c r="P859" s="386"/>
      <c r="Q859" s="386"/>
    </row>
    <row r="860" spans="1:17" s="1660" customFormat="1" ht="30" customHeight="1" x14ac:dyDescent="0.2">
      <c r="A860" s="2883"/>
      <c r="B860" s="2874" t="s">
        <v>3707</v>
      </c>
      <c r="C860" s="2873" t="s">
        <v>3390</v>
      </c>
      <c r="D860" s="2848">
        <v>10000000</v>
      </c>
      <c r="E860" s="2871">
        <v>0.05</v>
      </c>
      <c r="F860" s="2848">
        <f t="shared" si="92"/>
        <v>500000</v>
      </c>
      <c r="G860" s="2848">
        <v>500000</v>
      </c>
      <c r="H860" s="2848" t="s">
        <v>5176</v>
      </c>
      <c r="I860" s="2848" t="s">
        <v>4156</v>
      </c>
      <c r="J860" s="2848">
        <f>G860</f>
        <v>500000</v>
      </c>
      <c r="K860" s="2848">
        <f>F860-J860</f>
        <v>0</v>
      </c>
      <c r="L860" s="2856"/>
      <c r="M860" s="386"/>
      <c r="N860" s="386"/>
      <c r="O860" s="386"/>
      <c r="P860" s="386"/>
      <c r="Q860" s="386"/>
    </row>
    <row r="861" spans="1:17" s="1660" customFormat="1" ht="30" customHeight="1" x14ac:dyDescent="0.2">
      <c r="A861" s="4599"/>
      <c r="B861" s="4457" t="s">
        <v>3710</v>
      </c>
      <c r="C861" s="4537" t="s">
        <v>262</v>
      </c>
      <c r="D861" s="2848">
        <v>58000000</v>
      </c>
      <c r="E861" s="2871">
        <v>0.05</v>
      </c>
      <c r="F861" s="2848">
        <f t="shared" si="92"/>
        <v>2900000</v>
      </c>
      <c r="G861" s="2848"/>
      <c r="H861" s="2848"/>
      <c r="I861" s="2848"/>
      <c r="J861" s="2848"/>
      <c r="K861" s="2848"/>
      <c r="L861" s="2856"/>
      <c r="M861" s="386"/>
      <c r="N861" s="386"/>
      <c r="O861" s="386"/>
      <c r="P861" s="386"/>
      <c r="Q861" s="386"/>
    </row>
    <row r="862" spans="1:17" s="1660" customFormat="1" ht="30" customHeight="1" x14ac:dyDescent="0.2">
      <c r="A862" s="4600"/>
      <c r="B862" s="4488"/>
      <c r="C862" s="4540"/>
      <c r="D862" s="3409">
        <v>39500000</v>
      </c>
      <c r="E862" s="3412">
        <v>0.05</v>
      </c>
      <c r="F862" s="3409">
        <f t="shared" si="92"/>
        <v>1975000</v>
      </c>
      <c r="G862" s="3409"/>
      <c r="H862" s="3409"/>
      <c r="I862" s="3409"/>
      <c r="J862" s="3409"/>
      <c r="K862" s="3409"/>
      <c r="L862" s="3419" t="s">
        <v>5279</v>
      </c>
      <c r="M862" s="386"/>
      <c r="N862" s="386"/>
      <c r="O862" s="386"/>
      <c r="P862" s="386"/>
      <c r="Q862" s="386"/>
    </row>
    <row r="863" spans="1:17" s="1660" customFormat="1" ht="30" customHeight="1" x14ac:dyDescent="0.2">
      <c r="A863" s="4607"/>
      <c r="B863" s="4458"/>
      <c r="C863" s="4538"/>
      <c r="D863" s="3433">
        <f>D861+D862</f>
        <v>97500000</v>
      </c>
      <c r="E863" s="897"/>
      <c r="F863" s="3433"/>
      <c r="G863" s="3409"/>
      <c r="H863" s="3409"/>
      <c r="I863" s="3409"/>
      <c r="J863" s="3409"/>
      <c r="K863" s="3409"/>
      <c r="L863" s="3419"/>
      <c r="M863" s="386"/>
      <c r="N863" s="386"/>
      <c r="O863" s="386"/>
      <c r="P863" s="386"/>
      <c r="Q863" s="386"/>
    </row>
    <row r="864" spans="1:17" s="1660" customFormat="1" ht="30" customHeight="1" x14ac:dyDescent="0.2">
      <c r="A864" s="2883"/>
      <c r="B864" s="2874" t="s">
        <v>3742</v>
      </c>
      <c r="C864" s="2873" t="s">
        <v>1300</v>
      </c>
      <c r="D864" s="2848">
        <v>100000000</v>
      </c>
      <c r="E864" s="2871">
        <v>0.05</v>
      </c>
      <c r="F864" s="2848">
        <f>D864*E864</f>
        <v>5000000</v>
      </c>
      <c r="G864" s="2848">
        <v>5000000</v>
      </c>
      <c r="H864" s="2848" t="s">
        <v>5018</v>
      </c>
      <c r="I864" s="2848" t="s">
        <v>5119</v>
      </c>
      <c r="J864" s="2848">
        <f>G864</f>
        <v>5000000</v>
      </c>
      <c r="K864" s="2848">
        <f>F864-J864</f>
        <v>0</v>
      </c>
      <c r="L864" s="2856"/>
      <c r="M864" s="386"/>
      <c r="N864" s="386"/>
      <c r="O864" s="386"/>
      <c r="P864" s="386"/>
      <c r="Q864" s="386"/>
    </row>
    <row r="865" spans="1:17" s="1660" customFormat="1" ht="30" customHeight="1" x14ac:dyDescent="0.2">
      <c r="A865" s="2883"/>
      <c r="B865" s="2874" t="s">
        <v>3743</v>
      </c>
      <c r="C865" s="3099" t="s">
        <v>1300</v>
      </c>
      <c r="D865" s="2821">
        <v>96000000</v>
      </c>
      <c r="E865" s="2823">
        <v>0.05</v>
      </c>
      <c r="F865" s="2821">
        <v>5000000</v>
      </c>
      <c r="G865" s="2848">
        <v>5000000</v>
      </c>
      <c r="H865" s="2848" t="s">
        <v>5018</v>
      </c>
      <c r="I865" s="2848" t="s">
        <v>5118</v>
      </c>
      <c r="J865" s="2848">
        <f>G865</f>
        <v>5000000</v>
      </c>
      <c r="K865" s="2848">
        <f>F865-J865</f>
        <v>0</v>
      </c>
      <c r="L865" s="2856"/>
      <c r="M865" s="386"/>
      <c r="N865" s="386"/>
      <c r="O865" s="386"/>
      <c r="P865" s="386"/>
      <c r="Q865" s="386"/>
    </row>
    <row r="866" spans="1:17" s="1660" customFormat="1" ht="30" customHeight="1" x14ac:dyDescent="0.2">
      <c r="A866" s="2883"/>
      <c r="B866" s="2874" t="s">
        <v>3869</v>
      </c>
      <c r="C866" s="2873" t="s">
        <v>3219</v>
      </c>
      <c r="D866" s="2821">
        <v>100000000</v>
      </c>
      <c r="E866" s="2823">
        <v>0.06</v>
      </c>
      <c r="F866" s="2821">
        <f>D866*E866</f>
        <v>6000000</v>
      </c>
      <c r="G866" s="2821"/>
      <c r="H866" s="2821"/>
      <c r="I866" s="2841"/>
      <c r="J866" s="2821"/>
      <c r="K866" s="2821"/>
      <c r="L866" s="2856" t="s">
        <v>3872</v>
      </c>
      <c r="M866" s="386"/>
      <c r="N866" s="386"/>
      <c r="O866" s="386"/>
      <c r="P866" s="386"/>
      <c r="Q866" s="386"/>
    </row>
    <row r="867" spans="1:17" s="1660" customFormat="1" ht="30" customHeight="1" x14ac:dyDescent="0.2">
      <c r="A867" s="2883"/>
      <c r="B867" s="2874" t="s">
        <v>3871</v>
      </c>
      <c r="C867" s="2873" t="s">
        <v>3390</v>
      </c>
      <c r="D867" s="2848">
        <v>50000000</v>
      </c>
      <c r="E867" s="2823">
        <v>0.05</v>
      </c>
      <c r="F867" s="2821">
        <f>D867*E867</f>
        <v>2500000</v>
      </c>
      <c r="G867" s="2821"/>
      <c r="H867" s="2821"/>
      <c r="I867" s="2841"/>
      <c r="J867" s="2821"/>
      <c r="K867" s="2821"/>
      <c r="L867" s="2856"/>
      <c r="M867" s="386"/>
      <c r="N867" s="386"/>
      <c r="O867" s="386"/>
      <c r="P867" s="386"/>
      <c r="Q867" s="386"/>
    </row>
    <row r="868" spans="1:17" s="1660" customFormat="1" ht="30" customHeight="1" x14ac:dyDescent="0.2">
      <c r="A868" s="2883"/>
      <c r="B868" s="2874" t="s">
        <v>3890</v>
      </c>
      <c r="C868" s="2873"/>
      <c r="D868" s="2819"/>
      <c r="E868" s="2819"/>
      <c r="F868" s="2819"/>
      <c r="G868" s="2821"/>
      <c r="H868" s="2821"/>
      <c r="I868" s="2841" t="s">
        <v>3891</v>
      </c>
      <c r="J868" s="2821">
        <f>G868</f>
        <v>0</v>
      </c>
      <c r="K868" s="2821">
        <f>F868-J868</f>
        <v>0</v>
      </c>
      <c r="L868" s="2856"/>
      <c r="M868" s="386"/>
      <c r="N868" s="386"/>
      <c r="O868" s="386"/>
      <c r="P868" s="386"/>
      <c r="Q868" s="386"/>
    </row>
    <row r="869" spans="1:17" s="1660" customFormat="1" ht="30" customHeight="1" x14ac:dyDescent="0.2">
      <c r="A869" s="4599"/>
      <c r="B869" s="4457" t="s">
        <v>3895</v>
      </c>
      <c r="C869" s="4620" t="s">
        <v>4107</v>
      </c>
      <c r="D869" s="2848">
        <v>120000000</v>
      </c>
      <c r="E869" s="2823">
        <v>0.05</v>
      </c>
      <c r="F869" s="2821">
        <f>D869*E869</f>
        <v>6000000</v>
      </c>
      <c r="G869" s="4413">
        <v>8100000</v>
      </c>
      <c r="H869" s="4413" t="s">
        <v>4862</v>
      </c>
      <c r="I869" s="4413" t="s">
        <v>4315</v>
      </c>
      <c r="J869" s="4413">
        <f>G869</f>
        <v>8100000</v>
      </c>
      <c r="K869" s="4413">
        <f>(F869+F870)-J869</f>
        <v>0</v>
      </c>
      <c r="L869" s="2856" t="s">
        <v>3897</v>
      </c>
      <c r="M869" s="386"/>
      <c r="N869" s="386"/>
      <c r="O869" s="386"/>
      <c r="P869" s="386"/>
      <c r="Q869" s="386"/>
    </row>
    <row r="870" spans="1:17" s="1660" customFormat="1" ht="30" customHeight="1" x14ac:dyDescent="0.2">
      <c r="A870" s="4600"/>
      <c r="B870" s="4488"/>
      <c r="C870" s="4620"/>
      <c r="D870" s="2821">
        <v>30000000</v>
      </c>
      <c r="E870" s="2823">
        <v>7.0000000000000007E-2</v>
      </c>
      <c r="F870" s="2821">
        <f>D870*E870</f>
        <v>2100000</v>
      </c>
      <c r="G870" s="4415"/>
      <c r="H870" s="4415"/>
      <c r="I870" s="4415"/>
      <c r="J870" s="4415"/>
      <c r="K870" s="4415"/>
      <c r="L870" s="2024" t="s">
        <v>4217</v>
      </c>
      <c r="M870" s="386"/>
      <c r="N870" s="386"/>
      <c r="O870" s="386"/>
      <c r="P870" s="386"/>
      <c r="Q870" s="386"/>
    </row>
    <row r="871" spans="1:17" s="1660" customFormat="1" ht="30" customHeight="1" x14ac:dyDescent="0.2">
      <c r="A871" s="4600"/>
      <c r="B871" s="4488"/>
      <c r="C871" s="4620" t="s">
        <v>4107</v>
      </c>
      <c r="D871" s="3456">
        <v>120000000</v>
      </c>
      <c r="E871" s="3447">
        <v>0.05</v>
      </c>
      <c r="F871" s="3445">
        <f>D871*E871</f>
        <v>6000000</v>
      </c>
      <c r="G871" s="4413">
        <v>8100000</v>
      </c>
      <c r="H871" s="4413" t="s">
        <v>5108</v>
      </c>
      <c r="I871" s="4413" t="s">
        <v>4315</v>
      </c>
      <c r="J871" s="4413">
        <f>G871+G873</f>
        <v>10600000</v>
      </c>
      <c r="K871" s="4413">
        <f>(F871+F872)-J871</f>
        <v>-2500000</v>
      </c>
      <c r="L871" s="5063" t="s">
        <v>4907</v>
      </c>
      <c r="M871" s="386"/>
      <c r="N871" s="386"/>
      <c r="O871" s="386"/>
      <c r="P871" s="386"/>
      <c r="Q871" s="386"/>
    </row>
    <row r="872" spans="1:17" s="1660" customFormat="1" ht="30" customHeight="1" x14ac:dyDescent="0.2">
      <c r="A872" s="4607"/>
      <c r="B872" s="4458"/>
      <c r="C872" s="4620"/>
      <c r="D872" s="3445">
        <v>30000000</v>
      </c>
      <c r="E872" s="3447">
        <v>7.0000000000000007E-2</v>
      </c>
      <c r="F872" s="3445">
        <f>D872*E872</f>
        <v>2100000</v>
      </c>
      <c r="G872" s="4415"/>
      <c r="H872" s="4415"/>
      <c r="I872" s="4415"/>
      <c r="J872" s="4415"/>
      <c r="K872" s="4415"/>
      <c r="L872" s="5064"/>
      <c r="M872" s="386"/>
      <c r="N872" s="386"/>
      <c r="O872" s="386"/>
      <c r="P872" s="386"/>
      <c r="Q872" s="386"/>
    </row>
    <row r="873" spans="1:17" s="1660" customFormat="1" ht="30" customHeight="1" x14ac:dyDescent="0.2">
      <c r="A873" s="2883"/>
      <c r="B873" s="2874" t="s">
        <v>3957</v>
      </c>
      <c r="C873" s="2847" t="s">
        <v>3390</v>
      </c>
      <c r="D873" s="2821">
        <v>50000000</v>
      </c>
      <c r="E873" s="2823">
        <v>0.05</v>
      </c>
      <c r="F873" s="2821">
        <f>D873*E873</f>
        <v>2500000</v>
      </c>
      <c r="G873" s="2821">
        <v>2500000</v>
      </c>
      <c r="H873" s="2821" t="s">
        <v>5229</v>
      </c>
      <c r="I873" s="2841" t="s">
        <v>4602</v>
      </c>
      <c r="J873" s="2821">
        <f>G873</f>
        <v>2500000</v>
      </c>
      <c r="K873" s="2821">
        <f>F873-J873</f>
        <v>0</v>
      </c>
      <c r="L873" s="2856"/>
      <c r="M873" s="386"/>
      <c r="N873" s="386"/>
      <c r="O873" s="386"/>
      <c r="P873" s="386"/>
      <c r="Q873" s="386"/>
    </row>
    <row r="874" spans="1:17" s="1660" customFormat="1" ht="30" customHeight="1" x14ac:dyDescent="0.2">
      <c r="A874" s="2883"/>
      <c r="B874" s="2874" t="s">
        <v>3962</v>
      </c>
      <c r="C874" s="2847"/>
      <c r="D874" s="2821">
        <f>25000000+10000000+10000000+250000+2500000+1500000+500000</f>
        <v>49750000</v>
      </c>
      <c r="E874" s="2823"/>
      <c r="F874" s="2821"/>
      <c r="G874" s="2821"/>
      <c r="H874" s="2821"/>
      <c r="I874" s="2841"/>
      <c r="J874" s="2821"/>
      <c r="K874" s="2821"/>
      <c r="L874" s="2856" t="s">
        <v>3963</v>
      </c>
      <c r="M874" s="386"/>
      <c r="N874" s="386"/>
      <c r="O874" s="386"/>
      <c r="P874" s="386"/>
      <c r="Q874" s="386"/>
    </row>
    <row r="875" spans="1:17" s="1660" customFormat="1" ht="30" customHeight="1" x14ac:dyDescent="0.2">
      <c r="A875" s="3002"/>
      <c r="B875" s="2996" t="s">
        <v>4904</v>
      </c>
      <c r="C875" s="2990" t="s">
        <v>942</v>
      </c>
      <c r="D875" s="2982">
        <v>800000000</v>
      </c>
      <c r="E875" s="2983">
        <v>6.5000000000000002E-2</v>
      </c>
      <c r="F875" s="2982">
        <f>D875*E875</f>
        <v>52000000</v>
      </c>
      <c r="G875" s="2982"/>
      <c r="H875" s="2982"/>
      <c r="I875" s="2991"/>
      <c r="J875" s="2982"/>
      <c r="K875" s="2982"/>
      <c r="L875" s="2023" t="s">
        <v>4973</v>
      </c>
      <c r="M875" s="386"/>
      <c r="N875" s="386"/>
      <c r="O875" s="386"/>
      <c r="P875" s="386"/>
      <c r="Q875" s="386"/>
    </row>
    <row r="876" spans="1:17" s="1660" customFormat="1" ht="30" customHeight="1" x14ac:dyDescent="0.2">
      <c r="A876" s="4599"/>
      <c r="B876" s="4457" t="s">
        <v>3965</v>
      </c>
      <c r="C876" s="2847" t="s">
        <v>1652</v>
      </c>
      <c r="D876" s="2821">
        <v>58000000</v>
      </c>
      <c r="E876" s="2823">
        <v>0.05</v>
      </c>
      <c r="F876" s="2821">
        <f>D876*E876</f>
        <v>2900000</v>
      </c>
      <c r="G876" s="2821">
        <v>2900000</v>
      </c>
      <c r="H876" s="2821" t="s">
        <v>5085</v>
      </c>
      <c r="I876" s="2841" t="s">
        <v>4409</v>
      </c>
      <c r="J876" s="2821">
        <f t="shared" ref="J876:J881" si="93">G876</f>
        <v>2900000</v>
      </c>
      <c r="K876" s="2821">
        <f>F876-J876</f>
        <v>0</v>
      </c>
      <c r="L876" s="2856"/>
      <c r="M876" s="386"/>
      <c r="N876" s="386"/>
      <c r="O876" s="386"/>
      <c r="P876" s="386"/>
      <c r="Q876" s="386"/>
    </row>
    <row r="877" spans="1:17" s="1660" customFormat="1" ht="30" customHeight="1" x14ac:dyDescent="0.2">
      <c r="A877" s="4607"/>
      <c r="B877" s="4458"/>
      <c r="C877" s="3272" t="s">
        <v>1298</v>
      </c>
      <c r="D877" s="3269">
        <v>40000000</v>
      </c>
      <c r="E877" s="3270">
        <v>0.05</v>
      </c>
      <c r="F877" s="3269">
        <f>D877*E877</f>
        <v>2000000</v>
      </c>
      <c r="G877" s="3269">
        <v>2000000</v>
      </c>
      <c r="H877" s="3269" t="s">
        <v>5107</v>
      </c>
      <c r="I877" s="3273" t="s">
        <v>5287</v>
      </c>
      <c r="J877" s="3269">
        <f t="shared" si="93"/>
        <v>2000000</v>
      </c>
      <c r="K877" s="3269">
        <f>F877-J877</f>
        <v>0</v>
      </c>
      <c r="L877" s="3282" t="s">
        <v>5288</v>
      </c>
      <c r="M877" s="386"/>
      <c r="N877" s="386"/>
      <c r="O877" s="386"/>
      <c r="P877" s="386"/>
      <c r="Q877" s="386"/>
    </row>
    <row r="878" spans="1:17" s="1660" customFormat="1" ht="30" customHeight="1" x14ac:dyDescent="0.2">
      <c r="A878" s="2883"/>
      <c r="B878" s="2874" t="s">
        <v>896</v>
      </c>
      <c r="C878" s="2847"/>
      <c r="D878" s="2821">
        <v>130000000</v>
      </c>
      <c r="E878" s="2823">
        <v>0.05</v>
      </c>
      <c r="F878" s="2821">
        <f>D878*E878</f>
        <v>6500000</v>
      </c>
      <c r="G878" s="2821">
        <v>6500000</v>
      </c>
      <c r="H878" s="2821" t="s">
        <v>4862</v>
      </c>
      <c r="I878" s="2841" t="s">
        <v>4871</v>
      </c>
      <c r="J878" s="2821">
        <f t="shared" si="93"/>
        <v>6500000</v>
      </c>
      <c r="K878" s="2821">
        <f>F878-J878</f>
        <v>0</v>
      </c>
      <c r="L878" s="2856"/>
      <c r="M878" s="386"/>
      <c r="N878" s="386"/>
      <c r="O878" s="386"/>
      <c r="P878" s="386"/>
      <c r="Q878" s="386"/>
    </row>
    <row r="879" spans="1:17" s="1660" customFormat="1" ht="30" customHeight="1" x14ac:dyDescent="0.2">
      <c r="A879" s="2883"/>
      <c r="B879" s="2874" t="s">
        <v>2305</v>
      </c>
      <c r="C879" s="2847"/>
      <c r="D879" s="2838"/>
      <c r="E879" s="2839"/>
      <c r="F879" s="2838"/>
      <c r="G879" s="2821"/>
      <c r="H879" s="2821"/>
      <c r="I879" s="2841" t="s">
        <v>3995</v>
      </c>
      <c r="J879" s="2821">
        <f t="shared" si="93"/>
        <v>0</v>
      </c>
      <c r="K879" s="2821"/>
      <c r="L879" s="2856"/>
      <c r="M879" s="386"/>
      <c r="N879" s="386"/>
      <c r="O879" s="386"/>
      <c r="P879" s="386"/>
      <c r="Q879" s="386"/>
    </row>
    <row r="880" spans="1:17" s="1660" customFormat="1" ht="30" customHeight="1" x14ac:dyDescent="0.2">
      <c r="A880" s="2883"/>
      <c r="B880" s="2874" t="s">
        <v>4015</v>
      </c>
      <c r="C880" s="2847" t="s">
        <v>4225</v>
      </c>
      <c r="D880" s="2821">
        <v>100000000</v>
      </c>
      <c r="E880" s="2823">
        <v>0.06</v>
      </c>
      <c r="F880" s="2821">
        <f>D880*E880</f>
        <v>6000000</v>
      </c>
      <c r="G880" s="233">
        <v>6000000</v>
      </c>
      <c r="H880" s="2848" t="s">
        <v>5085</v>
      </c>
      <c r="I880" s="2848" t="s">
        <v>5087</v>
      </c>
      <c r="J880" s="2848">
        <f t="shared" si="93"/>
        <v>6000000</v>
      </c>
      <c r="K880" s="2821">
        <f>F880-J880</f>
        <v>0</v>
      </c>
      <c r="L880" s="2856"/>
      <c r="M880" s="386"/>
      <c r="N880" s="386"/>
      <c r="O880" s="386"/>
      <c r="P880" s="386"/>
      <c r="Q880" s="386"/>
    </row>
    <row r="881" spans="1:17" s="1660" customFormat="1" ht="30" customHeight="1" x14ac:dyDescent="0.2">
      <c r="A881" s="2883"/>
      <c r="B881" s="2874" t="s">
        <v>4026</v>
      </c>
      <c r="C881" s="2847"/>
      <c r="D881" s="2821">
        <v>110000000</v>
      </c>
      <c r="E881" s="2823">
        <v>0.04</v>
      </c>
      <c r="F881" s="2821">
        <f>D881*E881</f>
        <v>4400000</v>
      </c>
      <c r="G881" s="2821">
        <v>4400000</v>
      </c>
      <c r="H881" s="2821" t="s">
        <v>4922</v>
      </c>
      <c r="I881" s="2841" t="s">
        <v>3469</v>
      </c>
      <c r="J881" s="2821">
        <f t="shared" si="93"/>
        <v>4400000</v>
      </c>
      <c r="K881" s="2821">
        <f>F881-J881</f>
        <v>0</v>
      </c>
      <c r="L881" s="2856"/>
      <c r="M881" s="386"/>
      <c r="N881" s="386"/>
      <c r="O881" s="386"/>
      <c r="P881" s="386"/>
      <c r="Q881" s="386"/>
    </row>
    <row r="882" spans="1:17" s="1660" customFormat="1" ht="30" customHeight="1" x14ac:dyDescent="0.2">
      <c r="A882" s="2883"/>
      <c r="B882" s="2874" t="s">
        <v>1455</v>
      </c>
      <c r="C882" s="2847"/>
      <c r="D882" s="2821">
        <v>50000000</v>
      </c>
      <c r="E882" s="2823">
        <v>0.05</v>
      </c>
      <c r="F882" s="2821">
        <f>D882*E882</f>
        <v>2500000</v>
      </c>
      <c r="G882" s="233"/>
      <c r="H882" s="233"/>
      <c r="I882" s="233"/>
      <c r="J882" s="233"/>
      <c r="K882" s="2821"/>
      <c r="L882" s="2856"/>
      <c r="M882" s="386"/>
      <c r="N882" s="386"/>
      <c r="O882" s="386"/>
      <c r="P882" s="386"/>
      <c r="Q882" s="386"/>
    </row>
    <row r="883" spans="1:17" s="1660" customFormat="1" ht="30" customHeight="1" x14ac:dyDescent="0.2">
      <c r="A883" s="4599"/>
      <c r="B883" s="4457" t="s">
        <v>4039</v>
      </c>
      <c r="C883" s="4537"/>
      <c r="D883" s="3190">
        <v>21000000</v>
      </c>
      <c r="E883" s="3199"/>
      <c r="F883" s="3190"/>
      <c r="G883" s="3190"/>
      <c r="H883" s="3190"/>
      <c r="I883" s="3190"/>
      <c r="J883" s="3190"/>
      <c r="K883" s="3193"/>
      <c r="L883" s="3207" t="s">
        <v>4221</v>
      </c>
      <c r="M883" s="386"/>
      <c r="N883" s="386"/>
      <c r="O883" s="386"/>
      <c r="P883" s="386"/>
      <c r="Q883" s="386"/>
    </row>
    <row r="884" spans="1:17" s="1660" customFormat="1" ht="30" customHeight="1" x14ac:dyDescent="0.2">
      <c r="A884" s="4607"/>
      <c r="B884" s="4458"/>
      <c r="C884" s="4538"/>
      <c r="D884" s="3190">
        <v>520000000</v>
      </c>
      <c r="E884" s="3191"/>
      <c r="F884" s="3190"/>
      <c r="G884" s="3190"/>
      <c r="H884" s="3190"/>
      <c r="I884" s="3190"/>
      <c r="J884" s="3190"/>
      <c r="K884" s="3193"/>
      <c r="L884" s="3207" t="s">
        <v>5128</v>
      </c>
      <c r="M884" s="386"/>
      <c r="N884" s="386"/>
      <c r="O884" s="386"/>
      <c r="P884" s="386"/>
      <c r="Q884" s="386"/>
    </row>
    <row r="885" spans="1:17" s="1660" customFormat="1" ht="30" customHeight="1" x14ac:dyDescent="0.2">
      <c r="A885" s="4599"/>
      <c r="B885" s="4457" t="s">
        <v>4048</v>
      </c>
      <c r="C885" s="4537" t="s">
        <v>990</v>
      </c>
      <c r="D885" s="2848">
        <v>47000000</v>
      </c>
      <c r="E885" s="2823">
        <v>0.05</v>
      </c>
      <c r="F885" s="2848">
        <f>D885*E885</f>
        <v>2350000</v>
      </c>
      <c r="G885" s="4413">
        <v>8575000</v>
      </c>
      <c r="H885" s="4413" t="s">
        <v>5107</v>
      </c>
      <c r="I885" s="4413" t="s">
        <v>4768</v>
      </c>
      <c r="J885" s="4413">
        <f t="shared" ref="J885:J889" si="94">G885</f>
        <v>8575000</v>
      </c>
      <c r="K885" s="4413"/>
      <c r="L885" s="2879" t="s">
        <v>5285</v>
      </c>
      <c r="M885" s="386"/>
      <c r="N885" s="386"/>
      <c r="O885" s="386"/>
      <c r="P885" s="386"/>
      <c r="Q885" s="386"/>
    </row>
    <row r="886" spans="1:17" s="1660" customFormat="1" ht="30" customHeight="1" x14ac:dyDescent="0.2">
      <c r="A886" s="4607"/>
      <c r="B886" s="4458"/>
      <c r="C886" s="4538"/>
      <c r="D886" s="2841">
        <v>90000000</v>
      </c>
      <c r="E886" s="2823">
        <v>0.05</v>
      </c>
      <c r="F886" s="2842">
        <f>D886*E886</f>
        <v>4500000</v>
      </c>
      <c r="G886" s="4415"/>
      <c r="H886" s="4415"/>
      <c r="I886" s="4415"/>
      <c r="J886" s="4415"/>
      <c r="K886" s="4415"/>
      <c r="L886" s="2856" t="s">
        <v>5286</v>
      </c>
      <c r="M886" s="386"/>
      <c r="N886" s="386"/>
      <c r="O886" s="386"/>
      <c r="P886" s="386"/>
      <c r="Q886" s="386"/>
    </row>
    <row r="887" spans="1:17" s="1660" customFormat="1" ht="30" customHeight="1" x14ac:dyDescent="0.2">
      <c r="A887" s="2883"/>
      <c r="B887" s="2829" t="s">
        <v>4081</v>
      </c>
      <c r="C887" s="2847" t="s">
        <v>1652</v>
      </c>
      <c r="D887" s="2841">
        <v>100000000</v>
      </c>
      <c r="E887" s="2823">
        <v>0.05</v>
      </c>
      <c r="F887" s="2842">
        <f>D887*E887</f>
        <v>5000000</v>
      </c>
      <c r="G887" s="2821">
        <v>5000000</v>
      </c>
      <c r="H887" s="2821" t="s">
        <v>4848</v>
      </c>
      <c r="I887" s="2841" t="s">
        <v>4851</v>
      </c>
      <c r="J887" s="2821">
        <f t="shared" si="94"/>
        <v>5000000</v>
      </c>
      <c r="K887" s="2821">
        <f>F887-J887</f>
        <v>0</v>
      </c>
      <c r="L887" s="2856"/>
      <c r="M887" s="386"/>
      <c r="N887" s="386"/>
      <c r="O887" s="386"/>
      <c r="P887" s="386"/>
      <c r="Q887" s="386"/>
    </row>
    <row r="888" spans="1:17" s="1660" customFormat="1" ht="30" customHeight="1" x14ac:dyDescent="0.2">
      <c r="A888" s="2883"/>
      <c r="B888" s="2874" t="s">
        <v>4085</v>
      </c>
      <c r="C888" s="2847"/>
      <c r="D888" s="453"/>
      <c r="E888" s="2839"/>
      <c r="F888" s="598"/>
      <c r="G888" s="2821"/>
      <c r="H888" s="2821"/>
      <c r="I888" s="938">
        <v>5423044873</v>
      </c>
      <c r="J888" s="2821">
        <f t="shared" si="94"/>
        <v>0</v>
      </c>
      <c r="K888" s="2838"/>
      <c r="L888" s="2856"/>
      <c r="M888" s="386"/>
      <c r="N888" s="386"/>
      <c r="O888" s="386"/>
      <c r="P888" s="386"/>
      <c r="Q888" s="386"/>
    </row>
    <row r="889" spans="1:17" s="1660" customFormat="1" ht="30" customHeight="1" x14ac:dyDescent="0.2">
      <c r="A889" s="3295"/>
      <c r="B889" s="3305" t="s">
        <v>4102</v>
      </c>
      <c r="C889" s="3304" t="s">
        <v>1796</v>
      </c>
      <c r="D889" s="3297">
        <v>11000000</v>
      </c>
      <c r="E889" s="3303">
        <v>0.05</v>
      </c>
      <c r="F889" s="3297">
        <f>D889*E889</f>
        <v>550000</v>
      </c>
      <c r="G889" s="3297">
        <v>550000</v>
      </c>
      <c r="H889" s="3297" t="s">
        <v>5176</v>
      </c>
      <c r="I889" s="3297" t="s">
        <v>4772</v>
      </c>
      <c r="J889" s="3297">
        <f t="shared" si="94"/>
        <v>550000</v>
      </c>
      <c r="K889" s="3297">
        <f>F889-J889</f>
        <v>0</v>
      </c>
      <c r="L889" s="2856"/>
      <c r="M889" s="386"/>
      <c r="N889" s="386"/>
      <c r="O889" s="386"/>
      <c r="P889" s="386"/>
      <c r="Q889" s="386"/>
    </row>
    <row r="890" spans="1:17" s="1660" customFormat="1" ht="30" customHeight="1" x14ac:dyDescent="0.2">
      <c r="A890" s="2883"/>
      <c r="B890" s="2874" t="s">
        <v>4116</v>
      </c>
      <c r="C890" s="2847" t="s">
        <v>1172</v>
      </c>
      <c r="D890" s="2841">
        <v>50000000</v>
      </c>
      <c r="E890" s="2823">
        <v>0.05</v>
      </c>
      <c r="F890" s="2842">
        <f>D890*E890</f>
        <v>2500000</v>
      </c>
      <c r="G890" s="2821"/>
      <c r="H890" s="2821"/>
      <c r="I890" s="2841"/>
      <c r="J890" s="2821"/>
      <c r="K890" s="2821"/>
      <c r="L890" s="2856"/>
      <c r="M890" s="386"/>
      <c r="N890" s="386"/>
      <c r="O890" s="386"/>
      <c r="P890" s="386"/>
      <c r="Q890" s="386"/>
    </row>
    <row r="891" spans="1:17" s="1660" customFormat="1" ht="30" customHeight="1" x14ac:dyDescent="0.2">
      <c r="A891" s="2883"/>
      <c r="B891" s="2874" t="s">
        <v>4117</v>
      </c>
      <c r="C891" s="2847"/>
      <c r="D891" s="2841">
        <v>5000000</v>
      </c>
      <c r="E891" s="2823"/>
      <c r="F891" s="2842"/>
      <c r="G891" s="2821"/>
      <c r="H891" s="2821"/>
      <c r="I891" s="2841"/>
      <c r="J891" s="2821"/>
      <c r="K891" s="2821"/>
      <c r="L891" s="2856"/>
      <c r="M891" s="386"/>
      <c r="N891" s="386"/>
      <c r="O891" s="386"/>
      <c r="P891" s="386"/>
      <c r="Q891" s="386"/>
    </row>
    <row r="892" spans="1:17" s="1660" customFormat="1" ht="30" customHeight="1" x14ac:dyDescent="0.2">
      <c r="A892" s="2883"/>
      <c r="B892" s="2874" t="s">
        <v>4118</v>
      </c>
      <c r="C892" s="2847" t="s">
        <v>1172</v>
      </c>
      <c r="D892" s="2841">
        <v>70000000</v>
      </c>
      <c r="E892" s="2823">
        <v>0.06</v>
      </c>
      <c r="F892" s="2842">
        <f>D892*E892</f>
        <v>4200000</v>
      </c>
      <c r="G892" s="2821"/>
      <c r="H892" s="2821"/>
      <c r="I892" s="2841"/>
      <c r="J892" s="2821"/>
      <c r="K892" s="2821"/>
      <c r="L892" s="2856"/>
      <c r="M892" s="386"/>
      <c r="N892" s="386"/>
      <c r="O892" s="386"/>
      <c r="P892" s="386"/>
      <c r="Q892" s="386"/>
    </row>
    <row r="893" spans="1:17" s="1660" customFormat="1" ht="30" customHeight="1" x14ac:dyDescent="0.2">
      <c r="A893" s="2883"/>
      <c r="B893" s="2874" t="s">
        <v>4133</v>
      </c>
      <c r="C893" s="2847"/>
      <c r="D893" s="2841">
        <v>45000000</v>
      </c>
      <c r="E893" s="2823">
        <v>0.05</v>
      </c>
      <c r="F893" s="2842">
        <f>D893*E893</f>
        <v>2250000</v>
      </c>
      <c r="G893" s="2992">
        <v>2250000</v>
      </c>
      <c r="H893" s="2992" t="s">
        <v>4922</v>
      </c>
      <c r="I893" s="2992" t="s">
        <v>303</v>
      </c>
      <c r="J893" s="2992">
        <f>G893</f>
        <v>2250000</v>
      </c>
      <c r="K893" s="2982">
        <f>F893-J893</f>
        <v>0</v>
      </c>
      <c r="L893" s="2856"/>
      <c r="M893" s="386"/>
      <c r="N893" s="386"/>
      <c r="O893" s="386"/>
      <c r="P893" s="386"/>
      <c r="Q893" s="386"/>
    </row>
    <row r="894" spans="1:17" s="1660" customFormat="1" ht="30" customHeight="1" x14ac:dyDescent="0.2">
      <c r="A894" s="2883"/>
      <c r="B894" s="2874" t="s">
        <v>4244</v>
      </c>
      <c r="C894" s="2847"/>
      <c r="D894" s="2841">
        <v>60000000</v>
      </c>
      <c r="E894" s="2823">
        <v>0.05</v>
      </c>
      <c r="F894" s="2842">
        <f>D894*E894</f>
        <v>3000000</v>
      </c>
      <c r="G894" s="2821">
        <v>3000000</v>
      </c>
      <c r="H894" s="2821" t="s">
        <v>5176</v>
      </c>
      <c r="I894" s="2841" t="s">
        <v>5177</v>
      </c>
      <c r="J894" s="2821">
        <f>G894</f>
        <v>3000000</v>
      </c>
      <c r="K894" s="2821">
        <f>F894-J894</f>
        <v>0</v>
      </c>
      <c r="L894" s="2856" t="s">
        <v>5178</v>
      </c>
      <c r="M894" s="386"/>
      <c r="N894" s="386"/>
      <c r="O894" s="386"/>
      <c r="P894" s="386"/>
      <c r="Q894" s="386"/>
    </row>
    <row r="895" spans="1:17" s="1660" customFormat="1" ht="30" customHeight="1" x14ac:dyDescent="0.2">
      <c r="A895" s="4599"/>
      <c r="B895" s="4457" t="s">
        <v>4245</v>
      </c>
      <c r="C895" s="4537" t="s">
        <v>942</v>
      </c>
      <c r="D895" s="4413">
        <v>10000000</v>
      </c>
      <c r="E895" s="4476">
        <v>0.05</v>
      </c>
      <c r="F895" s="4413">
        <f>D895*E895</f>
        <v>500000</v>
      </c>
      <c r="G895" s="2821">
        <v>500000</v>
      </c>
      <c r="H895" s="2821" t="s">
        <v>4841</v>
      </c>
      <c r="I895" s="3453" t="s">
        <v>5177</v>
      </c>
      <c r="J895" s="2821">
        <f>F895</f>
        <v>500000</v>
      </c>
      <c r="K895" s="2821">
        <f>F895-J895</f>
        <v>0</v>
      </c>
      <c r="L895" s="4469" t="s">
        <v>4439</v>
      </c>
      <c r="M895" s="4470"/>
      <c r="N895" s="4470"/>
      <c r="O895" s="4471"/>
      <c r="P895" s="386"/>
      <c r="Q895" s="386"/>
    </row>
    <row r="896" spans="1:17" s="1660" customFormat="1" ht="30" customHeight="1" x14ac:dyDescent="0.2">
      <c r="A896" s="4607"/>
      <c r="B896" s="4458"/>
      <c r="C896" s="4538"/>
      <c r="D896" s="4415"/>
      <c r="E896" s="4477"/>
      <c r="F896" s="4415"/>
      <c r="G896" s="3445">
        <v>500000</v>
      </c>
      <c r="H896" s="3445" t="s">
        <v>5108</v>
      </c>
      <c r="I896" s="3453" t="s">
        <v>5177</v>
      </c>
      <c r="J896" s="3445">
        <f>G896</f>
        <v>500000</v>
      </c>
      <c r="K896" s="3445">
        <f>F895-J896</f>
        <v>0</v>
      </c>
      <c r="L896" s="3471" t="s">
        <v>4907</v>
      </c>
      <c r="M896" s="3470"/>
      <c r="N896" s="3470"/>
      <c r="O896" s="3470"/>
      <c r="P896" s="386"/>
      <c r="Q896" s="386"/>
    </row>
    <row r="897" spans="1:17" s="1660" customFormat="1" ht="30" customHeight="1" x14ac:dyDescent="0.2">
      <c r="A897" s="2883"/>
      <c r="B897" s="2874" t="s">
        <v>4141</v>
      </c>
      <c r="C897" s="2847"/>
      <c r="D897" s="2841">
        <v>10000000</v>
      </c>
      <c r="E897" s="2823"/>
      <c r="F897" s="2842"/>
      <c r="G897" s="2821"/>
      <c r="H897" s="2821"/>
      <c r="I897" s="2841"/>
      <c r="J897" s="2821"/>
      <c r="K897" s="2821"/>
      <c r="L897" s="4469"/>
      <c r="M897" s="4470"/>
      <c r="N897" s="4470"/>
      <c r="O897" s="4471"/>
      <c r="P897" s="386"/>
      <c r="Q897" s="386"/>
    </row>
    <row r="898" spans="1:17" s="1660" customFormat="1" ht="30" customHeight="1" x14ac:dyDescent="0.2">
      <c r="A898" s="4599"/>
      <c r="B898" s="4457" t="s">
        <v>4144</v>
      </c>
      <c r="C898" s="4537"/>
      <c r="D898" s="4413">
        <v>200000000</v>
      </c>
      <c r="E898" s="4476">
        <v>7.0000000000000007E-2</v>
      </c>
      <c r="F898" s="4413">
        <f>D898*E898</f>
        <v>14000000.000000002</v>
      </c>
      <c r="G898" s="2841">
        <v>14000000</v>
      </c>
      <c r="H898" s="2823" t="s">
        <v>4862</v>
      </c>
      <c r="I898" s="2842" t="s">
        <v>815</v>
      </c>
      <c r="J898" s="2841">
        <f>G898</f>
        <v>14000000</v>
      </c>
      <c r="K898" s="2982">
        <f>F898-J898</f>
        <v>0</v>
      </c>
      <c r="L898" s="4469" t="s">
        <v>4439</v>
      </c>
      <c r="M898" s="4470"/>
      <c r="N898" s="4470"/>
      <c r="O898" s="4471"/>
      <c r="P898" s="386"/>
      <c r="Q898" s="386"/>
    </row>
    <row r="899" spans="1:17" s="1660" customFormat="1" ht="30" customHeight="1" x14ac:dyDescent="0.2">
      <c r="A899" s="4607"/>
      <c r="B899" s="4458"/>
      <c r="C899" s="4538"/>
      <c r="D899" s="4415"/>
      <c r="E899" s="4477"/>
      <c r="F899" s="4415"/>
      <c r="G899" s="3407">
        <v>14000000</v>
      </c>
      <c r="H899" s="3400" t="s">
        <v>5292</v>
      </c>
      <c r="I899" s="3410" t="s">
        <v>815</v>
      </c>
      <c r="J899" s="3407">
        <f>G899</f>
        <v>14000000</v>
      </c>
      <c r="K899" s="3396">
        <f>F898-J899</f>
        <v>0</v>
      </c>
      <c r="L899" s="3424" t="s">
        <v>4907</v>
      </c>
      <c r="M899" s="3423"/>
      <c r="N899" s="3423"/>
      <c r="O899" s="3423"/>
      <c r="P899" s="386"/>
      <c r="Q899" s="386"/>
    </row>
    <row r="900" spans="1:17" s="1660" customFormat="1" ht="30" customHeight="1" x14ac:dyDescent="0.2">
      <c r="A900" s="2883"/>
      <c r="B900" s="2375" t="s">
        <v>4157</v>
      </c>
      <c r="C900" s="2847"/>
      <c r="D900" s="453"/>
      <c r="E900" s="2839"/>
      <c r="F900" s="598"/>
      <c r="G900" s="2821"/>
      <c r="H900" s="2821"/>
      <c r="I900" s="2841" t="s">
        <v>4158</v>
      </c>
      <c r="J900" s="2821">
        <f>G900</f>
        <v>0</v>
      </c>
      <c r="K900" s="2821"/>
      <c r="L900" s="2856"/>
      <c r="M900" s="2884"/>
      <c r="N900" s="2884"/>
      <c r="O900" s="2884"/>
      <c r="P900" s="386"/>
      <c r="Q900" s="386"/>
    </row>
    <row r="901" spans="1:17" s="1660" customFormat="1" ht="30" customHeight="1" x14ac:dyDescent="0.2">
      <c r="A901" s="2883"/>
      <c r="B901" s="2375" t="s">
        <v>4159</v>
      </c>
      <c r="C901" s="2847"/>
      <c r="D901" s="453"/>
      <c r="E901" s="2839"/>
      <c r="F901" s="598"/>
      <c r="G901" s="2821"/>
      <c r="H901" s="2821"/>
      <c r="I901" s="2841" t="s">
        <v>4160</v>
      </c>
      <c r="J901" s="2821">
        <f>G901</f>
        <v>0</v>
      </c>
      <c r="K901" s="2821"/>
      <c r="L901" s="2856"/>
      <c r="M901" s="2884"/>
      <c r="N901" s="2884"/>
      <c r="O901" s="2884"/>
      <c r="P901" s="386"/>
      <c r="Q901" s="386"/>
    </row>
    <row r="902" spans="1:17" s="1660" customFormat="1" ht="30" customHeight="1" x14ac:dyDescent="0.2">
      <c r="A902" s="2883"/>
      <c r="B902" s="2375" t="s">
        <v>4162</v>
      </c>
      <c r="C902" s="2847"/>
      <c r="D902" s="453"/>
      <c r="E902" s="2839"/>
      <c r="F902" s="598"/>
      <c r="G902" s="2821"/>
      <c r="H902" s="2821"/>
      <c r="I902" s="2841" t="s">
        <v>4163</v>
      </c>
      <c r="J902" s="2821">
        <f>G902</f>
        <v>0</v>
      </c>
      <c r="K902" s="2821"/>
      <c r="L902" s="2856"/>
      <c r="M902" s="2884"/>
      <c r="N902" s="2884"/>
      <c r="O902" s="2884"/>
      <c r="P902" s="386"/>
      <c r="Q902" s="386"/>
    </row>
    <row r="903" spans="1:17" s="1660" customFormat="1" ht="30" customHeight="1" x14ac:dyDescent="0.2">
      <c r="A903" s="4599"/>
      <c r="B903" s="4813" t="s">
        <v>4164</v>
      </c>
      <c r="C903" s="4858" t="s">
        <v>392</v>
      </c>
      <c r="D903" s="4861">
        <v>70000000</v>
      </c>
      <c r="E903" s="4802">
        <v>0.05</v>
      </c>
      <c r="F903" s="4861">
        <f>D903*E903</f>
        <v>3500000</v>
      </c>
      <c r="G903" s="5033" t="s">
        <v>4676</v>
      </c>
      <c r="H903" s="5034"/>
      <c r="I903" s="5034"/>
      <c r="J903" s="5035"/>
      <c r="K903" s="5061"/>
      <c r="L903" s="2862" t="s">
        <v>4210</v>
      </c>
      <c r="M903" s="2884"/>
      <c r="N903" s="2884"/>
      <c r="O903" s="2884"/>
      <c r="P903" s="386"/>
      <c r="Q903" s="386"/>
    </row>
    <row r="904" spans="1:17" s="1660" customFormat="1" ht="30" customHeight="1" x14ac:dyDescent="0.2">
      <c r="A904" s="4600"/>
      <c r="B904" s="5032"/>
      <c r="C904" s="4859"/>
      <c r="D904" s="4863"/>
      <c r="E904" s="4803"/>
      <c r="F904" s="4863"/>
      <c r="G904" s="5036"/>
      <c r="H904" s="5037"/>
      <c r="I904" s="5037"/>
      <c r="J904" s="5038"/>
      <c r="K904" s="5061"/>
      <c r="L904" s="2953" t="s">
        <v>4211</v>
      </c>
      <c r="M904" s="2884"/>
      <c r="N904" s="2884"/>
      <c r="O904" s="2884"/>
      <c r="P904" s="386"/>
      <c r="Q904" s="386"/>
    </row>
    <row r="905" spans="1:17" s="1660" customFormat="1" ht="30" customHeight="1" x14ac:dyDescent="0.2">
      <c r="A905" s="4600"/>
      <c r="B905" s="5032"/>
      <c r="C905" s="4859"/>
      <c r="D905" s="2956">
        <v>10000000</v>
      </c>
      <c r="E905" s="2958">
        <v>0.05</v>
      </c>
      <c r="F905" s="2956">
        <f t="shared" ref="F905:F911" si="95">D905*E905</f>
        <v>500000</v>
      </c>
      <c r="G905" s="4854"/>
      <c r="H905" s="4855"/>
      <c r="I905" s="4855"/>
      <c r="J905" s="4856"/>
      <c r="K905" s="5061"/>
      <c r="L905" s="2953" t="s">
        <v>4272</v>
      </c>
      <c r="M905" s="2884"/>
      <c r="N905" s="2884"/>
      <c r="O905" s="2884"/>
      <c r="P905" s="386"/>
      <c r="Q905" s="386"/>
    </row>
    <row r="906" spans="1:17" s="1660" customFormat="1" ht="30" customHeight="1" x14ac:dyDescent="0.2">
      <c r="A906" s="4600"/>
      <c r="B906" s="5032"/>
      <c r="C906" s="4859"/>
      <c r="D906" s="1857">
        <v>84000000</v>
      </c>
      <c r="E906" s="680">
        <v>0.05</v>
      </c>
      <c r="F906" s="1857">
        <f t="shared" si="95"/>
        <v>4200000</v>
      </c>
      <c r="G906" s="5062" t="s">
        <v>4834</v>
      </c>
      <c r="H906" s="5062"/>
      <c r="I906" s="5062"/>
      <c r="J906" s="5062"/>
      <c r="K906" s="2956"/>
      <c r="L906" s="2880"/>
      <c r="M906" s="2884"/>
      <c r="N906" s="2884"/>
      <c r="O906" s="2884"/>
      <c r="P906" s="386"/>
      <c r="Q906" s="386"/>
    </row>
    <row r="907" spans="1:17" s="1660" customFormat="1" ht="30" customHeight="1" x14ac:dyDescent="0.2">
      <c r="A907" s="4600"/>
      <c r="B907" s="5032"/>
      <c r="C907" s="4859"/>
      <c r="D907" s="1857">
        <f>D906+F906</f>
        <v>88200000</v>
      </c>
      <c r="E907" s="680">
        <v>0.05</v>
      </c>
      <c r="F907" s="1857">
        <f t="shared" si="95"/>
        <v>4410000</v>
      </c>
      <c r="G907" s="5062" t="s">
        <v>4835</v>
      </c>
      <c r="H907" s="5062"/>
      <c r="I907" s="5062"/>
      <c r="J907" s="5062"/>
      <c r="K907" s="2956"/>
      <c r="L907" s="2953"/>
      <c r="M907" s="2955"/>
      <c r="N907" s="2955"/>
      <c r="O907" s="2955"/>
      <c r="P907" s="386"/>
      <c r="Q907" s="386"/>
    </row>
    <row r="908" spans="1:17" s="1660" customFormat="1" ht="30" customHeight="1" x14ac:dyDescent="0.2">
      <c r="A908" s="4607"/>
      <c r="B908" s="4814"/>
      <c r="C908" s="4860"/>
      <c r="D908" s="1857">
        <v>100000000</v>
      </c>
      <c r="E908" s="680">
        <v>0.06</v>
      </c>
      <c r="F908" s="1857">
        <f t="shared" si="95"/>
        <v>6000000</v>
      </c>
      <c r="G908" s="2957"/>
      <c r="H908" s="2957"/>
      <c r="I908" s="2967"/>
      <c r="J908" s="2956"/>
      <c r="K908" s="2956"/>
      <c r="L908" s="2880" t="s">
        <v>4373</v>
      </c>
      <c r="M908" s="2884"/>
      <c r="N908" s="2884"/>
      <c r="O908" s="2884"/>
      <c r="P908" s="386"/>
      <c r="Q908" s="386"/>
    </row>
    <row r="909" spans="1:17" s="1660" customFormat="1" ht="30" customHeight="1" x14ac:dyDescent="0.2">
      <c r="A909" s="2883"/>
      <c r="B909" s="2874" t="s">
        <v>4188</v>
      </c>
      <c r="C909" s="2873"/>
      <c r="D909" s="2848">
        <v>120000000</v>
      </c>
      <c r="E909" s="2871">
        <v>0.05</v>
      </c>
      <c r="F909" s="2848">
        <f t="shared" si="95"/>
        <v>6000000</v>
      </c>
      <c r="G909" s="2821">
        <v>6000000</v>
      </c>
      <c r="H909" s="2821" t="s">
        <v>5054</v>
      </c>
      <c r="I909" s="2941" t="s">
        <v>5063</v>
      </c>
      <c r="J909" s="2941">
        <f>G909</f>
        <v>6000000</v>
      </c>
      <c r="K909" s="2941">
        <f>F909-J909</f>
        <v>0</v>
      </c>
      <c r="L909" s="2856" t="s">
        <v>4992</v>
      </c>
      <c r="M909" s="2884"/>
      <c r="N909" s="2884"/>
      <c r="O909" s="2884"/>
      <c r="P909" s="386"/>
      <c r="Q909" s="386"/>
    </row>
    <row r="910" spans="1:17" s="1660" customFormat="1" ht="30" customHeight="1" x14ac:dyDescent="0.2">
      <c r="A910" s="2883"/>
      <c r="B910" s="2874" t="s">
        <v>4198</v>
      </c>
      <c r="C910" s="2873"/>
      <c r="D910" s="2848">
        <v>100000000</v>
      </c>
      <c r="E910" s="2871">
        <v>0.05</v>
      </c>
      <c r="F910" s="2848">
        <f t="shared" si="95"/>
        <v>5000000</v>
      </c>
      <c r="G910" s="2821">
        <v>5000000</v>
      </c>
      <c r="H910" s="2821" t="s">
        <v>1491</v>
      </c>
      <c r="I910" s="2841" t="s">
        <v>4767</v>
      </c>
      <c r="J910" s="2821">
        <f>G910</f>
        <v>5000000</v>
      </c>
      <c r="K910" s="2821">
        <f>F910-J910</f>
        <v>0</v>
      </c>
      <c r="L910" s="2856" t="s">
        <v>4199</v>
      </c>
      <c r="M910" s="2884"/>
      <c r="N910" s="2884"/>
      <c r="O910" s="2884"/>
      <c r="P910" s="386"/>
      <c r="Q910" s="386"/>
    </row>
    <row r="911" spans="1:17" s="1660" customFormat="1" ht="30" customHeight="1" x14ac:dyDescent="0.2">
      <c r="A911" s="4599"/>
      <c r="B911" s="4457" t="s">
        <v>4215</v>
      </c>
      <c r="C911" s="4537"/>
      <c r="D911" s="4413">
        <v>100000000</v>
      </c>
      <c r="E911" s="4476">
        <v>7.0000000000000007E-2</v>
      </c>
      <c r="F911" s="4413">
        <f t="shared" si="95"/>
        <v>7000000.0000000009</v>
      </c>
      <c r="G911" s="2821">
        <v>7000000</v>
      </c>
      <c r="H911" s="2821" t="s">
        <v>4841</v>
      </c>
      <c r="I911" s="2841" t="s">
        <v>4847</v>
      </c>
      <c r="J911" s="2821">
        <f>G911</f>
        <v>7000000</v>
      </c>
      <c r="K911" s="2821">
        <f>F911-J911</f>
        <v>0</v>
      </c>
      <c r="L911" s="2023" t="s">
        <v>4216</v>
      </c>
      <c r="M911" s="2884"/>
      <c r="N911" s="2884"/>
      <c r="O911" s="2884"/>
      <c r="P911" s="386"/>
      <c r="Q911" s="386"/>
    </row>
    <row r="912" spans="1:17" s="1660" customFormat="1" ht="30" customHeight="1" x14ac:dyDescent="0.2">
      <c r="A912" s="4607"/>
      <c r="B912" s="4458"/>
      <c r="C912" s="4538"/>
      <c r="D912" s="4415"/>
      <c r="E912" s="4477"/>
      <c r="F912" s="4415"/>
      <c r="G912" s="3445">
        <v>7000000</v>
      </c>
      <c r="H912" s="3445" t="s">
        <v>5108</v>
      </c>
      <c r="I912" s="3453" t="s">
        <v>4847</v>
      </c>
      <c r="J912" s="3445">
        <f>G912</f>
        <v>7000000</v>
      </c>
      <c r="K912" s="3445">
        <f>F911-J912</f>
        <v>0</v>
      </c>
      <c r="L912" s="2023" t="s">
        <v>4907</v>
      </c>
      <c r="M912" s="3470"/>
      <c r="N912" s="3470"/>
      <c r="O912" s="3470"/>
      <c r="P912" s="386"/>
      <c r="Q912" s="386"/>
    </row>
    <row r="913" spans="1:17" s="1660" customFormat="1" ht="30" customHeight="1" x14ac:dyDescent="0.2">
      <c r="A913" s="2883"/>
      <c r="B913" s="2874" t="s">
        <v>4294</v>
      </c>
      <c r="C913" s="2873"/>
      <c r="D913" s="2848"/>
      <c r="E913" s="2823"/>
      <c r="F913" s="2821"/>
      <c r="G913" s="2821"/>
      <c r="H913" s="2821"/>
      <c r="I913" s="2841"/>
      <c r="J913" s="2821"/>
      <c r="K913" s="2821"/>
      <c r="L913" s="2023" t="s">
        <v>4295</v>
      </c>
      <c r="M913" s="2884"/>
      <c r="N913" s="2884"/>
      <c r="O913" s="2884"/>
      <c r="P913" s="386"/>
      <c r="Q913" s="386"/>
    </row>
    <row r="914" spans="1:17" s="1660" customFormat="1" ht="30" customHeight="1" x14ac:dyDescent="0.2">
      <c r="A914" s="4599"/>
      <c r="B914" s="4457" t="s">
        <v>4297</v>
      </c>
      <c r="C914" s="4537" t="s">
        <v>4298</v>
      </c>
      <c r="D914" s="4413">
        <v>80000000</v>
      </c>
      <c r="E914" s="4476">
        <v>0.05</v>
      </c>
      <c r="F914" s="4413">
        <f>D914*E914</f>
        <v>4000000</v>
      </c>
      <c r="G914" s="2821">
        <v>4000000</v>
      </c>
      <c r="H914" s="2821" t="s">
        <v>4862</v>
      </c>
      <c r="I914" s="2841" t="s">
        <v>1720</v>
      </c>
      <c r="J914" s="2821">
        <f t="shared" ref="J914:J922" si="96">G914</f>
        <v>4000000</v>
      </c>
      <c r="K914" s="2821">
        <f>F914-J914</f>
        <v>0</v>
      </c>
      <c r="L914" s="2023" t="s">
        <v>4672</v>
      </c>
      <c r="M914" s="2884"/>
      <c r="N914" s="2884"/>
      <c r="O914" s="2884"/>
      <c r="P914" s="386"/>
      <c r="Q914" s="386"/>
    </row>
    <row r="915" spans="1:17" s="1660" customFormat="1" ht="30" customHeight="1" x14ac:dyDescent="0.2">
      <c r="A915" s="4607"/>
      <c r="B915" s="4458"/>
      <c r="C915" s="4538"/>
      <c r="D915" s="4415"/>
      <c r="E915" s="4477"/>
      <c r="F915" s="4415"/>
      <c r="G915" s="3445">
        <v>4000000</v>
      </c>
      <c r="H915" s="3445" t="s">
        <v>5108</v>
      </c>
      <c r="I915" s="3453" t="s">
        <v>1720</v>
      </c>
      <c r="J915" s="3445">
        <f t="shared" si="96"/>
        <v>4000000</v>
      </c>
      <c r="K915" s="3445">
        <f>F914-J915</f>
        <v>0</v>
      </c>
      <c r="L915" s="3471" t="s">
        <v>4907</v>
      </c>
      <c r="M915" s="3470"/>
      <c r="N915" s="3470"/>
      <c r="O915" s="3470"/>
      <c r="P915" s="386"/>
      <c r="Q915" s="386"/>
    </row>
    <row r="916" spans="1:17" s="1660" customFormat="1" ht="30" customHeight="1" x14ac:dyDescent="0.2">
      <c r="A916" s="4599"/>
      <c r="B916" s="4457" t="s">
        <v>4334</v>
      </c>
      <c r="C916" s="4537" t="s">
        <v>402</v>
      </c>
      <c r="D916" s="4413">
        <v>200000000</v>
      </c>
      <c r="E916" s="4476">
        <v>0.05</v>
      </c>
      <c r="F916" s="4413">
        <f>D916*E916</f>
        <v>10000000</v>
      </c>
      <c r="G916" s="2989">
        <v>10000000</v>
      </c>
      <c r="H916" s="2989" t="s">
        <v>4877</v>
      </c>
      <c r="I916" s="453" t="s">
        <v>1220</v>
      </c>
      <c r="J916" s="2989">
        <f t="shared" si="96"/>
        <v>10000000</v>
      </c>
      <c r="K916" s="2989">
        <f>F916-J916</f>
        <v>0</v>
      </c>
      <c r="L916" s="2023" t="s">
        <v>4797</v>
      </c>
      <c r="M916" s="2884"/>
      <c r="N916" s="2884"/>
      <c r="O916" s="2884"/>
      <c r="P916" s="386"/>
      <c r="Q916" s="386"/>
    </row>
    <row r="917" spans="1:17" s="1660" customFormat="1" ht="30" customHeight="1" x14ac:dyDescent="0.2">
      <c r="A917" s="4607"/>
      <c r="B917" s="4458"/>
      <c r="C917" s="4538"/>
      <c r="D917" s="4415"/>
      <c r="E917" s="4477"/>
      <c r="F917" s="4415"/>
      <c r="G917" s="2982">
        <v>10000000</v>
      </c>
      <c r="H917" s="2982" t="s">
        <v>4876</v>
      </c>
      <c r="I917" s="2991" t="s">
        <v>4887</v>
      </c>
      <c r="J917" s="2982">
        <f t="shared" si="96"/>
        <v>10000000</v>
      </c>
      <c r="K917" s="2982">
        <f>F916-J917</f>
        <v>0</v>
      </c>
      <c r="L917" s="2023"/>
      <c r="M917" s="3006"/>
      <c r="N917" s="3006"/>
      <c r="O917" s="3006"/>
      <c r="P917" s="386"/>
      <c r="Q917" s="386"/>
    </row>
    <row r="918" spans="1:17" s="1660" customFormat="1" ht="30" customHeight="1" x14ac:dyDescent="0.2">
      <c r="A918" s="2883"/>
      <c r="B918" s="2874" t="s">
        <v>4370</v>
      </c>
      <c r="C918" s="2873"/>
      <c r="D918" s="453"/>
      <c r="E918" s="2839"/>
      <c r="F918" s="598"/>
      <c r="G918" s="2821"/>
      <c r="H918" s="2821"/>
      <c r="I918" s="2841" t="s">
        <v>2986</v>
      </c>
      <c r="J918" s="2821">
        <f t="shared" si="96"/>
        <v>0</v>
      </c>
      <c r="K918" s="2821"/>
      <c r="L918" s="2023"/>
      <c r="M918" s="2884"/>
      <c r="N918" s="2884"/>
      <c r="O918" s="2884"/>
      <c r="P918" s="386"/>
      <c r="Q918" s="386"/>
    </row>
    <row r="919" spans="1:17" s="1660" customFormat="1" ht="30" customHeight="1" x14ac:dyDescent="0.2">
      <c r="A919" s="2883"/>
      <c r="B919" s="2874" t="s">
        <v>4376</v>
      </c>
      <c r="C919" s="2873"/>
      <c r="D919" s="3089">
        <v>100000000</v>
      </c>
      <c r="E919" s="3087">
        <v>0.05</v>
      </c>
      <c r="F919" s="3090">
        <f>D919*E919</f>
        <v>5000000</v>
      </c>
      <c r="G919" s="2821">
        <v>5000000</v>
      </c>
      <c r="H919" s="2821" t="s">
        <v>5011</v>
      </c>
      <c r="I919" s="2841" t="s">
        <v>5016</v>
      </c>
      <c r="J919" s="2821">
        <f t="shared" si="96"/>
        <v>5000000</v>
      </c>
      <c r="K919" s="2821">
        <f>F919-J919</f>
        <v>0</v>
      </c>
      <c r="L919" s="2856" t="s">
        <v>4377</v>
      </c>
      <c r="M919" s="2884"/>
      <c r="N919" s="2884"/>
      <c r="O919" s="2884"/>
      <c r="P919" s="386"/>
      <c r="Q919" s="386"/>
    </row>
    <row r="920" spans="1:17" s="1660" customFormat="1" ht="30" customHeight="1" x14ac:dyDescent="0.2">
      <c r="A920" s="2883"/>
      <c r="B920" s="2874" t="s">
        <v>4378</v>
      </c>
      <c r="C920" s="2873" t="s">
        <v>1718</v>
      </c>
      <c r="D920" s="2841">
        <v>70000000</v>
      </c>
      <c r="E920" s="2823">
        <v>7.0000000000000007E-2</v>
      </c>
      <c r="F920" s="2842">
        <f>D920*E920</f>
        <v>4900000.0000000009</v>
      </c>
      <c r="G920" s="2821">
        <v>4900000</v>
      </c>
      <c r="H920" s="2821" t="s">
        <v>4922</v>
      </c>
      <c r="I920" s="2841" t="s">
        <v>4930</v>
      </c>
      <c r="J920" s="2821">
        <f t="shared" si="96"/>
        <v>4900000</v>
      </c>
      <c r="K920" s="2821">
        <f>F920-J920</f>
        <v>0</v>
      </c>
      <c r="L920" s="2023" t="s">
        <v>4994</v>
      </c>
      <c r="M920" s="2884"/>
      <c r="N920" s="2884"/>
      <c r="O920" s="2884"/>
      <c r="P920" s="386"/>
      <c r="Q920" s="386"/>
    </row>
    <row r="921" spans="1:17" s="1660" customFormat="1" ht="30" customHeight="1" x14ac:dyDescent="0.2">
      <c r="A921" s="2883"/>
      <c r="B921" s="2874" t="s">
        <v>4395</v>
      </c>
      <c r="C921" s="2873"/>
      <c r="D921" s="2841">
        <v>350000000</v>
      </c>
      <c r="E921" s="2823">
        <v>7.0000000000000007E-2</v>
      </c>
      <c r="F921" s="2842">
        <f>D921*E921</f>
        <v>24500000.000000004</v>
      </c>
      <c r="G921" s="2821">
        <v>24500000</v>
      </c>
      <c r="H921" s="2821" t="s">
        <v>4893</v>
      </c>
      <c r="I921" s="2841" t="s">
        <v>4902</v>
      </c>
      <c r="J921" s="2821">
        <f t="shared" si="96"/>
        <v>24500000</v>
      </c>
      <c r="K921" s="2821">
        <f>F921-J921</f>
        <v>0</v>
      </c>
      <c r="L921" s="2023" t="s">
        <v>4396</v>
      </c>
      <c r="M921" s="2884"/>
      <c r="N921" s="2884"/>
      <c r="O921" s="2884"/>
      <c r="P921" s="386"/>
      <c r="Q921" s="386"/>
    </row>
    <row r="922" spans="1:17" s="1660" customFormat="1" ht="30" customHeight="1" x14ac:dyDescent="0.2">
      <c r="A922" s="2883"/>
      <c r="B922" s="2874" t="s">
        <v>4399</v>
      </c>
      <c r="C922" s="2873"/>
      <c r="D922" s="2841">
        <v>50000000</v>
      </c>
      <c r="E922" s="2823">
        <v>0.05</v>
      </c>
      <c r="F922" s="2842">
        <f t="shared" ref="F922:F930" si="97">D922*E922</f>
        <v>2500000</v>
      </c>
      <c r="G922" s="2821">
        <v>2500000</v>
      </c>
      <c r="H922" s="2821" t="s">
        <v>4941</v>
      </c>
      <c r="I922" s="2841" t="s">
        <v>5002</v>
      </c>
      <c r="J922" s="2821">
        <f t="shared" si="96"/>
        <v>2500000</v>
      </c>
      <c r="K922" s="2821"/>
      <c r="L922" s="2023" t="s">
        <v>4400</v>
      </c>
      <c r="M922" s="2884"/>
      <c r="N922" s="2884"/>
      <c r="O922" s="2884"/>
      <c r="P922" s="386"/>
      <c r="Q922" s="386"/>
    </row>
    <row r="923" spans="1:17" s="1660" customFormat="1" ht="30" customHeight="1" x14ac:dyDescent="0.2">
      <c r="A923" s="2883"/>
      <c r="B923" s="2874" t="s">
        <v>5015</v>
      </c>
      <c r="C923" s="2873"/>
      <c r="D923" s="2841">
        <v>100000000</v>
      </c>
      <c r="E923" s="2823">
        <v>0.05</v>
      </c>
      <c r="F923" s="2842">
        <f t="shared" si="97"/>
        <v>5000000</v>
      </c>
      <c r="G923" s="2821">
        <v>5000000</v>
      </c>
      <c r="H923" s="2821" t="s">
        <v>5011</v>
      </c>
      <c r="I923" s="2841" t="s">
        <v>5014</v>
      </c>
      <c r="J923" s="2821">
        <f t="shared" ref="J923:J931" si="98">G923</f>
        <v>5000000</v>
      </c>
      <c r="K923" s="2821">
        <f>F923-J923</f>
        <v>0</v>
      </c>
      <c r="L923" s="2023"/>
      <c r="M923" s="2884"/>
      <c r="N923" s="2884"/>
      <c r="O923" s="2884"/>
      <c r="P923" s="386"/>
      <c r="Q923" s="386"/>
    </row>
    <row r="924" spans="1:17" s="1660" customFormat="1" ht="30" customHeight="1" x14ac:dyDescent="0.2">
      <c r="A924" s="2883"/>
      <c r="B924" s="2874" t="s">
        <v>4412</v>
      </c>
      <c r="C924" s="2873"/>
      <c r="D924" s="2841">
        <v>50000000</v>
      </c>
      <c r="E924" s="2823">
        <v>0.05</v>
      </c>
      <c r="F924" s="2842">
        <f t="shared" si="97"/>
        <v>2500000</v>
      </c>
      <c r="G924" s="2821">
        <v>2500000</v>
      </c>
      <c r="H924" s="2821" t="s">
        <v>4938</v>
      </c>
      <c r="I924" s="2841" t="s">
        <v>4413</v>
      </c>
      <c r="J924" s="2821">
        <f t="shared" si="98"/>
        <v>2500000</v>
      </c>
      <c r="K924" s="2821">
        <f>F924-J924</f>
        <v>0</v>
      </c>
      <c r="L924" s="2023"/>
      <c r="M924" s="2884"/>
      <c r="N924" s="2884"/>
      <c r="O924" s="2884"/>
      <c r="P924" s="386"/>
      <c r="Q924" s="386"/>
    </row>
    <row r="925" spans="1:17" s="1660" customFormat="1" ht="30" customHeight="1" x14ac:dyDescent="0.2">
      <c r="A925" s="2883"/>
      <c r="B925" s="3039" t="s">
        <v>4415</v>
      </c>
      <c r="C925" s="3040"/>
      <c r="D925" s="2300">
        <v>20000000</v>
      </c>
      <c r="E925" s="3041">
        <v>0.05</v>
      </c>
      <c r="F925" s="3042">
        <f t="shared" si="97"/>
        <v>1000000</v>
      </c>
      <c r="G925" s="439">
        <v>19000000</v>
      </c>
      <c r="H925" s="439" t="s">
        <v>4938</v>
      </c>
      <c r="I925" s="2300" t="s">
        <v>808</v>
      </c>
      <c r="J925" s="439">
        <f t="shared" si="98"/>
        <v>19000000</v>
      </c>
      <c r="K925" s="439">
        <f>F925-J925</f>
        <v>-18000000</v>
      </c>
      <c r="L925" s="3043" t="s">
        <v>1326</v>
      </c>
      <c r="M925" s="2884"/>
      <c r="N925" s="2884"/>
      <c r="O925" s="2884"/>
      <c r="P925" s="386"/>
      <c r="Q925" s="386"/>
    </row>
    <row r="926" spans="1:17" s="1660" customFormat="1" ht="30" customHeight="1" x14ac:dyDescent="0.2">
      <c r="A926" s="3096"/>
      <c r="B926" s="3094" t="s">
        <v>5007</v>
      </c>
      <c r="C926" s="3095" t="s">
        <v>262</v>
      </c>
      <c r="D926" s="3089">
        <v>20000000</v>
      </c>
      <c r="E926" s="3087"/>
      <c r="F926" s="3090"/>
      <c r="G926" s="3086"/>
      <c r="H926" s="3086"/>
      <c r="I926" s="3089"/>
      <c r="J926" s="3086"/>
      <c r="K926" s="3086"/>
      <c r="L926" s="2023" t="s">
        <v>5038</v>
      </c>
      <c r="M926" s="3097"/>
      <c r="N926" s="3097"/>
      <c r="O926" s="3097"/>
      <c r="P926" s="386"/>
      <c r="Q926" s="386"/>
    </row>
    <row r="927" spans="1:17" s="1660" customFormat="1" ht="30" customHeight="1" x14ac:dyDescent="0.2">
      <c r="A927" s="2883"/>
      <c r="B927" s="2874" t="s">
        <v>4434</v>
      </c>
      <c r="C927" s="2873" t="s">
        <v>2644</v>
      </c>
      <c r="D927" s="2841">
        <v>300000000</v>
      </c>
      <c r="E927" s="2823">
        <v>0.05</v>
      </c>
      <c r="F927" s="2842">
        <f t="shared" si="97"/>
        <v>15000000</v>
      </c>
      <c r="G927" s="2821">
        <v>15000000</v>
      </c>
      <c r="H927" s="2821" t="s">
        <v>4862</v>
      </c>
      <c r="I927" s="2841" t="s">
        <v>1063</v>
      </c>
      <c r="J927" s="2821">
        <f t="shared" si="98"/>
        <v>15000000</v>
      </c>
      <c r="K927" s="2821">
        <f t="shared" ref="K927:K934" si="99">F927-J927</f>
        <v>0</v>
      </c>
      <c r="L927" s="2023" t="s">
        <v>4437</v>
      </c>
      <c r="M927" s="2884"/>
      <c r="N927" s="2884"/>
      <c r="O927" s="2884"/>
      <c r="P927" s="386"/>
      <c r="Q927" s="386"/>
    </row>
    <row r="928" spans="1:17" s="1660" customFormat="1" ht="30" customHeight="1" x14ac:dyDescent="0.2">
      <c r="A928" s="2883"/>
      <c r="B928" s="2874" t="s">
        <v>4435</v>
      </c>
      <c r="C928" s="2873" t="s">
        <v>371</v>
      </c>
      <c r="D928" s="2841">
        <v>200000000</v>
      </c>
      <c r="E928" s="2823">
        <v>0.05</v>
      </c>
      <c r="F928" s="2842">
        <f t="shared" si="97"/>
        <v>10000000</v>
      </c>
      <c r="G928" s="2821">
        <v>10000000</v>
      </c>
      <c r="H928" s="2821" t="s">
        <v>5085</v>
      </c>
      <c r="I928" s="2841" t="s">
        <v>4169</v>
      </c>
      <c r="J928" s="2821">
        <f t="shared" si="98"/>
        <v>10000000</v>
      </c>
      <c r="K928" s="2821">
        <f t="shared" si="99"/>
        <v>0</v>
      </c>
      <c r="L928" s="2023" t="s">
        <v>4436</v>
      </c>
      <c r="M928" s="2884"/>
      <c r="N928" s="2884"/>
      <c r="O928" s="2884"/>
      <c r="P928" s="386"/>
      <c r="Q928" s="386"/>
    </row>
    <row r="929" spans="1:17" s="1660" customFormat="1" ht="30" customHeight="1" x14ac:dyDescent="0.2">
      <c r="A929" s="2883"/>
      <c r="B929" s="2874" t="s">
        <v>4456</v>
      </c>
      <c r="C929" s="2873" t="s">
        <v>262</v>
      </c>
      <c r="D929" s="2841">
        <v>120000000</v>
      </c>
      <c r="E929" s="2823">
        <v>5.5E-2</v>
      </c>
      <c r="F929" s="2842">
        <f t="shared" si="97"/>
        <v>6600000</v>
      </c>
      <c r="G929" s="2821">
        <v>6600000</v>
      </c>
      <c r="H929" s="2821" t="s">
        <v>5085</v>
      </c>
      <c r="I929" s="2841" t="s">
        <v>4457</v>
      </c>
      <c r="J929" s="2821">
        <f t="shared" si="98"/>
        <v>6600000</v>
      </c>
      <c r="K929" s="2821">
        <f t="shared" si="99"/>
        <v>0</v>
      </c>
      <c r="L929" s="2023" t="s">
        <v>4458</v>
      </c>
      <c r="M929" s="2884"/>
      <c r="N929" s="2884"/>
      <c r="O929" s="2884"/>
      <c r="P929" s="386"/>
      <c r="Q929" s="386"/>
    </row>
    <row r="930" spans="1:17" s="1660" customFormat="1" ht="30" customHeight="1" x14ac:dyDescent="0.2">
      <c r="A930" s="2883"/>
      <c r="B930" s="2874" t="s">
        <v>4470</v>
      </c>
      <c r="C930" s="2873" t="s">
        <v>1300</v>
      </c>
      <c r="D930" s="2841">
        <v>75000000</v>
      </c>
      <c r="E930" s="2823">
        <v>0.05</v>
      </c>
      <c r="F930" s="2842">
        <f t="shared" si="97"/>
        <v>3750000</v>
      </c>
      <c r="G930" s="2821">
        <v>3750000</v>
      </c>
      <c r="H930" s="2821" t="s">
        <v>5017</v>
      </c>
      <c r="I930" s="2841" t="s">
        <v>5097</v>
      </c>
      <c r="J930" s="2821">
        <f t="shared" si="98"/>
        <v>3750000</v>
      </c>
      <c r="K930" s="2821">
        <f t="shared" si="99"/>
        <v>0</v>
      </c>
      <c r="L930" s="2023" t="s">
        <v>4471</v>
      </c>
      <c r="M930" s="2884"/>
      <c r="N930" s="2884"/>
      <c r="O930" s="2884"/>
      <c r="P930" s="386"/>
      <c r="Q930" s="386"/>
    </row>
    <row r="931" spans="1:17" s="1660" customFormat="1" ht="30" customHeight="1" x14ac:dyDescent="0.2">
      <c r="A931" s="4599"/>
      <c r="B931" s="4457" t="s">
        <v>4498</v>
      </c>
      <c r="C931" s="4537" t="s">
        <v>1287</v>
      </c>
      <c r="D931" s="2841">
        <v>100000000</v>
      </c>
      <c r="E931" s="2823">
        <v>0.06</v>
      </c>
      <c r="F931" s="2842">
        <f>D931*E931</f>
        <v>6000000</v>
      </c>
      <c r="G931" s="2821">
        <v>6000000</v>
      </c>
      <c r="H931" s="2821" t="s">
        <v>5045</v>
      </c>
      <c r="I931" s="2841" t="s">
        <v>5135</v>
      </c>
      <c r="J931" s="2821">
        <f t="shared" si="98"/>
        <v>6000000</v>
      </c>
      <c r="K931" s="2821">
        <f t="shared" si="99"/>
        <v>0</v>
      </c>
      <c r="L931" s="2023"/>
      <c r="M931" s="2884"/>
      <c r="N931" s="2884"/>
      <c r="O931" s="2884"/>
      <c r="P931" s="386"/>
      <c r="Q931" s="386"/>
    </row>
    <row r="932" spans="1:17" s="1660" customFormat="1" ht="30" customHeight="1" x14ac:dyDescent="0.2">
      <c r="A932" s="4600"/>
      <c r="B932" s="4488"/>
      <c r="C932" s="4540"/>
      <c r="D932" s="3453">
        <v>130000000</v>
      </c>
      <c r="E932" s="3447">
        <v>0.06</v>
      </c>
      <c r="F932" s="3454">
        <f>D932*E932</f>
        <v>7800000</v>
      </c>
      <c r="G932" s="3445"/>
      <c r="H932" s="3445"/>
      <c r="I932" s="3453"/>
      <c r="J932" s="3445"/>
      <c r="K932" s="3445"/>
      <c r="L932" s="2023" t="s">
        <v>5310</v>
      </c>
      <c r="M932" s="3470"/>
      <c r="N932" s="3470"/>
      <c r="O932" s="3470"/>
      <c r="P932" s="386"/>
      <c r="Q932" s="386"/>
    </row>
    <row r="933" spans="1:17" s="1660" customFormat="1" ht="30" customHeight="1" x14ac:dyDescent="0.2">
      <c r="A933" s="4607"/>
      <c r="B933" s="4458"/>
      <c r="C933" s="4538"/>
      <c r="D933" s="3472">
        <f>D931+D932</f>
        <v>230000000</v>
      </c>
      <c r="E933" s="3449"/>
      <c r="F933" s="3473"/>
      <c r="G933" s="3445"/>
      <c r="H933" s="3445"/>
      <c r="I933" s="3453"/>
      <c r="J933" s="3445"/>
      <c r="K933" s="3445"/>
      <c r="L933" s="2023"/>
      <c r="M933" s="3470"/>
      <c r="N933" s="3470"/>
      <c r="O933" s="3470"/>
      <c r="P933" s="386"/>
      <c r="Q933" s="386"/>
    </row>
    <row r="934" spans="1:17" s="1660" customFormat="1" ht="30" customHeight="1" x14ac:dyDescent="0.2">
      <c r="A934" s="4599"/>
      <c r="B934" s="4457" t="s">
        <v>4496</v>
      </c>
      <c r="C934" s="4537" t="s">
        <v>1287</v>
      </c>
      <c r="D934" s="2848">
        <v>150000000</v>
      </c>
      <c r="E934" s="2823">
        <v>0.06</v>
      </c>
      <c r="F934" s="2821">
        <f>D934*E934</f>
        <v>9000000</v>
      </c>
      <c r="G934" s="2821">
        <v>9000000</v>
      </c>
      <c r="H934" s="2821" t="s">
        <v>5045</v>
      </c>
      <c r="I934" s="2841" t="s">
        <v>2078</v>
      </c>
      <c r="J934" s="2821">
        <f>G934</f>
        <v>9000000</v>
      </c>
      <c r="K934" s="2821">
        <f t="shared" si="99"/>
        <v>0</v>
      </c>
      <c r="L934" s="2863" t="s">
        <v>4497</v>
      </c>
      <c r="M934" s="2884"/>
      <c r="N934" s="2884"/>
      <c r="O934" s="2884"/>
      <c r="P934" s="386"/>
      <c r="Q934" s="386"/>
    </row>
    <row r="935" spans="1:17" s="1660" customFormat="1" ht="30" customHeight="1" x14ac:dyDescent="0.2">
      <c r="A935" s="4600"/>
      <c r="B935" s="4488"/>
      <c r="C935" s="4540"/>
      <c r="D935" s="3456">
        <v>130000000</v>
      </c>
      <c r="E935" s="3447">
        <v>0.06</v>
      </c>
      <c r="F935" s="3445">
        <f>D935*E935</f>
        <v>7800000</v>
      </c>
      <c r="G935" s="4303" t="s">
        <v>5312</v>
      </c>
      <c r="H935" s="4324"/>
      <c r="I935" s="4324"/>
      <c r="J935" s="4355"/>
      <c r="K935" s="3445"/>
      <c r="L935" s="2023" t="s">
        <v>5311</v>
      </c>
      <c r="M935" s="3470"/>
      <c r="N935" s="3470"/>
      <c r="O935" s="3470"/>
      <c r="P935" s="386"/>
      <c r="Q935" s="386"/>
    </row>
    <row r="936" spans="1:17" s="1660" customFormat="1" ht="30" customHeight="1" x14ac:dyDescent="0.2">
      <c r="A936" s="4607"/>
      <c r="B936" s="4458"/>
      <c r="C936" s="4538"/>
      <c r="D936" s="3442">
        <f>D934+D935</f>
        <v>280000000</v>
      </c>
      <c r="E936" s="3449"/>
      <c r="F936" s="3448"/>
      <c r="G936" s="3445"/>
      <c r="H936" s="3445"/>
      <c r="I936" s="3453"/>
      <c r="J936" s="3445"/>
      <c r="K936" s="3445"/>
      <c r="L936" s="3461"/>
      <c r="M936" s="3470"/>
      <c r="N936" s="3470"/>
      <c r="O936" s="3470"/>
      <c r="P936" s="386"/>
      <c r="Q936" s="386"/>
    </row>
    <row r="937" spans="1:17" s="1660" customFormat="1" ht="30" customHeight="1" x14ac:dyDescent="0.2">
      <c r="A937" s="4599"/>
      <c r="B937" s="4457" t="s">
        <v>4515</v>
      </c>
      <c r="C937" s="2873"/>
      <c r="D937" s="2848">
        <v>20000000</v>
      </c>
      <c r="E937" s="2823">
        <f>F937/D937</f>
        <v>0.06</v>
      </c>
      <c r="F937" s="2821">
        <v>1200000</v>
      </c>
      <c r="G937" s="2821"/>
      <c r="H937" s="2821"/>
      <c r="I937" s="2841" t="s">
        <v>4528</v>
      </c>
      <c r="J937" s="2821">
        <f>G937</f>
        <v>0</v>
      </c>
      <c r="K937" s="2821"/>
      <c r="L937" s="2863" t="s">
        <v>4527</v>
      </c>
      <c r="M937" s="2884"/>
      <c r="N937" s="2884"/>
      <c r="O937" s="2884"/>
      <c r="P937" s="386"/>
      <c r="Q937" s="386"/>
    </row>
    <row r="938" spans="1:17" s="1660" customFormat="1" ht="30" customHeight="1" x14ac:dyDescent="0.2">
      <c r="A938" s="4607"/>
      <c r="B938" s="4458"/>
      <c r="C938" s="2873" t="s">
        <v>1138</v>
      </c>
      <c r="D938" s="2848">
        <v>130000000</v>
      </c>
      <c r="E938" s="2823">
        <v>7.0000000000000007E-2</v>
      </c>
      <c r="F938" s="2821">
        <v>9000000</v>
      </c>
      <c r="G938" s="2821"/>
      <c r="H938" s="2821"/>
      <c r="I938" s="2841"/>
      <c r="J938" s="2821"/>
      <c r="K938" s="2821"/>
      <c r="L938" s="2863" t="s">
        <v>4516</v>
      </c>
      <c r="M938" s="2884"/>
      <c r="N938" s="2884"/>
      <c r="O938" s="2884"/>
      <c r="P938" s="386"/>
      <c r="Q938" s="386"/>
    </row>
    <row r="939" spans="1:17" s="1660" customFormat="1" ht="30" customHeight="1" x14ac:dyDescent="0.2">
      <c r="A939" s="4599"/>
      <c r="B939" s="4457" t="s">
        <v>3186</v>
      </c>
      <c r="C939" s="4537" t="s">
        <v>889</v>
      </c>
      <c r="D939" s="4413">
        <v>150000000</v>
      </c>
      <c r="E939" s="4476">
        <v>0.06</v>
      </c>
      <c r="F939" s="4413">
        <f>D939*E939</f>
        <v>9000000</v>
      </c>
      <c r="G939" s="4413"/>
      <c r="H939" s="4413"/>
      <c r="I939" s="4413" t="s">
        <v>4784</v>
      </c>
      <c r="J939" s="4413">
        <f>G939</f>
        <v>0</v>
      </c>
      <c r="K939" s="4413">
        <f>G939-J939</f>
        <v>0</v>
      </c>
      <c r="L939" s="2951" t="s">
        <v>4684</v>
      </c>
      <c r="M939" s="2884"/>
      <c r="N939" s="2884"/>
      <c r="O939" s="2884"/>
      <c r="P939" s="386"/>
      <c r="Q939" s="386"/>
    </row>
    <row r="940" spans="1:17" s="1660" customFormat="1" ht="30" customHeight="1" x14ac:dyDescent="0.2">
      <c r="A940" s="4607"/>
      <c r="B940" s="4458"/>
      <c r="C940" s="4538"/>
      <c r="D940" s="4415"/>
      <c r="E940" s="4477"/>
      <c r="F940" s="4415"/>
      <c r="G940" s="4415"/>
      <c r="H940" s="4415"/>
      <c r="I940" s="4415"/>
      <c r="J940" s="4415"/>
      <c r="K940" s="4415"/>
      <c r="L940" s="2951" t="s">
        <v>4683</v>
      </c>
      <c r="M940" s="2884"/>
      <c r="N940" s="2884"/>
      <c r="O940" s="2884"/>
      <c r="P940" s="386"/>
      <c r="Q940" s="386"/>
    </row>
    <row r="941" spans="1:17" s="1660" customFormat="1" ht="30" customHeight="1" x14ac:dyDescent="0.2">
      <c r="A941" s="2883"/>
      <c r="B941" s="2874" t="s">
        <v>4529</v>
      </c>
      <c r="C941" s="2873"/>
      <c r="D941" s="2848">
        <v>100000000</v>
      </c>
      <c r="E941" s="2823">
        <v>0.05</v>
      </c>
      <c r="F941" s="2821">
        <v>5000000</v>
      </c>
      <c r="G941" s="2821">
        <v>5000000</v>
      </c>
      <c r="H941" s="2821" t="s">
        <v>5156</v>
      </c>
      <c r="I941" s="2841" t="s">
        <v>5175</v>
      </c>
      <c r="J941" s="2821">
        <f>F941</f>
        <v>5000000</v>
      </c>
      <c r="K941" s="2821">
        <f>F941-J941</f>
        <v>0</v>
      </c>
      <c r="L941" s="2863" t="s">
        <v>4530</v>
      </c>
      <c r="M941" s="2884"/>
      <c r="N941" s="2884"/>
      <c r="O941" s="2884"/>
      <c r="P941" s="386"/>
      <c r="Q941" s="386"/>
    </row>
    <row r="942" spans="1:17" s="1660" customFormat="1" ht="30" customHeight="1" x14ac:dyDescent="0.2">
      <c r="A942" s="3237"/>
      <c r="B942" s="3231" t="s">
        <v>5137</v>
      </c>
      <c r="C942" s="3232"/>
      <c r="D942" s="3227">
        <v>10000000</v>
      </c>
      <c r="E942" s="3224"/>
      <c r="F942" s="3222"/>
      <c r="G942" s="3222"/>
      <c r="H942" s="3222"/>
      <c r="I942" s="3226"/>
      <c r="J942" s="3222"/>
      <c r="K942" s="3222"/>
      <c r="L942" s="3236" t="s">
        <v>5138</v>
      </c>
      <c r="M942" s="3239"/>
      <c r="N942" s="3239"/>
      <c r="O942" s="3239"/>
      <c r="P942" s="386"/>
      <c r="Q942" s="386"/>
    </row>
    <row r="943" spans="1:17" s="1660" customFormat="1" ht="30" customHeight="1" x14ac:dyDescent="0.2">
      <c r="A943" s="2883"/>
      <c r="B943" s="2874" t="s">
        <v>4539</v>
      </c>
      <c r="C943" s="2873"/>
      <c r="D943" s="2848">
        <v>100000000</v>
      </c>
      <c r="E943" s="2823">
        <v>0.05</v>
      </c>
      <c r="F943" s="2821">
        <f>D943*E943</f>
        <v>5000000</v>
      </c>
      <c r="G943" s="2821">
        <v>5000000</v>
      </c>
      <c r="H943" s="2821" t="s">
        <v>5214</v>
      </c>
      <c r="I943" s="2841" t="s">
        <v>5215</v>
      </c>
      <c r="J943" s="2821">
        <f>G943</f>
        <v>5000000</v>
      </c>
      <c r="K943" s="2821">
        <f>F943-J943</f>
        <v>0</v>
      </c>
      <c r="L943" s="2863" t="s">
        <v>4540</v>
      </c>
      <c r="M943" s="2884"/>
      <c r="N943" s="2884"/>
      <c r="O943" s="2884"/>
      <c r="P943" s="386"/>
      <c r="Q943" s="386"/>
    </row>
    <row r="944" spans="1:17" s="1660" customFormat="1" ht="30" customHeight="1" x14ac:dyDescent="0.2">
      <c r="A944" s="2883"/>
      <c r="B944" s="2874" t="s">
        <v>105</v>
      </c>
      <c r="C944" s="2873"/>
      <c r="D944" s="3409">
        <v>200000000</v>
      </c>
      <c r="E944" s="3400">
        <v>7.0000000000000007E-2</v>
      </c>
      <c r="F944" s="3396">
        <f>D944*E944</f>
        <v>14000000.000000002</v>
      </c>
      <c r="G944" s="2821">
        <v>14000000</v>
      </c>
      <c r="H944" s="2821" t="s">
        <v>5229</v>
      </c>
      <c r="I944" s="2841" t="s">
        <v>2794</v>
      </c>
      <c r="J944" s="2821">
        <f>G944</f>
        <v>14000000</v>
      </c>
      <c r="K944" s="2821">
        <f>F944-J944</f>
        <v>0</v>
      </c>
      <c r="L944" s="2863"/>
      <c r="M944" s="2884"/>
      <c r="N944" s="2884"/>
      <c r="O944" s="2884"/>
      <c r="P944" s="386"/>
      <c r="Q944" s="386"/>
    </row>
    <row r="945" spans="1:17" s="1660" customFormat="1" ht="30" customHeight="1" x14ac:dyDescent="0.2">
      <c r="A945" s="4599"/>
      <c r="B945" s="4457" t="s">
        <v>4552</v>
      </c>
      <c r="C945" s="4537" t="s">
        <v>1299</v>
      </c>
      <c r="D945" s="4413">
        <v>120000000</v>
      </c>
      <c r="E945" s="4476">
        <v>7.0000000000000007E-2</v>
      </c>
      <c r="F945" s="4413">
        <f>D945*E945</f>
        <v>8400000</v>
      </c>
      <c r="G945" s="3297">
        <v>3360000</v>
      </c>
      <c r="H945" s="2821" t="s">
        <v>5176</v>
      </c>
      <c r="I945" s="2841" t="s">
        <v>5180</v>
      </c>
      <c r="J945" s="4413">
        <f>G945+G946</f>
        <v>11760000</v>
      </c>
      <c r="K945" s="4413"/>
      <c r="L945" s="2863" t="s">
        <v>4553</v>
      </c>
      <c r="M945" s="2884"/>
      <c r="N945" s="2884"/>
      <c r="O945" s="2884"/>
      <c r="P945" s="386"/>
      <c r="Q945" s="386"/>
    </row>
    <row r="946" spans="1:17" s="1660" customFormat="1" ht="30" customHeight="1" x14ac:dyDescent="0.2">
      <c r="A946" s="4607"/>
      <c r="B946" s="4458"/>
      <c r="C946" s="4538"/>
      <c r="D946" s="4415"/>
      <c r="E946" s="4477"/>
      <c r="F946" s="4415"/>
      <c r="G946" s="3297">
        <v>8400000</v>
      </c>
      <c r="H946" s="3222" t="s">
        <v>5176</v>
      </c>
      <c r="I946" s="3226" t="s">
        <v>5180</v>
      </c>
      <c r="J946" s="4415"/>
      <c r="K946" s="4415"/>
      <c r="L946" s="3236" t="s">
        <v>5150</v>
      </c>
      <c r="M946" s="3239"/>
      <c r="N946" s="3239"/>
      <c r="O946" s="3239"/>
      <c r="P946" s="386"/>
      <c r="Q946" s="386"/>
    </row>
    <row r="947" spans="1:17" s="1660" customFormat="1" ht="30" customHeight="1" x14ac:dyDescent="0.2">
      <c r="A947" s="2883"/>
      <c r="B947" s="2874" t="s">
        <v>4579</v>
      </c>
      <c r="C947" s="2873" t="s">
        <v>371</v>
      </c>
      <c r="D947" s="2848">
        <v>50000000</v>
      </c>
      <c r="E947" s="2823">
        <v>0.05</v>
      </c>
      <c r="F947" s="2821">
        <f>D947*E947</f>
        <v>2500000</v>
      </c>
      <c r="G947" s="2821">
        <v>2500000</v>
      </c>
      <c r="H947" s="2821" t="s">
        <v>5017</v>
      </c>
      <c r="I947" s="2841" t="s">
        <v>4580</v>
      </c>
      <c r="J947" s="2821">
        <f>G947</f>
        <v>2500000</v>
      </c>
      <c r="K947" s="2821">
        <f>F947-G947</f>
        <v>0</v>
      </c>
      <c r="L947" s="2863" t="s">
        <v>5096</v>
      </c>
      <c r="M947" s="2884"/>
      <c r="N947" s="2884"/>
      <c r="O947" s="2884"/>
      <c r="P947" s="386"/>
      <c r="Q947" s="386"/>
    </row>
    <row r="948" spans="1:17" s="1660" customFormat="1" ht="30" customHeight="1" x14ac:dyDescent="0.2">
      <c r="A948" s="2883"/>
      <c r="B948" s="2874" t="s">
        <v>4659</v>
      </c>
      <c r="C948" s="2873" t="s">
        <v>990</v>
      </c>
      <c r="D948" s="2848">
        <v>10000000</v>
      </c>
      <c r="E948" s="2871">
        <v>0.05</v>
      </c>
      <c r="F948" s="2848">
        <f>D948*E948</f>
        <v>500000</v>
      </c>
      <c r="G948" s="2848"/>
      <c r="H948" s="2848"/>
      <c r="I948" s="2848"/>
      <c r="J948" s="2848"/>
      <c r="K948" s="2821"/>
      <c r="L948" s="2023" t="s">
        <v>4660</v>
      </c>
      <c r="M948" s="2884"/>
      <c r="N948" s="2884"/>
      <c r="O948" s="2884"/>
      <c r="P948" s="386"/>
      <c r="Q948" s="386"/>
    </row>
    <row r="949" spans="1:17" s="1660" customFormat="1" ht="30" customHeight="1" x14ac:dyDescent="0.2">
      <c r="A949" s="2883"/>
      <c r="B949" s="2874" t="s">
        <v>4669</v>
      </c>
      <c r="C949" s="2873" t="s">
        <v>1796</v>
      </c>
      <c r="D949" s="2848">
        <v>100000000</v>
      </c>
      <c r="E949" s="2823">
        <v>7.0000000000000007E-2</v>
      </c>
      <c r="F949" s="2821">
        <f>D949*E949</f>
        <v>7000000.0000000009</v>
      </c>
      <c r="G949" s="2821">
        <v>7000000</v>
      </c>
      <c r="H949" s="2821" t="s">
        <v>4862</v>
      </c>
      <c r="I949" s="2841" t="s">
        <v>4789</v>
      </c>
      <c r="J949" s="2821">
        <f>G949</f>
        <v>7000000</v>
      </c>
      <c r="K949" s="2821">
        <f>F949-J949</f>
        <v>0</v>
      </c>
      <c r="L949" s="2863"/>
      <c r="M949" s="2884"/>
      <c r="N949" s="2884"/>
      <c r="O949" s="2884"/>
      <c r="P949" s="386"/>
      <c r="Q949" s="386"/>
    </row>
    <row r="950" spans="1:17" s="1660" customFormat="1" ht="30" customHeight="1" x14ac:dyDescent="0.2">
      <c r="A950" s="2883"/>
      <c r="B950" s="2874" t="s">
        <v>4670</v>
      </c>
      <c r="C950" s="2873"/>
      <c r="D950" s="2848">
        <v>100000000</v>
      </c>
      <c r="E950" s="2823">
        <v>7.0000000000000007E-2</v>
      </c>
      <c r="F950" s="2821">
        <f t="shared" ref="F950:F953" si="100">D950*E950</f>
        <v>7000000.0000000009</v>
      </c>
      <c r="G950" s="2821">
        <v>7000000</v>
      </c>
      <c r="H950" s="2821" t="s">
        <v>4862</v>
      </c>
      <c r="I950" s="2841" t="s">
        <v>4863</v>
      </c>
      <c r="J950" s="2821">
        <f>G950</f>
        <v>7000000</v>
      </c>
      <c r="K950" s="2821">
        <f>F950-J950</f>
        <v>0</v>
      </c>
      <c r="L950" s="2863"/>
      <c r="M950" s="2884"/>
      <c r="N950" s="2884"/>
      <c r="O950" s="2884"/>
      <c r="P950" s="386"/>
      <c r="Q950" s="386"/>
    </row>
    <row r="951" spans="1:17" s="1660" customFormat="1" ht="30" customHeight="1" x14ac:dyDescent="0.2">
      <c r="A951" s="2883"/>
      <c r="B951" s="2874" t="s">
        <v>4671</v>
      </c>
      <c r="C951" s="2873"/>
      <c r="D951" s="2848">
        <v>35000000</v>
      </c>
      <c r="E951" s="2823">
        <v>7.0000000000000007E-2</v>
      </c>
      <c r="F951" s="2821">
        <f t="shared" si="100"/>
        <v>2450000.0000000005</v>
      </c>
      <c r="G951" s="2821">
        <v>2450000</v>
      </c>
      <c r="H951" s="2821" t="s">
        <v>4862</v>
      </c>
      <c r="I951" s="2841" t="s">
        <v>4864</v>
      </c>
      <c r="J951" s="2821">
        <f>G951</f>
        <v>2450000</v>
      </c>
      <c r="K951" s="2821">
        <f>F951-J951</f>
        <v>0</v>
      </c>
      <c r="L951" s="2863"/>
      <c r="M951" s="2884"/>
      <c r="N951" s="2884"/>
      <c r="O951" s="2884"/>
      <c r="P951" s="386"/>
      <c r="Q951" s="386"/>
    </row>
    <row r="952" spans="1:17" s="1660" customFormat="1" ht="30" customHeight="1" x14ac:dyDescent="0.2">
      <c r="A952" s="2883"/>
      <c r="B952" s="2874" t="s">
        <v>4678</v>
      </c>
      <c r="C952" s="2873"/>
      <c r="D952" s="2848">
        <v>110000000</v>
      </c>
      <c r="E952" s="2823">
        <v>0.05</v>
      </c>
      <c r="F952" s="2821">
        <f t="shared" si="100"/>
        <v>5500000</v>
      </c>
      <c r="G952" s="2821">
        <v>5500000</v>
      </c>
      <c r="H952" s="2821" t="s">
        <v>5045</v>
      </c>
      <c r="I952" s="2841" t="s">
        <v>5133</v>
      </c>
      <c r="J952" s="2821">
        <f>G952</f>
        <v>5500000</v>
      </c>
      <c r="K952" s="2821">
        <f>F952-J952</f>
        <v>0</v>
      </c>
      <c r="L952" s="2863" t="s">
        <v>4679</v>
      </c>
      <c r="M952" s="2884"/>
      <c r="N952" s="2884"/>
      <c r="O952" s="2884"/>
      <c r="P952" s="386"/>
      <c r="Q952" s="386"/>
    </row>
    <row r="953" spans="1:17" s="1660" customFormat="1" ht="30" customHeight="1" x14ac:dyDescent="0.2">
      <c r="A953" s="4599"/>
      <c r="B953" s="4457" t="s">
        <v>4757</v>
      </c>
      <c r="C953" s="4537"/>
      <c r="D953" s="4413">
        <v>50000000</v>
      </c>
      <c r="E953" s="4476">
        <v>0.05</v>
      </c>
      <c r="F953" s="4413">
        <f t="shared" si="100"/>
        <v>2500000</v>
      </c>
      <c r="G953" s="4413">
        <v>2500000</v>
      </c>
      <c r="H953" s="4413" t="s">
        <v>5108</v>
      </c>
      <c r="I953" s="4413" t="s">
        <v>5334</v>
      </c>
      <c r="J953" s="4413">
        <f>G953</f>
        <v>2500000</v>
      </c>
      <c r="K953" s="4413">
        <f>F953-J953</f>
        <v>0</v>
      </c>
      <c r="L953" s="2023" t="s">
        <v>4758</v>
      </c>
      <c r="M953" s="2884"/>
      <c r="N953" s="2884"/>
      <c r="O953" s="2884"/>
      <c r="P953" s="386"/>
      <c r="Q953" s="386"/>
    </row>
    <row r="954" spans="1:17" s="1660" customFormat="1" ht="30" customHeight="1" x14ac:dyDescent="0.2">
      <c r="A954" s="4607"/>
      <c r="B954" s="4458"/>
      <c r="C954" s="4538"/>
      <c r="D954" s="4415"/>
      <c r="E954" s="4477"/>
      <c r="F954" s="4415"/>
      <c r="G954" s="4415"/>
      <c r="H954" s="4415"/>
      <c r="I954" s="4415"/>
      <c r="J954" s="4415"/>
      <c r="K954" s="4415"/>
      <c r="L954" s="2023" t="s">
        <v>5245</v>
      </c>
      <c r="M954" s="3380"/>
      <c r="N954" s="3380"/>
      <c r="O954" s="3380"/>
      <c r="P954" s="386"/>
      <c r="Q954" s="386"/>
    </row>
    <row r="955" spans="1:17" s="1660" customFormat="1" ht="30" customHeight="1" x14ac:dyDescent="0.2">
      <c r="A955" s="2883"/>
      <c r="B955" s="2874" t="s">
        <v>229</v>
      </c>
      <c r="C955" s="2873" t="s">
        <v>1306</v>
      </c>
      <c r="D955" s="2848">
        <v>60000000</v>
      </c>
      <c r="E955" s="2823">
        <v>0.05</v>
      </c>
      <c r="F955" s="2821">
        <f>D955*E955</f>
        <v>3000000</v>
      </c>
      <c r="G955" s="2821">
        <v>3000000</v>
      </c>
      <c r="H955" s="2821" t="s">
        <v>5205</v>
      </c>
      <c r="I955" s="2841" t="s">
        <v>1063</v>
      </c>
      <c r="J955" s="2821">
        <f>G955</f>
        <v>3000000</v>
      </c>
      <c r="K955" s="2821">
        <f>F955-J955</f>
        <v>0</v>
      </c>
      <c r="L955" s="2863"/>
      <c r="M955" s="2884"/>
      <c r="N955" s="2884"/>
      <c r="O955" s="2884"/>
      <c r="P955" s="386"/>
      <c r="Q955" s="386"/>
    </row>
    <row r="956" spans="1:17" s="1660" customFormat="1" ht="30" customHeight="1" x14ac:dyDescent="0.2">
      <c r="A956" s="2883"/>
      <c r="B956" s="2874" t="s">
        <v>4794</v>
      </c>
      <c r="C956" s="2873"/>
      <c r="D956" s="2848">
        <v>200000000</v>
      </c>
      <c r="E956" s="2823">
        <v>7.0000000000000007E-2</v>
      </c>
      <c r="F956" s="2821">
        <f>D956*E956</f>
        <v>14000000.000000002</v>
      </c>
      <c r="G956" s="2821">
        <v>14000000</v>
      </c>
      <c r="H956" s="2821" t="s">
        <v>5045</v>
      </c>
      <c r="I956" s="2841" t="s">
        <v>5124</v>
      </c>
      <c r="J956" s="2821">
        <f>G956</f>
        <v>14000000</v>
      </c>
      <c r="K956" s="2821">
        <f>F956-J956</f>
        <v>0</v>
      </c>
      <c r="L956" s="2863" t="s">
        <v>4979</v>
      </c>
      <c r="M956" s="2884"/>
      <c r="N956" s="2884"/>
      <c r="O956" s="2884"/>
      <c r="P956" s="386"/>
      <c r="Q956" s="386"/>
    </row>
    <row r="957" spans="1:17" s="1660" customFormat="1" ht="30" customHeight="1" x14ac:dyDescent="0.2">
      <c r="A957" s="3078"/>
      <c r="B957" s="3071" t="s">
        <v>5042</v>
      </c>
      <c r="C957" s="3072"/>
      <c r="D957" s="3069">
        <v>250000000</v>
      </c>
      <c r="E957" s="3063">
        <v>7.0000000000000007E-2</v>
      </c>
      <c r="F957" s="3061">
        <f>D957*E957</f>
        <v>17500000</v>
      </c>
      <c r="G957" s="3061">
        <v>17500000</v>
      </c>
      <c r="H957" s="3061" t="s">
        <v>5045</v>
      </c>
      <c r="I957" s="3068" t="s">
        <v>5134</v>
      </c>
      <c r="J957" s="3061">
        <f>G957</f>
        <v>17500000</v>
      </c>
      <c r="K957" s="3061">
        <f>F957-J957</f>
        <v>0</v>
      </c>
      <c r="L957" s="3076" t="s">
        <v>5608</v>
      </c>
      <c r="M957" s="3080"/>
      <c r="N957" s="3080"/>
      <c r="O957" s="3080"/>
      <c r="P957" s="386"/>
      <c r="Q957" s="386"/>
    </row>
    <row r="958" spans="1:17" s="1660" customFormat="1" ht="30" customHeight="1" x14ac:dyDescent="0.2">
      <c r="A958" s="2883"/>
      <c r="B958" s="2874" t="s">
        <v>4916</v>
      </c>
      <c r="C958" s="2873"/>
      <c r="D958" s="2848">
        <v>200000000</v>
      </c>
      <c r="E958" s="2823">
        <v>5.5E-2</v>
      </c>
      <c r="F958" s="2821">
        <f>D958*E958</f>
        <v>11000000</v>
      </c>
      <c r="G958" s="2821">
        <v>11000000</v>
      </c>
      <c r="H958" s="2821" t="s">
        <v>5229</v>
      </c>
      <c r="I958" s="2841" t="s">
        <v>1574</v>
      </c>
      <c r="J958" s="2821">
        <f>G958</f>
        <v>11000000</v>
      </c>
      <c r="K958" s="2821">
        <f>F958-J958</f>
        <v>0</v>
      </c>
      <c r="L958" s="2863" t="s">
        <v>4917</v>
      </c>
      <c r="M958" s="2884"/>
      <c r="N958" s="2884"/>
      <c r="O958" s="2884"/>
      <c r="P958" s="386"/>
      <c r="Q958" s="386"/>
    </row>
    <row r="959" spans="1:17" s="1660" customFormat="1" ht="30" customHeight="1" x14ac:dyDescent="0.2">
      <c r="A959" s="2883"/>
      <c r="B959" s="2874" t="s">
        <v>4924</v>
      </c>
      <c r="C959" s="2873"/>
      <c r="D959" s="2848"/>
      <c r="E959" s="2823"/>
      <c r="F959" s="2821"/>
      <c r="G959" s="2821"/>
      <c r="H959" s="2821"/>
      <c r="I959" s="2841"/>
      <c r="J959" s="2821"/>
      <c r="K959" s="2821"/>
      <c r="L959" s="2863" t="s">
        <v>4925</v>
      </c>
      <c r="M959" s="2884"/>
      <c r="N959" s="2884"/>
      <c r="O959" s="2884"/>
      <c r="P959" s="386"/>
      <c r="Q959" s="386"/>
    </row>
    <row r="960" spans="1:17" s="1660" customFormat="1" ht="30" customHeight="1" x14ac:dyDescent="0.2">
      <c r="A960" s="2883"/>
      <c r="B960" s="2874" t="s">
        <v>4971</v>
      </c>
      <c r="C960" s="2873"/>
      <c r="D960" s="2848">
        <v>100000000</v>
      </c>
      <c r="E960" s="2823">
        <v>0.05</v>
      </c>
      <c r="F960" s="2821">
        <f>D960*E960</f>
        <v>5000000</v>
      </c>
      <c r="G960" s="2821"/>
      <c r="H960" s="2821"/>
      <c r="I960" s="2841"/>
      <c r="J960" s="2821"/>
      <c r="K960" s="2821"/>
      <c r="L960" s="2863" t="s">
        <v>4972</v>
      </c>
      <c r="M960" s="2884"/>
      <c r="N960" s="2884"/>
      <c r="O960" s="2884"/>
      <c r="P960" s="386"/>
      <c r="Q960" s="386"/>
    </row>
    <row r="961" spans="1:17" s="1660" customFormat="1" ht="30" customHeight="1" x14ac:dyDescent="0.2">
      <c r="A961" s="2883"/>
      <c r="B961" s="2874" t="s">
        <v>4969</v>
      </c>
      <c r="C961" s="2873" t="s">
        <v>3483</v>
      </c>
      <c r="D961" s="2848">
        <v>150000000</v>
      </c>
      <c r="E961" s="2823">
        <v>5.6000000000000001E-2</v>
      </c>
      <c r="F961" s="2821">
        <v>8500000</v>
      </c>
      <c r="G961" s="2821"/>
      <c r="H961" s="2821"/>
      <c r="I961" s="2841"/>
      <c r="J961" s="2821"/>
      <c r="K961" s="2821"/>
      <c r="L961" s="3023" t="s">
        <v>4970</v>
      </c>
      <c r="M961" s="2884"/>
      <c r="N961" s="2884"/>
      <c r="O961" s="2884"/>
      <c r="P961" s="386"/>
      <c r="Q961" s="386"/>
    </row>
    <row r="962" spans="1:17" s="1660" customFormat="1" ht="30" customHeight="1" x14ac:dyDescent="0.2">
      <c r="A962" s="3028"/>
      <c r="B962" s="3025" t="s">
        <v>5021</v>
      </c>
      <c r="C962" s="3015"/>
      <c r="D962" s="3011">
        <v>130000000</v>
      </c>
      <c r="E962" s="3012"/>
      <c r="F962" s="3011"/>
      <c r="G962" s="3011"/>
      <c r="H962" s="3011"/>
      <c r="I962" s="3014"/>
      <c r="J962" s="3011"/>
      <c r="K962" s="3011"/>
      <c r="L962" s="3023" t="s">
        <v>5022</v>
      </c>
      <c r="M962" s="3029"/>
      <c r="N962" s="3029"/>
      <c r="O962" s="3029"/>
      <c r="P962" s="386"/>
      <c r="Q962" s="386"/>
    </row>
    <row r="963" spans="1:17" s="1660" customFormat="1" ht="30" customHeight="1" x14ac:dyDescent="0.2">
      <c r="A963" s="4599"/>
      <c r="B963" s="4457" t="s">
        <v>5023</v>
      </c>
      <c r="C963" s="4537"/>
      <c r="D963" s="3011">
        <v>200000000</v>
      </c>
      <c r="E963" s="3012"/>
      <c r="F963" s="3011"/>
      <c r="G963" s="3011"/>
      <c r="H963" s="3011"/>
      <c r="I963" s="3014"/>
      <c r="J963" s="3011"/>
      <c r="K963" s="3011"/>
      <c r="L963" s="3124" t="s">
        <v>5024</v>
      </c>
      <c r="M963" s="3029"/>
      <c r="N963" s="3029"/>
      <c r="O963" s="3029"/>
      <c r="P963" s="386"/>
      <c r="Q963" s="386"/>
    </row>
    <row r="964" spans="1:17" s="1660" customFormat="1" ht="30" customHeight="1" x14ac:dyDescent="0.2">
      <c r="A964" s="4600"/>
      <c r="B964" s="4488"/>
      <c r="C964" s="4540"/>
      <c r="D964" s="3222">
        <v>200000000</v>
      </c>
      <c r="E964" s="3224"/>
      <c r="F964" s="3222"/>
      <c r="G964" s="3222"/>
      <c r="H964" s="3222"/>
      <c r="I964" s="3226"/>
      <c r="J964" s="3222"/>
      <c r="K964" s="3222"/>
      <c r="L964" s="3236" t="s">
        <v>5153</v>
      </c>
      <c r="M964" s="3239"/>
      <c r="N964" s="3239"/>
      <c r="O964" s="3239"/>
      <c r="P964" s="386"/>
      <c r="Q964" s="386"/>
    </row>
    <row r="965" spans="1:17" s="1660" customFormat="1" ht="30" customHeight="1" x14ac:dyDescent="0.2">
      <c r="A965" s="4607"/>
      <c r="B965" s="4458"/>
      <c r="C965" s="4538"/>
      <c r="D965" s="3242">
        <v>400000000</v>
      </c>
      <c r="E965" s="3243"/>
      <c r="F965" s="3242"/>
      <c r="G965" s="3222"/>
      <c r="H965" s="3222"/>
      <c r="I965" s="3226"/>
      <c r="J965" s="3222"/>
      <c r="K965" s="3222"/>
      <c r="L965" s="3236"/>
      <c r="M965" s="3239"/>
      <c r="N965" s="3239"/>
      <c r="O965" s="3239"/>
      <c r="P965" s="386"/>
      <c r="Q965" s="386"/>
    </row>
    <row r="966" spans="1:17" s="1660" customFormat="1" ht="30" customHeight="1" x14ac:dyDescent="0.2">
      <c r="A966" s="3028"/>
      <c r="B966" s="3118" t="s">
        <v>5035</v>
      </c>
      <c r="C966" s="3015"/>
      <c r="D966" s="3111"/>
      <c r="E966" s="3112"/>
      <c r="F966" s="3111"/>
      <c r="G966" s="3011">
        <v>4000000</v>
      </c>
      <c r="H966" s="3011" t="s">
        <v>4938</v>
      </c>
      <c r="I966" s="3014" t="s">
        <v>5036</v>
      </c>
      <c r="J966" s="3011">
        <f>G966</f>
        <v>4000000</v>
      </c>
      <c r="K966" s="3111">
        <f>F966-J966</f>
        <v>-4000000</v>
      </c>
      <c r="L966" s="3023"/>
      <c r="M966" s="3029"/>
      <c r="N966" s="3029"/>
      <c r="O966" s="3029"/>
      <c r="P966" s="386"/>
      <c r="Q966" s="386"/>
    </row>
    <row r="967" spans="1:17" s="1660" customFormat="1" ht="30" customHeight="1" x14ac:dyDescent="0.2">
      <c r="A967" s="3128"/>
      <c r="B967" s="3118" t="s">
        <v>5039</v>
      </c>
      <c r="C967" s="3113" t="s">
        <v>371</v>
      </c>
      <c r="D967" s="3105">
        <v>60000000</v>
      </c>
      <c r="E967" s="3106">
        <v>0.06</v>
      </c>
      <c r="F967" s="3105">
        <f>D967*E967</f>
        <v>3600000</v>
      </c>
      <c r="G967" s="3105"/>
      <c r="H967" s="3105"/>
      <c r="I967" s="3114"/>
      <c r="J967" s="3105"/>
      <c r="K967" s="3105"/>
      <c r="L967" s="3124" t="s">
        <v>5040</v>
      </c>
      <c r="M967" s="3125"/>
      <c r="N967" s="3125"/>
      <c r="O967" s="3125"/>
      <c r="P967" s="386"/>
      <c r="Q967" s="386"/>
    </row>
    <row r="968" spans="1:17" s="1660" customFormat="1" ht="30" customHeight="1" x14ac:dyDescent="0.2">
      <c r="A968" s="3128"/>
      <c r="B968" s="3155" t="s">
        <v>5055</v>
      </c>
      <c r="C968" s="3113"/>
      <c r="D968" s="3105">
        <v>300000000</v>
      </c>
      <c r="E968" s="3106">
        <v>0.05</v>
      </c>
      <c r="F968" s="3105">
        <f>D968*E968</f>
        <v>15000000</v>
      </c>
      <c r="G968" s="3105">
        <v>15000000</v>
      </c>
      <c r="H968" s="3105" t="s">
        <v>5054</v>
      </c>
      <c r="I968" s="3114" t="s">
        <v>5061</v>
      </c>
      <c r="J968" s="3105">
        <f>G968</f>
        <v>15000000</v>
      </c>
      <c r="K968" s="3105">
        <f>F968-J968</f>
        <v>0</v>
      </c>
      <c r="L968" s="3124"/>
      <c r="M968" s="3125"/>
      <c r="N968" s="3125"/>
      <c r="O968" s="3125"/>
      <c r="P968" s="386"/>
      <c r="Q968" s="386"/>
    </row>
    <row r="969" spans="1:17" s="1660" customFormat="1" ht="30" customHeight="1" x14ac:dyDescent="0.2">
      <c r="A969" s="4599"/>
      <c r="B969" s="4457" t="s">
        <v>5066</v>
      </c>
      <c r="C969" s="4537"/>
      <c r="D969" s="3105">
        <v>300000000</v>
      </c>
      <c r="E969" s="3106"/>
      <c r="F969" s="3105"/>
      <c r="G969" s="4469" t="s">
        <v>5918</v>
      </c>
      <c r="H969" s="4470"/>
      <c r="I969" s="4470"/>
      <c r="J969" s="4471"/>
      <c r="K969" s="3105"/>
      <c r="L969" s="4680" t="s">
        <v>5068</v>
      </c>
      <c r="M969" s="3125"/>
      <c r="N969" s="3125"/>
      <c r="O969" s="3125"/>
      <c r="P969" s="386"/>
      <c r="Q969" s="386"/>
    </row>
    <row r="970" spans="1:17" s="1660" customFormat="1" ht="30" customHeight="1" x14ac:dyDescent="0.2">
      <c r="A970" s="4600"/>
      <c r="B970" s="4488"/>
      <c r="C970" s="4540"/>
      <c r="D970" s="4094">
        <v>150000000</v>
      </c>
      <c r="E970" s="4096"/>
      <c r="F970" s="4094"/>
      <c r="G970" s="4469" t="s">
        <v>5919</v>
      </c>
      <c r="H970" s="4470"/>
      <c r="I970" s="4470"/>
      <c r="J970" s="4471"/>
      <c r="K970" s="4094"/>
      <c r="L970" s="4974"/>
      <c r="M970" s="4104"/>
      <c r="N970" s="4104"/>
      <c r="O970" s="4104"/>
      <c r="P970" s="386"/>
      <c r="Q970" s="386"/>
    </row>
    <row r="971" spans="1:17" s="1660" customFormat="1" ht="30" customHeight="1" x14ac:dyDescent="0.2">
      <c r="A971" s="4600"/>
      <c r="B971" s="4488"/>
      <c r="C971" s="4540"/>
      <c r="D971" s="4094">
        <v>200000000</v>
      </c>
      <c r="E971" s="4096"/>
      <c r="F971" s="4094"/>
      <c r="G971" s="4469" t="s">
        <v>5920</v>
      </c>
      <c r="H971" s="4470"/>
      <c r="I971" s="4470"/>
      <c r="J971" s="4471"/>
      <c r="K971" s="4094"/>
      <c r="L971" s="4974"/>
      <c r="M971" s="4104"/>
      <c r="N971" s="4104"/>
      <c r="O971" s="4104"/>
      <c r="P971" s="386"/>
      <c r="Q971" s="386"/>
    </row>
    <row r="972" spans="1:17" s="1660" customFormat="1" ht="30" customHeight="1" x14ac:dyDescent="0.2">
      <c r="A972" s="4600"/>
      <c r="B972" s="4488"/>
      <c r="C972" s="4540"/>
      <c r="D972" s="4094">
        <v>50000000</v>
      </c>
      <c r="E972" s="4096"/>
      <c r="F972" s="4094"/>
      <c r="G972" s="4469" t="s">
        <v>5921</v>
      </c>
      <c r="H972" s="4470"/>
      <c r="I972" s="4470"/>
      <c r="J972" s="4471"/>
      <c r="K972" s="4094"/>
      <c r="L972" s="4974"/>
      <c r="M972" s="4104"/>
      <c r="N972" s="4104"/>
      <c r="O972" s="4104"/>
      <c r="P972" s="386"/>
      <c r="Q972" s="386"/>
    </row>
    <row r="973" spans="1:17" s="1660" customFormat="1" ht="30" customHeight="1" x14ac:dyDescent="0.2">
      <c r="A973" s="4607"/>
      <c r="B973" s="4458"/>
      <c r="C973" s="4538"/>
      <c r="D973" s="4099">
        <f>SUM(D969:D972)</f>
        <v>700000000</v>
      </c>
      <c r="E973" s="4098"/>
      <c r="F973" s="4099"/>
      <c r="G973" s="4469" t="s">
        <v>5209</v>
      </c>
      <c r="H973" s="4470"/>
      <c r="I973" s="4470"/>
      <c r="J973" s="4471"/>
      <c r="K973" s="4094"/>
      <c r="L973" s="4681"/>
      <c r="M973" s="4104"/>
      <c r="N973" s="4104"/>
      <c r="O973" s="4104"/>
      <c r="P973" s="386"/>
      <c r="Q973" s="386"/>
    </row>
    <row r="974" spans="1:17" s="1660" customFormat="1" ht="30" customHeight="1" x14ac:dyDescent="0.2">
      <c r="A974" s="3128"/>
      <c r="B974" s="3155" t="s">
        <v>5067</v>
      </c>
      <c r="C974" s="3144"/>
      <c r="D974" s="3136">
        <v>400000000</v>
      </c>
      <c r="E974" s="3137"/>
      <c r="F974" s="3136"/>
      <c r="G974" s="4469" t="s">
        <v>5922</v>
      </c>
      <c r="H974" s="4470"/>
      <c r="I974" s="4470"/>
      <c r="J974" s="4471"/>
      <c r="K974" s="3136"/>
      <c r="L974" s="3149" t="s">
        <v>5068</v>
      </c>
      <c r="M974" s="3158"/>
      <c r="N974" s="3158"/>
      <c r="O974" s="3158"/>
      <c r="P974" s="386"/>
      <c r="Q974" s="386"/>
    </row>
    <row r="975" spans="1:17" s="1660" customFormat="1" ht="30" customHeight="1" x14ac:dyDescent="0.2">
      <c r="A975" s="4599"/>
      <c r="B975" s="4457" t="s">
        <v>5069</v>
      </c>
      <c r="C975" s="4537"/>
      <c r="D975" s="4413">
        <v>32000000</v>
      </c>
      <c r="E975" s="4476">
        <v>0.05</v>
      </c>
      <c r="F975" s="4413">
        <f>D975*E975</f>
        <v>1600000</v>
      </c>
      <c r="G975" s="3136">
        <v>1600000</v>
      </c>
      <c r="H975" s="3136" t="s">
        <v>5292</v>
      </c>
      <c r="I975" s="3453" t="s">
        <v>5319</v>
      </c>
      <c r="J975" s="3136">
        <f>G975</f>
        <v>1600000</v>
      </c>
      <c r="K975" s="3136">
        <f>F975-J975</f>
        <v>0</v>
      </c>
      <c r="L975" s="3149" t="s">
        <v>5222</v>
      </c>
      <c r="M975" s="3158"/>
      <c r="N975" s="3158"/>
      <c r="O975" s="3158"/>
      <c r="P975" s="386"/>
      <c r="Q975" s="386"/>
    </row>
    <row r="976" spans="1:17" s="1660" customFormat="1" ht="30" customHeight="1" x14ac:dyDescent="0.2">
      <c r="A976" s="4600"/>
      <c r="B976" s="4488"/>
      <c r="C976" s="4540"/>
      <c r="D976" s="4414"/>
      <c r="E976" s="4516"/>
      <c r="F976" s="4414"/>
      <c r="G976" s="3445">
        <v>4700000</v>
      </c>
      <c r="H976" s="3445" t="s">
        <v>5108</v>
      </c>
      <c r="I976" s="3453" t="s">
        <v>5319</v>
      </c>
      <c r="J976" s="3445">
        <f>G976</f>
        <v>4700000</v>
      </c>
      <c r="K976" s="3445"/>
      <c r="L976" s="3461" t="s">
        <v>5321</v>
      </c>
      <c r="M976" s="3470"/>
      <c r="N976" s="3470"/>
      <c r="O976" s="3470"/>
      <c r="P976" s="386"/>
      <c r="Q976" s="386"/>
    </row>
    <row r="977" spans="1:17" s="1660" customFormat="1" ht="30" customHeight="1" x14ac:dyDescent="0.2">
      <c r="A977" s="4607"/>
      <c r="B977" s="4458"/>
      <c r="C977" s="4538"/>
      <c r="D977" s="4415"/>
      <c r="E977" s="4477"/>
      <c r="F977" s="4415"/>
      <c r="G977" s="4303" t="s">
        <v>5320</v>
      </c>
      <c r="H977" s="4324"/>
      <c r="I977" s="4324"/>
      <c r="J977" s="4355"/>
      <c r="K977" s="3445"/>
      <c r="L977" s="3461"/>
      <c r="M977" s="3470"/>
      <c r="N977" s="3470"/>
      <c r="O977" s="3470"/>
      <c r="P977" s="386"/>
      <c r="Q977" s="386"/>
    </row>
    <row r="978" spans="1:17" s="1660" customFormat="1" ht="30" customHeight="1" x14ac:dyDescent="0.2">
      <c r="A978" s="3128"/>
      <c r="B978" s="3201" t="s">
        <v>5115</v>
      </c>
      <c r="C978" s="3144"/>
      <c r="D978" s="3136">
        <v>500000000</v>
      </c>
      <c r="E978" s="3137">
        <v>0.05</v>
      </c>
      <c r="F978" s="3136">
        <f>D978*E978</f>
        <v>25000000</v>
      </c>
      <c r="G978" s="3136">
        <v>25000000</v>
      </c>
      <c r="H978" s="3136" t="s">
        <v>5018</v>
      </c>
      <c r="I978" s="3142" t="s">
        <v>5116</v>
      </c>
      <c r="J978" s="3136">
        <f>G978</f>
        <v>25000000</v>
      </c>
      <c r="K978" s="3136">
        <f>F978-J978</f>
        <v>0</v>
      </c>
      <c r="L978" s="3149"/>
      <c r="M978" s="3158"/>
      <c r="N978" s="3158"/>
      <c r="O978" s="3158"/>
      <c r="P978" s="386"/>
      <c r="Q978" s="386"/>
    </row>
    <row r="979" spans="1:17" s="1660" customFormat="1" ht="30" customHeight="1" x14ac:dyDescent="0.2">
      <c r="A979" s="3128"/>
      <c r="B979" s="2375" t="s">
        <v>5126</v>
      </c>
      <c r="C979" s="3144"/>
      <c r="D979" s="3194"/>
      <c r="E979" s="3195"/>
      <c r="F979" s="3194"/>
      <c r="G979" s="3136">
        <v>450000</v>
      </c>
      <c r="H979" s="3136" t="s">
        <v>5018</v>
      </c>
      <c r="I979" s="3142" t="s">
        <v>5127</v>
      </c>
      <c r="J979" s="3136">
        <f>G979</f>
        <v>450000</v>
      </c>
      <c r="K979" s="3136"/>
      <c r="L979" s="3149"/>
      <c r="M979" s="3158"/>
      <c r="N979" s="3158"/>
      <c r="O979" s="3158"/>
      <c r="P979" s="386"/>
      <c r="Q979" s="386"/>
    </row>
    <row r="980" spans="1:17" s="1660" customFormat="1" ht="30" customHeight="1" x14ac:dyDescent="0.2">
      <c r="A980" s="3128"/>
      <c r="B980" s="2375" t="s">
        <v>5131</v>
      </c>
      <c r="C980" s="3196"/>
      <c r="D980" s="3194"/>
      <c r="E980" s="3195"/>
      <c r="F980" s="3194"/>
      <c r="G980" s="3191">
        <v>2000000</v>
      </c>
      <c r="H980" s="3191" t="s">
        <v>5018</v>
      </c>
      <c r="I980" s="3198" t="s">
        <v>5132</v>
      </c>
      <c r="J980" s="3191">
        <f>G980</f>
        <v>2000000</v>
      </c>
      <c r="K980" s="3191"/>
      <c r="L980" s="3206"/>
      <c r="M980" s="3208"/>
      <c r="N980" s="3208"/>
      <c r="O980" s="3208"/>
      <c r="P980" s="386"/>
      <c r="Q980" s="386"/>
    </row>
    <row r="981" spans="1:17" s="1660" customFormat="1" ht="30" customHeight="1" x14ac:dyDescent="0.2">
      <c r="A981" s="3128"/>
      <c r="B981" s="3344" t="s">
        <v>5221</v>
      </c>
      <c r="C981" s="3339" t="s">
        <v>990</v>
      </c>
      <c r="D981" s="3335">
        <v>50000000</v>
      </c>
      <c r="E981" s="3336">
        <v>0.05</v>
      </c>
      <c r="F981" s="3335">
        <f>D981*E981</f>
        <v>2500000</v>
      </c>
      <c r="G981" s="3335"/>
      <c r="H981" s="3335"/>
      <c r="I981" s="3340"/>
      <c r="J981" s="3335"/>
      <c r="K981" s="3335"/>
      <c r="L981" s="3346" t="s">
        <v>5283</v>
      </c>
      <c r="M981" s="3348"/>
      <c r="N981" s="3348"/>
      <c r="O981" s="3348"/>
      <c r="P981" s="386"/>
      <c r="Q981" s="386"/>
    </row>
    <row r="982" spans="1:17" s="1660" customFormat="1" ht="30" customHeight="1" x14ac:dyDescent="0.2">
      <c r="A982" s="4599"/>
      <c r="B982" s="4457" t="s">
        <v>5244</v>
      </c>
      <c r="C982" s="4537" t="s">
        <v>4107</v>
      </c>
      <c r="D982" s="4413">
        <v>100000000</v>
      </c>
      <c r="E982" s="4476">
        <v>0.05</v>
      </c>
      <c r="F982" s="4413">
        <f>D982*E982</f>
        <v>5000000</v>
      </c>
      <c r="G982" s="3335"/>
      <c r="H982" s="3335"/>
      <c r="I982" s="3340"/>
      <c r="J982" s="3335"/>
      <c r="K982" s="3335"/>
      <c r="L982" s="3346" t="s">
        <v>5325</v>
      </c>
      <c r="M982" s="3348"/>
      <c r="N982" s="3348"/>
      <c r="O982" s="3348"/>
      <c r="P982" s="386"/>
      <c r="Q982" s="386"/>
    </row>
    <row r="983" spans="1:17" s="1660" customFormat="1" ht="30" customHeight="1" x14ac:dyDescent="0.2">
      <c r="A983" s="4607"/>
      <c r="B983" s="4458"/>
      <c r="C983" s="4538"/>
      <c r="D983" s="4415"/>
      <c r="E983" s="4477"/>
      <c r="F983" s="4415"/>
      <c r="G983" s="3445"/>
      <c r="H983" s="3445"/>
      <c r="I983" s="3453"/>
      <c r="J983" s="3445"/>
      <c r="K983" s="3445"/>
      <c r="L983" s="3461" t="s">
        <v>5324</v>
      </c>
      <c r="M983" s="3470"/>
      <c r="N983" s="3470"/>
      <c r="O983" s="3470"/>
      <c r="P983" s="386"/>
      <c r="Q983" s="386"/>
    </row>
    <row r="984" spans="1:17" s="1660" customFormat="1" ht="30" customHeight="1" x14ac:dyDescent="0.2">
      <c r="A984" s="3128"/>
      <c r="B984" s="3379" t="s">
        <v>5246</v>
      </c>
      <c r="C984" s="3373"/>
      <c r="D984" s="3368">
        <v>50000000</v>
      </c>
      <c r="E984" s="3371">
        <v>0.05</v>
      </c>
      <c r="F984" s="3368">
        <f>D984*E984</f>
        <v>2500000</v>
      </c>
      <c r="G984" s="3368"/>
      <c r="H984" s="3368"/>
      <c r="I984" s="3372"/>
      <c r="J984" s="3368"/>
      <c r="K984" s="3368"/>
      <c r="L984" s="3376" t="s">
        <v>5281</v>
      </c>
      <c r="M984" s="3380" t="s">
        <v>5280</v>
      </c>
      <c r="N984" s="3380"/>
      <c r="O984" s="3380"/>
      <c r="P984" s="386"/>
      <c r="Q984" s="386"/>
    </row>
    <row r="985" spans="1:17" s="1660" customFormat="1" ht="30" customHeight="1" x14ac:dyDescent="0.2">
      <c r="A985" s="3128"/>
      <c r="B985" s="3379" t="s">
        <v>5253</v>
      </c>
      <c r="C985" s="3378"/>
      <c r="D985" s="3374">
        <v>100000000</v>
      </c>
      <c r="E985" s="3371">
        <v>0.05</v>
      </c>
      <c r="F985" s="3368">
        <f>D985*E985</f>
        <v>5000000</v>
      </c>
      <c r="G985" s="3368"/>
      <c r="H985" s="3368"/>
      <c r="I985" s="3372"/>
      <c r="J985" s="3368"/>
      <c r="K985" s="3368"/>
      <c r="L985" s="3376" t="s">
        <v>5911</v>
      </c>
      <c r="M985" s="3380"/>
      <c r="N985" s="3380"/>
      <c r="O985" s="3380"/>
      <c r="P985" s="386"/>
      <c r="Q985" s="386"/>
    </row>
    <row r="986" spans="1:17" s="1660" customFormat="1" ht="30" customHeight="1" x14ac:dyDescent="0.2">
      <c r="A986" s="3128"/>
      <c r="B986" s="3379" t="s">
        <v>5255</v>
      </c>
      <c r="C986" s="3373"/>
      <c r="D986" s="3368">
        <v>200000000</v>
      </c>
      <c r="E986" s="3371">
        <v>5.5E-2</v>
      </c>
      <c r="F986" s="3368">
        <f>D986*E986</f>
        <v>11000000</v>
      </c>
      <c r="G986" s="3368"/>
      <c r="H986" s="3368"/>
      <c r="I986" s="3372"/>
      <c r="J986" s="3368"/>
      <c r="K986" s="3368"/>
      <c r="L986" s="3376" t="s">
        <v>5308</v>
      </c>
      <c r="M986" s="3380"/>
      <c r="N986" s="3380"/>
      <c r="O986" s="3380"/>
      <c r="P986" s="386"/>
      <c r="Q986" s="386"/>
    </row>
    <row r="987" spans="1:17" s="1660" customFormat="1" ht="30" customHeight="1" x14ac:dyDescent="0.2">
      <c r="A987" s="3128"/>
      <c r="B987" s="3465" t="s">
        <v>5307</v>
      </c>
      <c r="C987" s="3455"/>
      <c r="D987" s="3451"/>
      <c r="E987" s="3452"/>
      <c r="F987" s="3451"/>
      <c r="G987" s="3445">
        <v>52000000</v>
      </c>
      <c r="H987" s="3445" t="s">
        <v>5292</v>
      </c>
      <c r="I987" s="3453" t="s">
        <v>4149</v>
      </c>
      <c r="J987" s="3445">
        <f>G987</f>
        <v>52000000</v>
      </c>
      <c r="K987" s="3451"/>
      <c r="L987" s="3461"/>
      <c r="M987" s="3470"/>
      <c r="N987" s="3470"/>
      <c r="O987" s="3470"/>
      <c r="P987" s="386"/>
      <c r="Q987" s="386"/>
    </row>
    <row r="988" spans="1:17" s="1660" customFormat="1" ht="30" customHeight="1" x14ac:dyDescent="0.2">
      <c r="A988" s="3128"/>
      <c r="B988" s="3465" t="s">
        <v>5313</v>
      </c>
      <c r="C988" s="3455"/>
      <c r="D988" s="3445">
        <v>30000000</v>
      </c>
      <c r="E988" s="3447"/>
      <c r="F988" s="3445"/>
      <c r="G988" s="3445"/>
      <c r="H988" s="3445"/>
      <c r="I988" s="3453"/>
      <c r="J988" s="3445"/>
      <c r="K988" s="3445"/>
      <c r="L988" s="3461" t="s">
        <v>5315</v>
      </c>
      <c r="M988" s="3470"/>
      <c r="N988" s="3470"/>
      <c r="O988" s="3470"/>
      <c r="P988" s="386"/>
      <c r="Q988" s="386"/>
    </row>
    <row r="989" spans="1:17" s="1660" customFormat="1" ht="30" customHeight="1" x14ac:dyDescent="0.2">
      <c r="A989" s="3128"/>
      <c r="B989" s="3465" t="s">
        <v>5314</v>
      </c>
      <c r="C989" s="3455"/>
      <c r="D989" s="3445">
        <v>10000000</v>
      </c>
      <c r="E989" s="3447"/>
      <c r="F989" s="3445"/>
      <c r="G989" s="3445"/>
      <c r="H989" s="3445"/>
      <c r="I989" s="3453"/>
      <c r="J989" s="3445"/>
      <c r="K989" s="3445"/>
      <c r="L989" s="3461" t="s">
        <v>5316</v>
      </c>
      <c r="M989" s="3470"/>
      <c r="N989" s="3470"/>
      <c r="O989" s="3470"/>
      <c r="P989" s="386"/>
      <c r="Q989" s="386"/>
    </row>
    <row r="990" spans="1:17" s="1660" customFormat="1" ht="30" customHeight="1" x14ac:dyDescent="0.2">
      <c r="A990" s="3128"/>
      <c r="B990" s="3465" t="s">
        <v>5322</v>
      </c>
      <c r="C990" s="3455"/>
      <c r="D990" s="3445">
        <v>110000000</v>
      </c>
      <c r="E990" s="3447">
        <v>0.05</v>
      </c>
      <c r="F990" s="3445">
        <f>D990*E990</f>
        <v>5500000</v>
      </c>
      <c r="G990" s="3445"/>
      <c r="H990" s="3445"/>
      <c r="I990" s="3453"/>
      <c r="J990" s="3445"/>
      <c r="K990" s="3445"/>
      <c r="L990" s="3461" t="s">
        <v>5323</v>
      </c>
      <c r="M990" s="3470"/>
      <c r="N990" s="3470"/>
      <c r="O990" s="3470"/>
      <c r="P990" s="386"/>
      <c r="Q990" s="386"/>
    </row>
    <row r="991" spans="1:17" s="1660" customFormat="1" ht="30" customHeight="1" x14ac:dyDescent="0.2">
      <c r="A991" s="3128"/>
      <c r="B991" s="3465" t="s">
        <v>5328</v>
      </c>
      <c r="C991" s="3455"/>
      <c r="D991" s="3451"/>
      <c r="E991" s="3452"/>
      <c r="F991" s="3451"/>
      <c r="G991" s="3445">
        <v>500000</v>
      </c>
      <c r="H991" s="3445" t="s">
        <v>5108</v>
      </c>
      <c r="I991" s="3453" t="s">
        <v>5329</v>
      </c>
      <c r="J991" s="3445">
        <f>G991</f>
        <v>500000</v>
      </c>
      <c r="K991" s="3445"/>
      <c r="L991" s="3486" t="s">
        <v>5330</v>
      </c>
      <c r="M991" s="3470"/>
      <c r="N991" s="3470"/>
      <c r="O991" s="3470"/>
      <c r="P991" s="386"/>
      <c r="Q991" s="386"/>
    </row>
    <row r="992" spans="1:17" s="1660" customFormat="1" ht="30" customHeight="1" x14ac:dyDescent="0.2">
      <c r="A992" s="3128"/>
      <c r="B992" s="3465" t="s">
        <v>5335</v>
      </c>
      <c r="C992" s="3455"/>
      <c r="D992" s="3445">
        <v>30000000</v>
      </c>
      <c r="E992" s="3447">
        <v>7.0000000000000007E-2</v>
      </c>
      <c r="F992" s="3445">
        <f>D992*E992</f>
        <v>2100000</v>
      </c>
      <c r="G992" s="3445">
        <v>1500000</v>
      </c>
      <c r="H992" s="3445" t="s">
        <v>5108</v>
      </c>
      <c r="I992" s="3453" t="s">
        <v>5336</v>
      </c>
      <c r="J992" s="3445">
        <f>G992</f>
        <v>1500000</v>
      </c>
      <c r="K992" s="3445">
        <f>F992-J992</f>
        <v>600000</v>
      </c>
      <c r="L992" s="3461" t="s">
        <v>5929</v>
      </c>
      <c r="M992" s="3470"/>
      <c r="N992" s="3470"/>
      <c r="O992" s="3470"/>
      <c r="P992" s="386"/>
      <c r="Q992" s="386"/>
    </row>
    <row r="993" spans="1:17" s="1660" customFormat="1" ht="30" customHeight="1" x14ac:dyDescent="0.2">
      <c r="A993" s="3128"/>
      <c r="B993" s="3768" t="s">
        <v>5514</v>
      </c>
      <c r="C993" s="3765"/>
      <c r="D993" s="3763">
        <v>125000000</v>
      </c>
      <c r="E993" s="3764"/>
      <c r="F993" s="3763"/>
      <c r="G993" s="4303" t="s">
        <v>5515</v>
      </c>
      <c r="H993" s="4324"/>
      <c r="I993" s="4324"/>
      <c r="J993" s="4355"/>
      <c r="K993" s="3763"/>
      <c r="L993" s="3769" t="s">
        <v>5516</v>
      </c>
      <c r="M993" s="3771"/>
      <c r="N993" s="3771"/>
      <c r="O993" s="3771"/>
      <c r="P993" s="386"/>
      <c r="Q993" s="386"/>
    </row>
    <row r="994" spans="1:17" s="1660" customFormat="1" ht="30" customHeight="1" x14ac:dyDescent="0.2">
      <c r="A994" s="4250"/>
      <c r="B994" s="4244" t="s">
        <v>4769</v>
      </c>
      <c r="C994" s="4245" t="s">
        <v>989</v>
      </c>
      <c r="D994" s="4217">
        <v>4200000</v>
      </c>
      <c r="E994" s="4228">
        <v>0.05</v>
      </c>
      <c r="F994" s="4220">
        <f>D994*E994</f>
        <v>210000</v>
      </c>
      <c r="G994" s="4220"/>
      <c r="H994" s="4220"/>
      <c r="I994" s="4238"/>
      <c r="J994" s="4220"/>
      <c r="K994" s="4220"/>
      <c r="L994" s="4249"/>
      <c r="M994" s="4253"/>
      <c r="N994" s="4253"/>
      <c r="O994" s="4253"/>
      <c r="P994" s="386"/>
      <c r="Q994" s="386"/>
    </row>
    <row r="995" spans="1:17" ht="30" customHeight="1" x14ac:dyDescent="0.2">
      <c r="A995" s="4876" t="s">
        <v>5342</v>
      </c>
      <c r="B995" s="4877"/>
      <c r="C995" s="1032"/>
      <c r="D995" s="294"/>
      <c r="E995" s="2823"/>
      <c r="F995" s="2821"/>
      <c r="G995" s="2821"/>
      <c r="H995" s="2821"/>
      <c r="I995" s="21"/>
      <c r="J995" s="2821"/>
      <c r="K995" s="2821"/>
      <c r="L995" s="2829"/>
    </row>
  </sheetData>
  <mergeCells count="1448">
    <mergeCell ref="G953:G954"/>
    <mergeCell ref="H953:H954"/>
    <mergeCell ref="I953:I954"/>
    <mergeCell ref="J953:J954"/>
    <mergeCell ref="K953:K954"/>
    <mergeCell ref="A911:A912"/>
    <mergeCell ref="B911:B912"/>
    <mergeCell ref="C911:C912"/>
    <mergeCell ref="D911:D912"/>
    <mergeCell ref="F911:F912"/>
    <mergeCell ref="E911:E912"/>
    <mergeCell ref="E808:E809"/>
    <mergeCell ref="F808:F809"/>
    <mergeCell ref="H939:H940"/>
    <mergeCell ref="I939:I940"/>
    <mergeCell ref="J939:J940"/>
    <mergeCell ref="B883:B884"/>
    <mergeCell ref="B869:B872"/>
    <mergeCell ref="A869:A872"/>
    <mergeCell ref="C871:C872"/>
    <mergeCell ref="G871:G872"/>
    <mergeCell ref="H871:H872"/>
    <mergeCell ref="I871:I872"/>
    <mergeCell ref="J871:J872"/>
    <mergeCell ref="G935:J935"/>
    <mergeCell ref="B931:B933"/>
    <mergeCell ref="A931:A933"/>
    <mergeCell ref="C931:C933"/>
    <mergeCell ref="B934:B936"/>
    <mergeCell ref="A934:A936"/>
    <mergeCell ref="D953:D954"/>
    <mergeCell ref="E953:E954"/>
    <mergeCell ref="F953:F954"/>
    <mergeCell ref="D307:D308"/>
    <mergeCell ref="E307:E308"/>
    <mergeCell ref="F307:F308"/>
    <mergeCell ref="G323:J323"/>
    <mergeCell ref="J945:J946"/>
    <mergeCell ref="G759:J759"/>
    <mergeCell ref="B798:B800"/>
    <mergeCell ref="A798:A800"/>
    <mergeCell ref="C798:C800"/>
    <mergeCell ref="D799:F799"/>
    <mergeCell ref="H798:H799"/>
    <mergeCell ref="I798:I799"/>
    <mergeCell ref="D730:D731"/>
    <mergeCell ref="E730:E731"/>
    <mergeCell ref="F730:F731"/>
    <mergeCell ref="D762:D763"/>
    <mergeCell ref="G766:J766"/>
    <mergeCell ref="A808:A809"/>
    <mergeCell ref="D837:D838"/>
    <mergeCell ref="G767:J767"/>
    <mergeCell ref="G837:J838"/>
    <mergeCell ref="C934:C936"/>
    <mergeCell ref="E837:E838"/>
    <mergeCell ref="F837:F838"/>
    <mergeCell ref="H412:H413"/>
    <mergeCell ref="C644:C645"/>
    <mergeCell ref="G699:G700"/>
    <mergeCell ref="C593:C596"/>
    <mergeCell ref="F721:F723"/>
    <mergeCell ref="D721:D723"/>
    <mergeCell ref="D498:F498"/>
    <mergeCell ref="B975:B977"/>
    <mergeCell ref="A975:A977"/>
    <mergeCell ref="C975:C977"/>
    <mergeCell ref="D975:D977"/>
    <mergeCell ref="E975:E977"/>
    <mergeCell ref="F975:F977"/>
    <mergeCell ref="G977:J977"/>
    <mergeCell ref="B982:B983"/>
    <mergeCell ref="A982:A983"/>
    <mergeCell ref="C982:C983"/>
    <mergeCell ref="D982:D983"/>
    <mergeCell ref="E982:E983"/>
    <mergeCell ref="F982:F983"/>
    <mergeCell ref="G764:J764"/>
    <mergeCell ref="A937:A938"/>
    <mergeCell ref="B937:B938"/>
    <mergeCell ref="A939:A940"/>
    <mergeCell ref="B939:B940"/>
    <mergeCell ref="C939:C940"/>
    <mergeCell ref="D939:D940"/>
    <mergeCell ref="E939:E940"/>
    <mergeCell ref="F939:F940"/>
    <mergeCell ref="G939:G940"/>
    <mergeCell ref="G869:G870"/>
    <mergeCell ref="H869:H870"/>
    <mergeCell ref="D810:F811"/>
    <mergeCell ref="J798:J799"/>
    <mergeCell ref="E945:E946"/>
    <mergeCell ref="F895:F896"/>
    <mergeCell ref="B953:B954"/>
    <mergeCell ref="A953:A954"/>
    <mergeCell ref="C953:C954"/>
    <mergeCell ref="B10:B17"/>
    <mergeCell ref="A10:A17"/>
    <mergeCell ref="C10:C17"/>
    <mergeCell ref="B180:B185"/>
    <mergeCell ref="A180:A185"/>
    <mergeCell ref="C180:C185"/>
    <mergeCell ref="D184:F184"/>
    <mergeCell ref="F42:F45"/>
    <mergeCell ref="E42:E45"/>
    <mergeCell ref="D42:D45"/>
    <mergeCell ref="C42:C45"/>
    <mergeCell ref="B42:B45"/>
    <mergeCell ref="A42:A45"/>
    <mergeCell ref="C18:C19"/>
    <mergeCell ref="C691:C692"/>
    <mergeCell ref="B662:B663"/>
    <mergeCell ref="A819:A820"/>
    <mergeCell ref="B372:B374"/>
    <mergeCell ref="C379:C380"/>
    <mergeCell ref="D379:D380"/>
    <mergeCell ref="B507:B508"/>
    <mergeCell ref="A507:A508"/>
    <mergeCell ref="A672:A679"/>
    <mergeCell ref="A593:A596"/>
    <mergeCell ref="D691:D692"/>
    <mergeCell ref="E691:E692"/>
    <mergeCell ref="F691:F692"/>
    <mergeCell ref="C695:C696"/>
    <mergeCell ref="C697:C698"/>
    <mergeCell ref="A379:A380"/>
    <mergeCell ref="A398:A399"/>
    <mergeCell ref="B389:B390"/>
    <mergeCell ref="A579:A580"/>
    <mergeCell ref="B579:B580"/>
    <mergeCell ref="G214:G216"/>
    <mergeCell ref="I214:I216"/>
    <mergeCell ref="B31:B32"/>
    <mergeCell ref="A31:A32"/>
    <mergeCell ref="D31:D32"/>
    <mergeCell ref="C31:C32"/>
    <mergeCell ref="E31:E32"/>
    <mergeCell ref="F31:F32"/>
    <mergeCell ref="H57:H59"/>
    <mergeCell ref="I57:I59"/>
    <mergeCell ref="E218:E219"/>
    <mergeCell ref="I430:I431"/>
    <mergeCell ref="C70:C73"/>
    <mergeCell ref="B70:B73"/>
    <mergeCell ref="A70:A73"/>
    <mergeCell ref="G93:J95"/>
    <mergeCell ref="B493:B496"/>
    <mergeCell ref="C493:C496"/>
    <mergeCell ref="A430:A431"/>
    <mergeCell ref="B430:B431"/>
    <mergeCell ref="C430:C431"/>
    <mergeCell ref="A372:A374"/>
    <mergeCell ref="C372:C374"/>
    <mergeCell ref="B379:B380"/>
    <mergeCell ref="G430:G431"/>
    <mergeCell ref="H430:H431"/>
    <mergeCell ref="G412:G413"/>
    <mergeCell ref="D218:D219"/>
    <mergeCell ref="G191:J191"/>
    <mergeCell ref="G271:G273"/>
    <mergeCell ref="D576:E576"/>
    <mergeCell ref="F606:F614"/>
    <mergeCell ref="G678:J679"/>
    <mergeCell ref="G558:K558"/>
    <mergeCell ref="J493:J496"/>
    <mergeCell ref="G515:J515"/>
    <mergeCell ref="G647:J649"/>
    <mergeCell ref="J579:J580"/>
    <mergeCell ref="I527:I529"/>
    <mergeCell ref="J527:J529"/>
    <mergeCell ref="K313:K315"/>
    <mergeCell ref="D313:D314"/>
    <mergeCell ref="E313:E314"/>
    <mergeCell ref="G655:G656"/>
    <mergeCell ref="H655:H656"/>
    <mergeCell ref="I655:I656"/>
    <mergeCell ref="J655:J656"/>
    <mergeCell ref="K655:K656"/>
    <mergeCell ref="D655:D656"/>
    <mergeCell ref="D665:D666"/>
    <mergeCell ref="K603:K604"/>
    <mergeCell ref="K504:K505"/>
    <mergeCell ref="H672:H676"/>
    <mergeCell ref="H606:I606"/>
    <mergeCell ref="J606:J615"/>
    <mergeCell ref="K606:K615"/>
    <mergeCell ref="E606:E614"/>
    <mergeCell ref="F313:F314"/>
    <mergeCell ref="G415:G416"/>
    <mergeCell ref="H415:H416"/>
    <mergeCell ref="I415:I416"/>
    <mergeCell ref="I205:I206"/>
    <mergeCell ref="I412:I413"/>
    <mergeCell ref="K214:K216"/>
    <mergeCell ref="K223:K224"/>
    <mergeCell ref="G205:G206"/>
    <mergeCell ref="K945:K946"/>
    <mergeCell ref="G693:G694"/>
    <mergeCell ref="H693:H694"/>
    <mergeCell ref="I693:I694"/>
    <mergeCell ref="J693:J694"/>
    <mergeCell ref="K693:K694"/>
    <mergeCell ref="A636:A638"/>
    <mergeCell ref="B636:B638"/>
    <mergeCell ref="C636:C638"/>
    <mergeCell ref="I699:I700"/>
    <mergeCell ref="J699:J700"/>
    <mergeCell ref="K699:K700"/>
    <mergeCell ref="C810:C812"/>
    <mergeCell ref="J810:J811"/>
    <mergeCell ref="K798:K799"/>
    <mergeCell ref="K810:K811"/>
    <mergeCell ref="B827:B831"/>
    <mergeCell ref="A854:A856"/>
    <mergeCell ref="B854:B856"/>
    <mergeCell ref="C854:C856"/>
    <mergeCell ref="G847:G850"/>
    <mergeCell ref="H847:H850"/>
    <mergeCell ref="K837:K838"/>
    <mergeCell ref="K678:K679"/>
    <mergeCell ref="F655:F656"/>
    <mergeCell ref="G689:G690"/>
    <mergeCell ref="H689:H690"/>
    <mergeCell ref="G745:J748"/>
    <mergeCell ref="K739:K744"/>
    <mergeCell ref="G730:J730"/>
    <mergeCell ref="B701:B708"/>
    <mergeCell ref="D647:D648"/>
    <mergeCell ref="G691:G692"/>
    <mergeCell ref="H691:H692"/>
    <mergeCell ref="D640:D641"/>
    <mergeCell ref="E640:E641"/>
    <mergeCell ref="F640:F641"/>
    <mergeCell ref="J487:J489"/>
    <mergeCell ref="K487:K489"/>
    <mergeCell ref="A527:A538"/>
    <mergeCell ref="C527:C538"/>
    <mergeCell ref="D537:J537"/>
    <mergeCell ref="K647:K649"/>
    <mergeCell ref="G650:J650"/>
    <mergeCell ref="C601:C602"/>
    <mergeCell ref="D601:D602"/>
    <mergeCell ref="E601:E602"/>
    <mergeCell ref="E493:E496"/>
    <mergeCell ref="F493:F496"/>
    <mergeCell ref="K527:K529"/>
    <mergeCell ref="G566:K566"/>
    <mergeCell ref="E487:E489"/>
    <mergeCell ref="F601:F602"/>
    <mergeCell ref="D668:D669"/>
    <mergeCell ref="E668:E669"/>
    <mergeCell ref="K691:K692"/>
    <mergeCell ref="J689:J690"/>
    <mergeCell ref="I689:I690"/>
    <mergeCell ref="D575:E575"/>
    <mergeCell ref="B593:B596"/>
    <mergeCell ref="G454:G456"/>
    <mergeCell ref="G561:K561"/>
    <mergeCell ref="G555:K555"/>
    <mergeCell ref="D579:D580"/>
    <mergeCell ref="E579:E580"/>
    <mergeCell ref="F579:F580"/>
    <mergeCell ref="D430:D431"/>
    <mergeCell ref="E430:E431"/>
    <mergeCell ref="F430:F431"/>
    <mergeCell ref="G567:K567"/>
    <mergeCell ref="K360:K362"/>
    <mergeCell ref="C306:C308"/>
    <mergeCell ref="K285:K286"/>
    <mergeCell ref="K306:K308"/>
    <mergeCell ref="K254:K255"/>
    <mergeCell ref="B304:B305"/>
    <mergeCell ref="K309:K310"/>
    <mergeCell ref="G551:I552"/>
    <mergeCell ref="J551:J552"/>
    <mergeCell ref="B454:B460"/>
    <mergeCell ref="J313:J315"/>
    <mergeCell ref="J485:J486"/>
    <mergeCell ref="K485:K486"/>
    <mergeCell ref="J379:J380"/>
    <mergeCell ref="K346:K347"/>
    <mergeCell ref="J430:J431"/>
    <mergeCell ref="K430:K431"/>
    <mergeCell ref="J412:J413"/>
    <mergeCell ref="K412:K413"/>
    <mergeCell ref="I504:I505"/>
    <mergeCell ref="J504:J505"/>
    <mergeCell ref="D234:F234"/>
    <mergeCell ref="C481:C482"/>
    <mergeCell ref="E379:E380"/>
    <mergeCell ref="F379:F380"/>
    <mergeCell ref="C400:C402"/>
    <mergeCell ref="B320:B324"/>
    <mergeCell ref="B405:B406"/>
    <mergeCell ref="H597:H598"/>
    <mergeCell ref="I597:I598"/>
    <mergeCell ref="J597:J598"/>
    <mergeCell ref="K597:K598"/>
    <mergeCell ref="G568:K568"/>
    <mergeCell ref="K579:K580"/>
    <mergeCell ref="H346:H347"/>
    <mergeCell ref="I346:I347"/>
    <mergeCell ref="G352:J352"/>
    <mergeCell ref="K415:K416"/>
    <mergeCell ref="K400:K402"/>
    <mergeCell ref="H485:H486"/>
    <mergeCell ref="I485:I486"/>
    <mergeCell ref="H315:H316"/>
    <mergeCell ref="K338:K339"/>
    <mergeCell ref="J326:J327"/>
    <mergeCell ref="K326:K327"/>
    <mergeCell ref="G322:J322"/>
    <mergeCell ref="G320:J321"/>
    <mergeCell ref="G324:J324"/>
    <mergeCell ref="J382:J383"/>
    <mergeCell ref="H379:H380"/>
    <mergeCell ref="B551:B553"/>
    <mergeCell ref="G557:K557"/>
    <mergeCell ref="G574:K574"/>
    <mergeCell ref="G2:J2"/>
    <mergeCell ref="G164:J164"/>
    <mergeCell ref="G165:J165"/>
    <mergeCell ref="K462:K465"/>
    <mergeCell ref="G410:G411"/>
    <mergeCell ref="H410:H411"/>
    <mergeCell ref="I410:I411"/>
    <mergeCell ref="J410:J411"/>
    <mergeCell ref="K410:K411"/>
    <mergeCell ref="G405:G406"/>
    <mergeCell ref="H405:H406"/>
    <mergeCell ref="I405:I406"/>
    <mergeCell ref="J405:J406"/>
    <mergeCell ref="K405:K406"/>
    <mergeCell ref="G368:J368"/>
    <mergeCell ref="I379:I380"/>
    <mergeCell ref="G485:G486"/>
    <mergeCell ref="H44:H45"/>
    <mergeCell ref="I44:I45"/>
    <mergeCell ref="K379:K380"/>
    <mergeCell ref="J70:J73"/>
    <mergeCell ref="J91:J92"/>
    <mergeCell ref="G109:G110"/>
    <mergeCell ref="J107:J108"/>
    <mergeCell ref="I109:I110"/>
    <mergeCell ref="G47:G49"/>
    <mergeCell ref="H47:H49"/>
    <mergeCell ref="I47:I49"/>
    <mergeCell ref="J47:J49"/>
    <mergeCell ref="I230:I231"/>
    <mergeCell ref="I265:I266"/>
    <mergeCell ref="J265:J266"/>
    <mergeCell ref="A995:B995"/>
    <mergeCell ref="G677:J677"/>
    <mergeCell ref="B678:B679"/>
    <mergeCell ref="C678:C679"/>
    <mergeCell ref="F668:F669"/>
    <mergeCell ref="G668:G669"/>
    <mergeCell ref="H668:H669"/>
    <mergeCell ref="I668:I669"/>
    <mergeCell ref="A668:A669"/>
    <mergeCell ref="C665:C666"/>
    <mergeCell ref="C709:C713"/>
    <mergeCell ref="K668:K669"/>
    <mergeCell ref="I869:I870"/>
    <mergeCell ref="J869:J870"/>
    <mergeCell ref="B795:B797"/>
    <mergeCell ref="C795:C797"/>
    <mergeCell ref="G556:K556"/>
    <mergeCell ref="G796:J796"/>
    <mergeCell ref="G797:J797"/>
    <mergeCell ref="C869:C870"/>
    <mergeCell ref="A810:A812"/>
    <mergeCell ref="B810:B812"/>
    <mergeCell ref="G768:J768"/>
    <mergeCell ref="A765:A768"/>
    <mergeCell ref="A644:A645"/>
    <mergeCell ref="B644:B645"/>
    <mergeCell ref="H632:H635"/>
    <mergeCell ref="K871:K872"/>
    <mergeCell ref="B803:B806"/>
    <mergeCell ref="C803:C806"/>
    <mergeCell ref="C765:C768"/>
    <mergeCell ref="G607:I614"/>
    <mergeCell ref="A205:A206"/>
    <mergeCell ref="G757:J757"/>
    <mergeCell ref="C507:C508"/>
    <mergeCell ref="I672:I676"/>
    <mergeCell ref="J672:J676"/>
    <mergeCell ref="B916:B917"/>
    <mergeCell ref="A916:A917"/>
    <mergeCell ref="C916:C917"/>
    <mergeCell ref="D916:D917"/>
    <mergeCell ref="E916:E917"/>
    <mergeCell ref="F916:F917"/>
    <mergeCell ref="B914:B915"/>
    <mergeCell ref="A914:A915"/>
    <mergeCell ref="B547:B548"/>
    <mergeCell ref="C547:C548"/>
    <mergeCell ref="G547:G548"/>
    <mergeCell ref="H547:H548"/>
    <mergeCell ref="I547:I548"/>
    <mergeCell ref="C554:C576"/>
    <mergeCell ref="C545:C546"/>
    <mergeCell ref="H527:H529"/>
    <mergeCell ref="J521:J522"/>
    <mergeCell ref="C579:C580"/>
    <mergeCell ref="A493:A496"/>
    <mergeCell ref="J205:J206"/>
    <mergeCell ref="G379:G380"/>
    <mergeCell ref="H205:H206"/>
    <mergeCell ref="A504:A505"/>
    <mergeCell ref="B504:B505"/>
    <mergeCell ref="C504:C505"/>
    <mergeCell ref="G504:G505"/>
    <mergeCell ref="H504:H505"/>
    <mergeCell ref="L765:L766"/>
    <mergeCell ref="B765:B768"/>
    <mergeCell ref="A718:A719"/>
    <mergeCell ref="B718:B719"/>
    <mergeCell ref="C718:C719"/>
    <mergeCell ref="D740:E740"/>
    <mergeCell ref="D741:E741"/>
    <mergeCell ref="D742:E742"/>
    <mergeCell ref="D746:E746"/>
    <mergeCell ref="D739:E739"/>
    <mergeCell ref="D748:E748"/>
    <mergeCell ref="G733:J735"/>
    <mergeCell ref="G736:J738"/>
    <mergeCell ref="G727:J727"/>
    <mergeCell ref="G756:J756"/>
    <mergeCell ref="G832:J832"/>
    <mergeCell ref="B832:B835"/>
    <mergeCell ref="A832:A835"/>
    <mergeCell ref="C832:C835"/>
    <mergeCell ref="A756:A764"/>
    <mergeCell ref="B756:B764"/>
    <mergeCell ref="C756:C764"/>
    <mergeCell ref="C721:C731"/>
    <mergeCell ref="G760:J760"/>
    <mergeCell ref="I775:I778"/>
    <mergeCell ref="G739:J744"/>
    <mergeCell ref="D744:E744"/>
    <mergeCell ref="L762:L763"/>
    <mergeCell ref="B721:B731"/>
    <mergeCell ref="G726:J726"/>
    <mergeCell ref="D819:D820"/>
    <mergeCell ref="E819:E820"/>
    <mergeCell ref="L871:L872"/>
    <mergeCell ref="G854:K855"/>
    <mergeCell ref="G907:J907"/>
    <mergeCell ref="A898:A899"/>
    <mergeCell ref="B898:B899"/>
    <mergeCell ref="C898:C899"/>
    <mergeCell ref="D898:D899"/>
    <mergeCell ref="E898:E899"/>
    <mergeCell ref="F898:F899"/>
    <mergeCell ref="C861:C863"/>
    <mergeCell ref="B861:B863"/>
    <mergeCell ref="A861:A863"/>
    <mergeCell ref="C827:C831"/>
    <mergeCell ref="D827:F831"/>
    <mergeCell ref="B895:B896"/>
    <mergeCell ref="A895:A896"/>
    <mergeCell ref="C895:C896"/>
    <mergeCell ref="D895:D896"/>
    <mergeCell ref="E895:E896"/>
    <mergeCell ref="D858:D859"/>
    <mergeCell ref="E858:E859"/>
    <mergeCell ref="F858:F859"/>
    <mergeCell ref="L897:O897"/>
    <mergeCell ref="L895:O895"/>
    <mergeCell ref="J847:J850"/>
    <mergeCell ref="A827:A831"/>
    <mergeCell ref="A847:A851"/>
    <mergeCell ref="B847:B851"/>
    <mergeCell ref="C847:C851"/>
    <mergeCell ref="A885:A886"/>
    <mergeCell ref="B885:B886"/>
    <mergeCell ref="A903:A908"/>
    <mergeCell ref="L898:O898"/>
    <mergeCell ref="I847:I850"/>
    <mergeCell ref="K903:K905"/>
    <mergeCell ref="G906:J906"/>
    <mergeCell ref="K869:K870"/>
    <mergeCell ref="B501:B502"/>
    <mergeCell ref="A501:A502"/>
    <mergeCell ref="C501:C502"/>
    <mergeCell ref="G502:J502"/>
    <mergeCell ref="G516:G518"/>
    <mergeCell ref="H516:H518"/>
    <mergeCell ref="I516:I518"/>
    <mergeCell ref="J516:J518"/>
    <mergeCell ref="A512:A515"/>
    <mergeCell ref="E514:E515"/>
    <mergeCell ref="F514:F515"/>
    <mergeCell ref="L527:L528"/>
    <mergeCell ref="K551:K552"/>
    <mergeCell ref="D560:E560"/>
    <mergeCell ref="G562:K562"/>
    <mergeCell ref="G563:K563"/>
    <mergeCell ref="G564:K564"/>
    <mergeCell ref="J547:J548"/>
    <mergeCell ref="K547:K548"/>
    <mergeCell ref="L547:L548"/>
    <mergeCell ref="B554:B576"/>
    <mergeCell ref="L575:L576"/>
    <mergeCell ref="G571:K571"/>
    <mergeCell ref="G572:K572"/>
    <mergeCell ref="G573:K573"/>
    <mergeCell ref="B527:B538"/>
    <mergeCell ref="B545:B546"/>
    <mergeCell ref="B509:B510"/>
    <mergeCell ref="G509:J510"/>
    <mergeCell ref="D518:E518"/>
    <mergeCell ref="C516:C518"/>
    <mergeCell ref="B516:B518"/>
    <mergeCell ref="A516:A518"/>
    <mergeCell ref="G512:J513"/>
    <mergeCell ref="B512:B515"/>
    <mergeCell ref="D514:D515"/>
    <mergeCell ref="D507:D508"/>
    <mergeCell ref="E507:E508"/>
    <mergeCell ref="F507:F508"/>
    <mergeCell ref="A485:A486"/>
    <mergeCell ref="B485:B486"/>
    <mergeCell ref="C485:C486"/>
    <mergeCell ref="J469:J470"/>
    <mergeCell ref="K469:K470"/>
    <mergeCell ref="L469:L470"/>
    <mergeCell ref="A477:A479"/>
    <mergeCell ref="B477:B479"/>
    <mergeCell ref="C477:C479"/>
    <mergeCell ref="A469:A470"/>
    <mergeCell ref="B469:B470"/>
    <mergeCell ref="C469:C470"/>
    <mergeCell ref="G469:G470"/>
    <mergeCell ref="H469:H470"/>
    <mergeCell ref="I469:I470"/>
    <mergeCell ref="A497:A499"/>
    <mergeCell ref="B497:B499"/>
    <mergeCell ref="C497:C499"/>
    <mergeCell ref="K490:K491"/>
    <mergeCell ref="D490:F491"/>
    <mergeCell ref="D487:D489"/>
    <mergeCell ref="G482:J482"/>
    <mergeCell ref="B481:B482"/>
    <mergeCell ref="J490:J491"/>
    <mergeCell ref="G477:G479"/>
    <mergeCell ref="H477:H479"/>
    <mergeCell ref="I477:I479"/>
    <mergeCell ref="J477:J479"/>
    <mergeCell ref="K477:K479"/>
    <mergeCell ref="K493:K496"/>
    <mergeCell ref="D493:D496"/>
    <mergeCell ref="G491:I491"/>
    <mergeCell ref="B487:B492"/>
    <mergeCell ref="A487:A492"/>
    <mergeCell ref="A454:A460"/>
    <mergeCell ref="G446:J446"/>
    <mergeCell ref="I454:I456"/>
    <mergeCell ref="J454:J456"/>
    <mergeCell ref="K454:K456"/>
    <mergeCell ref="H454:H456"/>
    <mergeCell ref="A462:A467"/>
    <mergeCell ref="C462:C467"/>
    <mergeCell ref="D467:F467"/>
    <mergeCell ref="G467:J467"/>
    <mergeCell ref="E443:E444"/>
    <mergeCell ref="F443:F444"/>
    <mergeCell ref="G443:G444"/>
    <mergeCell ref="H443:H444"/>
    <mergeCell ref="I443:I444"/>
    <mergeCell ref="J443:J444"/>
    <mergeCell ref="G462:J465"/>
    <mergeCell ref="A422:A424"/>
    <mergeCell ref="B422:B424"/>
    <mergeCell ref="L422:L424"/>
    <mergeCell ref="G420:G421"/>
    <mergeCell ref="H420:H421"/>
    <mergeCell ref="I420:I421"/>
    <mergeCell ref="J420:J421"/>
    <mergeCell ref="I422:I425"/>
    <mergeCell ref="J422:J425"/>
    <mergeCell ref="K422:K425"/>
    <mergeCell ref="C423:C425"/>
    <mergeCell ref="K420:K421"/>
    <mergeCell ref="L436:L437"/>
    <mergeCell ref="A439:A444"/>
    <mergeCell ref="B439:B444"/>
    <mergeCell ref="C439:C444"/>
    <mergeCell ref="G439:J442"/>
    <mergeCell ref="K439:K444"/>
    <mergeCell ref="L439:L444"/>
    <mergeCell ref="D442:E442"/>
    <mergeCell ref="D443:D444"/>
    <mergeCell ref="C436:C437"/>
    <mergeCell ref="G436:G437"/>
    <mergeCell ref="H436:H437"/>
    <mergeCell ref="I436:I437"/>
    <mergeCell ref="J436:J437"/>
    <mergeCell ref="B435:B438"/>
    <mergeCell ref="A435:A438"/>
    <mergeCell ref="K436:K437"/>
    <mergeCell ref="G422:G425"/>
    <mergeCell ref="H422:H425"/>
    <mergeCell ref="A382:A383"/>
    <mergeCell ref="C382:C383"/>
    <mergeCell ref="G382:G383"/>
    <mergeCell ref="H382:H383"/>
    <mergeCell ref="I382:I383"/>
    <mergeCell ref="J398:J399"/>
    <mergeCell ref="K398:K399"/>
    <mergeCell ref="H398:H399"/>
    <mergeCell ref="A389:A390"/>
    <mergeCell ref="G389:G390"/>
    <mergeCell ref="H389:H390"/>
    <mergeCell ref="I389:I390"/>
    <mergeCell ref="B393:B394"/>
    <mergeCell ref="A393:A394"/>
    <mergeCell ref="C393:C394"/>
    <mergeCell ref="G398:G399"/>
    <mergeCell ref="B398:B399"/>
    <mergeCell ref="B387:B388"/>
    <mergeCell ref="K382:K383"/>
    <mergeCell ref="L326:L327"/>
    <mergeCell ref="A330:A331"/>
    <mergeCell ref="B330:B331"/>
    <mergeCell ref="L330:L331"/>
    <mergeCell ref="A326:A327"/>
    <mergeCell ref="B326:B327"/>
    <mergeCell ref="C326:C327"/>
    <mergeCell ref="G326:G327"/>
    <mergeCell ref="H326:H327"/>
    <mergeCell ref="I326:I327"/>
    <mergeCell ref="L338:L339"/>
    <mergeCell ref="C343:C344"/>
    <mergeCell ref="G338:G339"/>
    <mergeCell ref="H338:H339"/>
    <mergeCell ref="I338:I339"/>
    <mergeCell ref="J338:J339"/>
    <mergeCell ref="B328:B329"/>
    <mergeCell ref="C328:C329"/>
    <mergeCell ref="A338:A341"/>
    <mergeCell ref="B338:B341"/>
    <mergeCell ref="K328:K329"/>
    <mergeCell ref="H343:H344"/>
    <mergeCell ref="I343:I344"/>
    <mergeCell ref="L309:L310"/>
    <mergeCell ref="A309:A311"/>
    <mergeCell ref="B309:B311"/>
    <mergeCell ref="G309:G310"/>
    <mergeCell ref="H309:H310"/>
    <mergeCell ref="I309:I310"/>
    <mergeCell ref="J309:J310"/>
    <mergeCell ref="G254:G255"/>
    <mergeCell ref="H254:H255"/>
    <mergeCell ref="I254:I255"/>
    <mergeCell ref="J254:J255"/>
    <mergeCell ref="G280:K280"/>
    <mergeCell ref="C279:C280"/>
    <mergeCell ref="B279:B280"/>
    <mergeCell ref="A279:A280"/>
    <mergeCell ref="A306:A308"/>
    <mergeCell ref="B306:B308"/>
    <mergeCell ref="H271:H273"/>
    <mergeCell ref="I271:I273"/>
    <mergeCell ref="J271:J273"/>
    <mergeCell ref="K271:K273"/>
    <mergeCell ref="G265:G266"/>
    <mergeCell ref="H265:H266"/>
    <mergeCell ref="G306:G308"/>
    <mergeCell ref="H306:H308"/>
    <mergeCell ref="I306:I308"/>
    <mergeCell ref="J306:J308"/>
    <mergeCell ref="B297:B298"/>
    <mergeCell ref="D300:F300"/>
    <mergeCell ref="B299:B301"/>
    <mergeCell ref="A299:A301"/>
    <mergeCell ref="C299:C301"/>
    <mergeCell ref="L223:L224"/>
    <mergeCell ref="A226:A228"/>
    <mergeCell ref="B226:B228"/>
    <mergeCell ref="C226:C228"/>
    <mergeCell ref="D226:D228"/>
    <mergeCell ref="E226:E228"/>
    <mergeCell ref="J297:J298"/>
    <mergeCell ref="K297:K298"/>
    <mergeCell ref="L232:L233"/>
    <mergeCell ref="G235:J235"/>
    <mergeCell ref="K230:K231"/>
    <mergeCell ref="L230:L231"/>
    <mergeCell ref="A265:A266"/>
    <mergeCell ref="C265:C266"/>
    <mergeCell ref="K265:K266"/>
    <mergeCell ref="J240:J249"/>
    <mergeCell ref="K240:K249"/>
    <mergeCell ref="L240:L249"/>
    <mergeCell ref="A254:A255"/>
    <mergeCell ref="B254:B255"/>
    <mergeCell ref="C254:C255"/>
    <mergeCell ref="A240:A249"/>
    <mergeCell ref="B240:B249"/>
    <mergeCell ref="C297:C298"/>
    <mergeCell ref="L281:P281"/>
    <mergeCell ref="C232:C235"/>
    <mergeCell ref="G232:I233"/>
    <mergeCell ref="B223:B225"/>
    <mergeCell ref="C271:C273"/>
    <mergeCell ref="D297:D298"/>
    <mergeCell ref="E297:E298"/>
    <mergeCell ref="E240:E249"/>
    <mergeCell ref="L202:L203"/>
    <mergeCell ref="A202:A204"/>
    <mergeCell ref="B202:B204"/>
    <mergeCell ref="C202:C204"/>
    <mergeCell ref="G202:G204"/>
    <mergeCell ref="H202:H204"/>
    <mergeCell ref="I202:I204"/>
    <mergeCell ref="G198:G199"/>
    <mergeCell ref="H198:H199"/>
    <mergeCell ref="I198:I199"/>
    <mergeCell ref="J198:J199"/>
    <mergeCell ref="K198:K199"/>
    <mergeCell ref="A198:A199"/>
    <mergeCell ref="B198:B199"/>
    <mergeCell ref="C198:C199"/>
    <mergeCell ref="D198:D199"/>
    <mergeCell ref="E198:E199"/>
    <mergeCell ref="F198:F199"/>
    <mergeCell ref="L156:L157"/>
    <mergeCell ref="B158:B160"/>
    <mergeCell ref="C158:C160"/>
    <mergeCell ref="G158:G160"/>
    <mergeCell ref="H158:H160"/>
    <mergeCell ref="I158:I160"/>
    <mergeCell ref="J158:J160"/>
    <mergeCell ref="A156:A157"/>
    <mergeCell ref="B156:B157"/>
    <mergeCell ref="C156:C157"/>
    <mergeCell ref="G156:G157"/>
    <mergeCell ref="H156:H157"/>
    <mergeCell ref="I156:I157"/>
    <mergeCell ref="A158:A160"/>
    <mergeCell ref="J156:J157"/>
    <mergeCell ref="K156:K157"/>
    <mergeCell ref="A173:A174"/>
    <mergeCell ref="B173:B174"/>
    <mergeCell ref="C173:C174"/>
    <mergeCell ref="D173:D174"/>
    <mergeCell ref="E173:E174"/>
    <mergeCell ref="F173:F174"/>
    <mergeCell ref="B161:B163"/>
    <mergeCell ref="C162:C163"/>
    <mergeCell ref="G162:G163"/>
    <mergeCell ref="K173:K174"/>
    <mergeCell ref="G166:J166"/>
    <mergeCell ref="A164:A166"/>
    <mergeCell ref="B164:B166"/>
    <mergeCell ref="C164:C166"/>
    <mergeCell ref="A161:A163"/>
    <mergeCell ref="K162:K163"/>
    <mergeCell ref="A130:A132"/>
    <mergeCell ref="L136:L137"/>
    <mergeCell ref="A153:A155"/>
    <mergeCell ref="B153:B155"/>
    <mergeCell ref="C153:C155"/>
    <mergeCell ref="A136:A137"/>
    <mergeCell ref="B136:B137"/>
    <mergeCell ref="C136:C137"/>
    <mergeCell ref="G136:G137"/>
    <mergeCell ref="H136:H137"/>
    <mergeCell ref="I136:I137"/>
    <mergeCell ref="J136:J137"/>
    <mergeCell ref="K136:K137"/>
    <mergeCell ref="G151:K151"/>
    <mergeCell ref="G148:K148"/>
    <mergeCell ref="A145:A146"/>
    <mergeCell ref="B145:B146"/>
    <mergeCell ref="C145:C146"/>
    <mergeCell ref="D145:D146"/>
    <mergeCell ref="E145:E146"/>
    <mergeCell ref="F145:F146"/>
    <mergeCell ref="J145:J146"/>
    <mergeCell ref="K145:K146"/>
    <mergeCell ref="G153:G155"/>
    <mergeCell ref="H153:H155"/>
    <mergeCell ref="I153:I155"/>
    <mergeCell ref="J153:J155"/>
    <mergeCell ref="K153:K155"/>
    <mergeCell ref="B147:B150"/>
    <mergeCell ref="A147:A150"/>
    <mergeCell ref="C147:C150"/>
    <mergeCell ref="G149:K149"/>
    <mergeCell ref="A78:A79"/>
    <mergeCell ref="C78:C79"/>
    <mergeCell ref="D78:D79"/>
    <mergeCell ref="K86:K88"/>
    <mergeCell ref="C89:C90"/>
    <mergeCell ref="A91:A92"/>
    <mergeCell ref="I91:I92"/>
    <mergeCell ref="B89:B90"/>
    <mergeCell ref="L127:L128"/>
    <mergeCell ref="G130:G131"/>
    <mergeCell ref="H130:H131"/>
    <mergeCell ref="I130:I131"/>
    <mergeCell ref="J130:J131"/>
    <mergeCell ref="K130:K131"/>
    <mergeCell ref="K125:K126"/>
    <mergeCell ref="A127:A128"/>
    <mergeCell ref="B127:B128"/>
    <mergeCell ref="C127:C128"/>
    <mergeCell ref="D127:D128"/>
    <mergeCell ref="E127:E128"/>
    <mergeCell ref="F127:F128"/>
    <mergeCell ref="J127:J128"/>
    <mergeCell ref="K127:K128"/>
    <mergeCell ref="A125:A126"/>
    <mergeCell ref="B125:B126"/>
    <mergeCell ref="C125:C126"/>
    <mergeCell ref="G125:G126"/>
    <mergeCell ref="H125:H126"/>
    <mergeCell ref="I125:I126"/>
    <mergeCell ref="J125:J126"/>
    <mergeCell ref="B130:B132"/>
    <mergeCell ref="C130:C132"/>
    <mergeCell ref="L103:L104"/>
    <mergeCell ref="A103:A104"/>
    <mergeCell ref="B103:B104"/>
    <mergeCell ref="C103:C104"/>
    <mergeCell ref="D103:D104"/>
    <mergeCell ref="L93:L95"/>
    <mergeCell ref="F96:F99"/>
    <mergeCell ref="J96:J99"/>
    <mergeCell ref="F103:F104"/>
    <mergeCell ref="K103:K104"/>
    <mergeCell ref="A93:A95"/>
    <mergeCell ref="B93:B95"/>
    <mergeCell ref="A96:A102"/>
    <mergeCell ref="C96:C99"/>
    <mergeCell ref="D96:D99"/>
    <mergeCell ref="K93:K95"/>
    <mergeCell ref="G103:J104"/>
    <mergeCell ref="B96:B102"/>
    <mergeCell ref="C100:C102"/>
    <mergeCell ref="D100:D102"/>
    <mergeCell ref="E100:E102"/>
    <mergeCell ref="F100:F102"/>
    <mergeCell ref="J100:J102"/>
    <mergeCell ref="L18:L19"/>
    <mergeCell ref="L51:L52"/>
    <mergeCell ref="L53:N53"/>
    <mergeCell ref="A51:A53"/>
    <mergeCell ref="B51:B53"/>
    <mergeCell ref="C51:C53"/>
    <mergeCell ref="G51:G53"/>
    <mergeCell ref="H51:H53"/>
    <mergeCell ref="I51:I53"/>
    <mergeCell ref="J51:J53"/>
    <mergeCell ref="I38:I41"/>
    <mergeCell ref="J38:J41"/>
    <mergeCell ref="K38:K41"/>
    <mergeCell ref="E28:E29"/>
    <mergeCell ref="F28:F29"/>
    <mergeCell ref="G35:J35"/>
    <mergeCell ref="A28:A30"/>
    <mergeCell ref="B28:B30"/>
    <mergeCell ref="C28:C30"/>
    <mergeCell ref="A38:A41"/>
    <mergeCell ref="B38:B41"/>
    <mergeCell ref="G38:G41"/>
    <mergeCell ref="H38:H41"/>
    <mergeCell ref="L43:L44"/>
    <mergeCell ref="A18:A19"/>
    <mergeCell ref="B18:B19"/>
    <mergeCell ref="G18:G19"/>
    <mergeCell ref="H18:H19"/>
    <mergeCell ref="I18:I19"/>
    <mergeCell ref="J18:J19"/>
    <mergeCell ref="K18:K19"/>
    <mergeCell ref="K51:K53"/>
    <mergeCell ref="C38:C41"/>
    <mergeCell ref="G28:G30"/>
    <mergeCell ref="H28:H30"/>
    <mergeCell ref="I28:I30"/>
    <mergeCell ref="J28:J30"/>
    <mergeCell ref="K28:K30"/>
    <mergeCell ref="K70:K73"/>
    <mergeCell ref="D84:D85"/>
    <mergeCell ref="E84:E85"/>
    <mergeCell ref="F84:F85"/>
    <mergeCell ref="A89:A90"/>
    <mergeCell ref="A86:A88"/>
    <mergeCell ref="G82:K82"/>
    <mergeCell ref="D82:D83"/>
    <mergeCell ref="E82:E83"/>
    <mergeCell ref="F82:F83"/>
    <mergeCell ref="E74:E77"/>
    <mergeCell ref="C84:C85"/>
    <mergeCell ref="C82:C83"/>
    <mergeCell ref="B86:B88"/>
    <mergeCell ref="F60:F61"/>
    <mergeCell ref="G60:J61"/>
    <mergeCell ref="D74:D77"/>
    <mergeCell ref="G57:G59"/>
    <mergeCell ref="K43:K44"/>
    <mergeCell ref="J43:J44"/>
    <mergeCell ref="J57:J59"/>
    <mergeCell ref="B57:B59"/>
    <mergeCell ref="K47:K49"/>
    <mergeCell ref="F74:F77"/>
    <mergeCell ref="K60:K61"/>
    <mergeCell ref="K57:K59"/>
    <mergeCell ref="L67:L68"/>
    <mergeCell ref="G67:G68"/>
    <mergeCell ref="H67:H68"/>
    <mergeCell ref="I67:I68"/>
    <mergeCell ref="J67:J68"/>
    <mergeCell ref="K67:K68"/>
    <mergeCell ref="L70:L71"/>
    <mergeCell ref="A84:A85"/>
    <mergeCell ref="E96:E99"/>
    <mergeCell ref="K89:K90"/>
    <mergeCell ref="L91:L92"/>
    <mergeCell ref="G86:G88"/>
    <mergeCell ref="C86:C88"/>
    <mergeCell ref="B91:B92"/>
    <mergeCell ref="C91:C92"/>
    <mergeCell ref="A82:A83"/>
    <mergeCell ref="B82:B83"/>
    <mergeCell ref="G70:G71"/>
    <mergeCell ref="H70:H71"/>
    <mergeCell ref="I70:I71"/>
    <mergeCell ref="D89:D90"/>
    <mergeCell ref="G72:G73"/>
    <mergeCell ref="H72:H73"/>
    <mergeCell ref="B84:B85"/>
    <mergeCell ref="I72:I73"/>
    <mergeCell ref="E89:E90"/>
    <mergeCell ref="F89:F90"/>
    <mergeCell ref="K96:K99"/>
    <mergeCell ref="F78:F79"/>
    <mergeCell ref="E78:E79"/>
    <mergeCell ref="H91:H92"/>
    <mergeCell ref="L86:L87"/>
    <mergeCell ref="D176:F176"/>
    <mergeCell ref="C47:C49"/>
    <mergeCell ref="H162:H163"/>
    <mergeCell ref="C93:C95"/>
    <mergeCell ref="E103:E104"/>
    <mergeCell ref="D60:D61"/>
    <mergeCell ref="E60:E61"/>
    <mergeCell ref="A57:A59"/>
    <mergeCell ref="C57:C59"/>
    <mergeCell ref="H109:H110"/>
    <mergeCell ref="B47:B49"/>
    <mergeCell ref="A47:A49"/>
    <mergeCell ref="A175:A176"/>
    <mergeCell ref="B175:B176"/>
    <mergeCell ref="C175:C176"/>
    <mergeCell ref="B60:B62"/>
    <mergeCell ref="A60:A62"/>
    <mergeCell ref="C60:C62"/>
    <mergeCell ref="G62:J62"/>
    <mergeCell ref="J89:J90"/>
    <mergeCell ref="I162:I163"/>
    <mergeCell ref="J162:J163"/>
    <mergeCell ref="C105:C106"/>
    <mergeCell ref="J86:J88"/>
    <mergeCell ref="H86:H88"/>
    <mergeCell ref="I86:I88"/>
    <mergeCell ref="G91:G92"/>
    <mergeCell ref="A74:A77"/>
    <mergeCell ref="B74:B77"/>
    <mergeCell ref="C74:C77"/>
    <mergeCell ref="B78:B79"/>
    <mergeCell ref="D124:F124"/>
    <mergeCell ref="B186:B187"/>
    <mergeCell ref="D276:F276"/>
    <mergeCell ref="C186:C187"/>
    <mergeCell ref="D186:D187"/>
    <mergeCell ref="E186:E187"/>
    <mergeCell ref="F186:F187"/>
    <mergeCell ref="B214:B216"/>
    <mergeCell ref="G117:J117"/>
    <mergeCell ref="A186:A187"/>
    <mergeCell ref="F297:F298"/>
    <mergeCell ref="G297:G298"/>
    <mergeCell ref="H297:H298"/>
    <mergeCell ref="C240:C249"/>
    <mergeCell ref="D240:D249"/>
    <mergeCell ref="G230:G231"/>
    <mergeCell ref="B205:B206"/>
    <mergeCell ref="B207:B209"/>
    <mergeCell ref="H214:H216"/>
    <mergeCell ref="A218:A219"/>
    <mergeCell ref="B218:B219"/>
    <mergeCell ref="C218:C219"/>
    <mergeCell ref="G218:G219"/>
    <mergeCell ref="H218:H219"/>
    <mergeCell ref="I218:I219"/>
    <mergeCell ref="F240:F249"/>
    <mergeCell ref="J285:J286"/>
    <mergeCell ref="J230:J231"/>
    <mergeCell ref="A223:A224"/>
    <mergeCell ref="J223:J224"/>
    <mergeCell ref="F208:F209"/>
    <mergeCell ref="J202:J204"/>
    <mergeCell ref="A232:A235"/>
    <mergeCell ref="C116:C118"/>
    <mergeCell ref="K205:K206"/>
    <mergeCell ref="J214:J216"/>
    <mergeCell ref="J109:J110"/>
    <mergeCell ref="K100:K102"/>
    <mergeCell ref="G101:I101"/>
    <mergeCell ref="B407:B409"/>
    <mergeCell ref="H240:I241"/>
    <mergeCell ref="B109:B112"/>
    <mergeCell ref="A109:A112"/>
    <mergeCell ref="C109:C112"/>
    <mergeCell ref="A190:A191"/>
    <mergeCell ref="B190:B191"/>
    <mergeCell ref="C190:C191"/>
    <mergeCell ref="G210:J210"/>
    <mergeCell ref="B265:B266"/>
    <mergeCell ref="A207:A209"/>
    <mergeCell ref="C208:C209"/>
    <mergeCell ref="J173:J174"/>
    <mergeCell ref="A363:A365"/>
    <mergeCell ref="C363:C365"/>
    <mergeCell ref="D364:F365"/>
    <mergeCell ref="A360:A362"/>
    <mergeCell ref="B360:B362"/>
    <mergeCell ref="F360:F362"/>
    <mergeCell ref="B363:B365"/>
    <mergeCell ref="K364:K365"/>
    <mergeCell ref="A350:A352"/>
    <mergeCell ref="G360:G362"/>
    <mergeCell ref="C313:C314"/>
    <mergeCell ref="C315:F318"/>
    <mergeCell ref="A304:A305"/>
    <mergeCell ref="C304:C305"/>
    <mergeCell ref="D304:D305"/>
    <mergeCell ref="E304:E305"/>
    <mergeCell ref="F304:F305"/>
    <mergeCell ref="K316:K318"/>
    <mergeCell ref="K91:K92"/>
    <mergeCell ref="K107:K108"/>
    <mergeCell ref="A123:A124"/>
    <mergeCell ref="B123:B124"/>
    <mergeCell ref="C123:C124"/>
    <mergeCell ref="K158:K160"/>
    <mergeCell ref="G173:G174"/>
    <mergeCell ref="H173:H174"/>
    <mergeCell ref="I173:I174"/>
    <mergeCell ref="D208:D209"/>
    <mergeCell ref="F218:F219"/>
    <mergeCell ref="G208:J208"/>
    <mergeCell ref="A107:A108"/>
    <mergeCell ref="B107:B108"/>
    <mergeCell ref="C107:C108"/>
    <mergeCell ref="G107:G108"/>
    <mergeCell ref="H107:H108"/>
    <mergeCell ref="I107:I108"/>
    <mergeCell ref="B116:B118"/>
    <mergeCell ref="A116:A118"/>
    <mergeCell ref="C205:C206"/>
    <mergeCell ref="J218:J219"/>
    <mergeCell ref="G190:J190"/>
    <mergeCell ref="K109:K110"/>
    <mergeCell ref="K202:K204"/>
    <mergeCell ref="K218:K219"/>
    <mergeCell ref="H313:I313"/>
    <mergeCell ref="L597:L598"/>
    <mergeCell ref="L601:L602"/>
    <mergeCell ref="L603:L604"/>
    <mergeCell ref="J644:J645"/>
    <mergeCell ref="L655:L656"/>
    <mergeCell ref="F647:F648"/>
    <mergeCell ref="G651:J651"/>
    <mergeCell ref="D606:D614"/>
    <mergeCell ref="K521:K522"/>
    <mergeCell ref="G632:G635"/>
    <mergeCell ref="C410:C411"/>
    <mergeCell ref="K407:K409"/>
    <mergeCell ref="L389:L390"/>
    <mergeCell ref="I398:I399"/>
    <mergeCell ref="J389:J390"/>
    <mergeCell ref="K389:K390"/>
    <mergeCell ref="L420:L421"/>
    <mergeCell ref="L463:L466"/>
    <mergeCell ref="C454:C460"/>
    <mergeCell ref="L477:L478"/>
    <mergeCell ref="L500:L501"/>
    <mergeCell ref="D565:E565"/>
    <mergeCell ref="G565:K565"/>
    <mergeCell ref="L578:O578"/>
    <mergeCell ref="G527:G529"/>
    <mergeCell ref="G570:K570"/>
    <mergeCell ref="G575:K575"/>
    <mergeCell ref="K632:K635"/>
    <mergeCell ref="G400:G402"/>
    <mergeCell ref="H400:H402"/>
    <mergeCell ref="I632:I635"/>
    <mergeCell ref="G597:G598"/>
    <mergeCell ref="K762:K763"/>
    <mergeCell ref="E762:E763"/>
    <mergeCell ref="F762:F763"/>
    <mergeCell ref="E655:E656"/>
    <mergeCell ref="H644:H645"/>
    <mergeCell ref="I644:I645"/>
    <mergeCell ref="D808:D809"/>
    <mergeCell ref="H622:H629"/>
    <mergeCell ref="I622:I629"/>
    <mergeCell ref="J622:J629"/>
    <mergeCell ref="K622:K629"/>
    <mergeCell ref="E721:E723"/>
    <mergeCell ref="G729:J729"/>
    <mergeCell ref="G728:J728"/>
    <mergeCell ref="J775:J778"/>
    <mergeCell ref="K775:K778"/>
    <mergeCell ref="G758:J758"/>
    <mergeCell ref="J632:J635"/>
    <mergeCell ref="F665:F666"/>
    <mergeCell ref="D678:D679"/>
    <mergeCell ref="K733:K735"/>
    <mergeCell ref="F716:F717"/>
    <mergeCell ref="E716:E717"/>
    <mergeCell ref="G761:J761"/>
    <mergeCell ref="G762:J762"/>
    <mergeCell ref="G665:G666"/>
    <mergeCell ref="G672:G676"/>
    <mergeCell ref="J668:J669"/>
    <mergeCell ref="J691:J692"/>
    <mergeCell ref="K644:K645"/>
    <mergeCell ref="F714:F715"/>
    <mergeCell ref="K736:K738"/>
    <mergeCell ref="J603:J604"/>
    <mergeCell ref="C603:C605"/>
    <mergeCell ref="G644:G645"/>
    <mergeCell ref="A601:A602"/>
    <mergeCell ref="L709:L710"/>
    <mergeCell ref="L678:L679"/>
    <mergeCell ref="L668:L669"/>
    <mergeCell ref="C701:C708"/>
    <mergeCell ref="G697:J697"/>
    <mergeCell ref="B655:B656"/>
    <mergeCell ref="L689:L690"/>
    <mergeCell ref="I665:I666"/>
    <mergeCell ref="J665:J666"/>
    <mergeCell ref="K665:K666"/>
    <mergeCell ref="K689:K690"/>
    <mergeCell ref="B668:B669"/>
    <mergeCell ref="H699:H700"/>
    <mergeCell ref="I691:I692"/>
    <mergeCell ref="C689:C690"/>
    <mergeCell ref="E678:E679"/>
    <mergeCell ref="F678:F679"/>
    <mergeCell ref="C662:C663"/>
    <mergeCell ref="D663:F663"/>
    <mergeCell ref="E647:E648"/>
    <mergeCell ref="C693:C694"/>
    <mergeCell ref="A693:A694"/>
    <mergeCell ref="B603:B605"/>
    <mergeCell ref="C622:C629"/>
    <mergeCell ref="D743:E743"/>
    <mergeCell ref="B693:B694"/>
    <mergeCell ref="K939:K940"/>
    <mergeCell ref="F847:F848"/>
    <mergeCell ref="D847:D848"/>
    <mergeCell ref="E847:E848"/>
    <mergeCell ref="B945:B946"/>
    <mergeCell ref="A945:A946"/>
    <mergeCell ref="C945:C946"/>
    <mergeCell ref="D945:D946"/>
    <mergeCell ref="G784:J784"/>
    <mergeCell ref="G783:J783"/>
    <mergeCell ref="F945:F946"/>
    <mergeCell ref="B824:B825"/>
    <mergeCell ref="K847:K850"/>
    <mergeCell ref="C836:C838"/>
    <mergeCell ref="B903:B908"/>
    <mergeCell ref="C903:C908"/>
    <mergeCell ref="D903:D904"/>
    <mergeCell ref="E903:E904"/>
    <mergeCell ref="F903:F904"/>
    <mergeCell ref="G903:J905"/>
    <mergeCell ref="D803:D805"/>
    <mergeCell ref="E803:E805"/>
    <mergeCell ref="F803:F805"/>
    <mergeCell ref="J803:J805"/>
    <mergeCell ref="K803:K805"/>
    <mergeCell ref="H830:H831"/>
    <mergeCell ref="I830:I831"/>
    <mergeCell ref="C819:C820"/>
    <mergeCell ref="B783:B784"/>
    <mergeCell ref="C783:C784"/>
    <mergeCell ref="B963:B965"/>
    <mergeCell ref="A963:A965"/>
    <mergeCell ref="C963:C965"/>
    <mergeCell ref="B774:B778"/>
    <mergeCell ref="A774:A778"/>
    <mergeCell ref="C774:C778"/>
    <mergeCell ref="A883:A884"/>
    <mergeCell ref="C883:C884"/>
    <mergeCell ref="B857:B859"/>
    <mergeCell ref="A857:A859"/>
    <mergeCell ref="C857:C859"/>
    <mergeCell ref="C672:C676"/>
    <mergeCell ref="C647:C651"/>
    <mergeCell ref="A655:A656"/>
    <mergeCell ref="A622:A629"/>
    <mergeCell ref="B695:B696"/>
    <mergeCell ref="A695:A696"/>
    <mergeCell ref="B697:B698"/>
    <mergeCell ref="A697:A698"/>
    <mergeCell ref="C655:C656"/>
    <mergeCell ref="C632:C635"/>
    <mergeCell ref="C914:C915"/>
    <mergeCell ref="A824:A825"/>
    <mergeCell ref="A721:A731"/>
    <mergeCell ref="B640:B641"/>
    <mergeCell ref="A640:A641"/>
    <mergeCell ref="B647:B651"/>
    <mergeCell ref="B622:B629"/>
    <mergeCell ref="D914:D915"/>
    <mergeCell ref="E914:E915"/>
    <mergeCell ref="F914:F915"/>
    <mergeCell ref="K232:K234"/>
    <mergeCell ref="A313:A318"/>
    <mergeCell ref="A709:A713"/>
    <mergeCell ref="A876:A877"/>
    <mergeCell ref="A836:A838"/>
    <mergeCell ref="A783:A784"/>
    <mergeCell ref="A795:A797"/>
    <mergeCell ref="B709:B713"/>
    <mergeCell ref="B699:B700"/>
    <mergeCell ref="A699:A700"/>
    <mergeCell ref="C699:C700"/>
    <mergeCell ref="A665:A666"/>
    <mergeCell ref="B665:B666"/>
    <mergeCell ref="A689:A692"/>
    <mergeCell ref="B689:B692"/>
    <mergeCell ref="C338:C341"/>
    <mergeCell ref="C346:C347"/>
    <mergeCell ref="G346:G347"/>
    <mergeCell ref="C405:C406"/>
    <mergeCell ref="C403:C404"/>
    <mergeCell ref="C640:C641"/>
    <mergeCell ref="A714:A715"/>
    <mergeCell ref="A716:A717"/>
    <mergeCell ref="A733:A751"/>
    <mergeCell ref="B808:B809"/>
    <mergeCell ref="C808:C809"/>
    <mergeCell ref="A410:A411"/>
    <mergeCell ref="B410:B411"/>
    <mergeCell ref="A603:A605"/>
    <mergeCell ref="B271:B273"/>
    <mergeCell ref="J346:J347"/>
    <mergeCell ref="E387:E388"/>
    <mergeCell ref="F387:F388"/>
    <mergeCell ref="C668:C669"/>
    <mergeCell ref="C389:C390"/>
    <mergeCell ref="A701:A708"/>
    <mergeCell ref="L38:L41"/>
    <mergeCell ref="B194:B196"/>
    <mergeCell ref="A194:A196"/>
    <mergeCell ref="C194:C196"/>
    <mergeCell ref="D195:F196"/>
    <mergeCell ref="H195:H196"/>
    <mergeCell ref="I195:I196"/>
    <mergeCell ref="J195:J196"/>
    <mergeCell ref="K195:K196"/>
    <mergeCell ref="A214:A216"/>
    <mergeCell ref="A328:A329"/>
    <mergeCell ref="J232:J234"/>
    <mergeCell ref="F226:F228"/>
    <mergeCell ref="A230:A231"/>
    <mergeCell ref="B230:B231"/>
    <mergeCell ref="G288:J288"/>
    <mergeCell ref="B105:B106"/>
    <mergeCell ref="A105:A106"/>
    <mergeCell ref="G105:J105"/>
    <mergeCell ref="I315:I316"/>
    <mergeCell ref="J316:J318"/>
    <mergeCell ref="E208:E209"/>
    <mergeCell ref="G106:J106"/>
    <mergeCell ref="B275:B276"/>
    <mergeCell ref="C275:C276"/>
    <mergeCell ref="J857:J858"/>
    <mergeCell ref="B836:B838"/>
    <mergeCell ref="K857:K858"/>
    <mergeCell ref="F819:F820"/>
    <mergeCell ref="A320:A324"/>
    <mergeCell ref="C230:C231"/>
    <mergeCell ref="G328:G329"/>
    <mergeCell ref="H328:H329"/>
    <mergeCell ref="I328:I329"/>
    <mergeCell ref="B355:B356"/>
    <mergeCell ref="J364:J365"/>
    <mergeCell ref="C214:C216"/>
    <mergeCell ref="F487:F489"/>
    <mergeCell ref="C360:C362"/>
    <mergeCell ref="D360:D362"/>
    <mergeCell ref="E360:E362"/>
    <mergeCell ref="A415:A416"/>
    <mergeCell ref="A403:A404"/>
    <mergeCell ref="B403:B404"/>
    <mergeCell ref="A400:A402"/>
    <mergeCell ref="B400:B402"/>
    <mergeCell ref="A346:A347"/>
    <mergeCell ref="B346:B347"/>
    <mergeCell ref="B415:B416"/>
    <mergeCell ref="J328:J329"/>
    <mergeCell ref="A412:A414"/>
    <mergeCell ref="B288:B289"/>
    <mergeCell ref="A288:A289"/>
    <mergeCell ref="C288:C289"/>
    <mergeCell ref="H230:H231"/>
    <mergeCell ref="I297:I298"/>
    <mergeCell ref="A271:A273"/>
    <mergeCell ref="J415:J416"/>
    <mergeCell ref="A297:A298"/>
    <mergeCell ref="C885:C886"/>
    <mergeCell ref="G885:G886"/>
    <mergeCell ref="H885:H886"/>
    <mergeCell ref="I885:I886"/>
    <mergeCell ref="J885:J886"/>
    <mergeCell ref="K885:K886"/>
    <mergeCell ref="B714:B715"/>
    <mergeCell ref="B716:B717"/>
    <mergeCell ref="C714:C715"/>
    <mergeCell ref="C716:C717"/>
    <mergeCell ref="D714:D715"/>
    <mergeCell ref="D716:D717"/>
    <mergeCell ref="E714:E715"/>
    <mergeCell ref="C781:C782"/>
    <mergeCell ref="D781:D782"/>
    <mergeCell ref="E781:E782"/>
    <mergeCell ref="F781:F782"/>
    <mergeCell ref="H775:H778"/>
    <mergeCell ref="D812:F812"/>
    <mergeCell ref="G775:G778"/>
    <mergeCell ref="C733:C751"/>
    <mergeCell ref="B733:B751"/>
    <mergeCell ref="B876:B877"/>
    <mergeCell ref="B819:B820"/>
    <mergeCell ref="J827:J830"/>
    <mergeCell ref="B781:B782"/>
    <mergeCell ref="G851:K851"/>
    <mergeCell ref="I521:I522"/>
    <mergeCell ref="A547:A548"/>
    <mergeCell ref="K516:K518"/>
    <mergeCell ref="C512:C515"/>
    <mergeCell ref="C412:C414"/>
    <mergeCell ref="A551:A553"/>
    <mergeCell ref="A662:A663"/>
    <mergeCell ref="A647:A651"/>
    <mergeCell ref="H488:I488"/>
    <mergeCell ref="G489:I489"/>
    <mergeCell ref="A545:A546"/>
    <mergeCell ref="G622:G629"/>
    <mergeCell ref="D568:E568"/>
    <mergeCell ref="D570:E570"/>
    <mergeCell ref="H665:H666"/>
    <mergeCell ref="E665:E666"/>
    <mergeCell ref="A597:A598"/>
    <mergeCell ref="B597:B598"/>
    <mergeCell ref="A519:A520"/>
    <mergeCell ref="C519:C520"/>
    <mergeCell ref="C597:C598"/>
    <mergeCell ref="A554:A576"/>
    <mergeCell ref="B601:B602"/>
    <mergeCell ref="A632:A635"/>
    <mergeCell ref="B632:B635"/>
    <mergeCell ref="A591:A592"/>
    <mergeCell ref="B591:B592"/>
    <mergeCell ref="C487:C492"/>
    <mergeCell ref="B519:B520"/>
    <mergeCell ref="A606:A615"/>
    <mergeCell ref="B606:B615"/>
    <mergeCell ref="C606:C615"/>
    <mergeCell ref="B619:B620"/>
    <mergeCell ref="A619:A620"/>
    <mergeCell ref="C619:C620"/>
    <mergeCell ref="A521:A522"/>
    <mergeCell ref="B521:B522"/>
    <mergeCell ref="J601:J602"/>
    <mergeCell ref="K601:K602"/>
    <mergeCell ref="G993:J993"/>
    <mergeCell ref="L487:L491"/>
    <mergeCell ref="A355:A356"/>
    <mergeCell ref="A481:A482"/>
    <mergeCell ref="C355:C356"/>
    <mergeCell ref="D355:D356"/>
    <mergeCell ref="E355:E356"/>
    <mergeCell ref="F355:F356"/>
    <mergeCell ref="G969:J969"/>
    <mergeCell ref="G970:J970"/>
    <mergeCell ref="G971:J971"/>
    <mergeCell ref="G972:J972"/>
    <mergeCell ref="B969:B973"/>
    <mergeCell ref="C969:C973"/>
    <mergeCell ref="A969:A973"/>
    <mergeCell ref="G973:J973"/>
    <mergeCell ref="L969:L973"/>
    <mergeCell ref="G974:J974"/>
    <mergeCell ref="A370:A371"/>
    <mergeCell ref="B370:B371"/>
    <mergeCell ref="C370:C371"/>
    <mergeCell ref="C407:C409"/>
    <mergeCell ref="B412:B414"/>
    <mergeCell ref="A405:A406"/>
    <mergeCell ref="A407:A409"/>
    <mergeCell ref="C521:C522"/>
    <mergeCell ref="G521:G522"/>
    <mergeCell ref="H521:H522"/>
    <mergeCell ref="C415:C416"/>
    <mergeCell ref="B462:B467"/>
    <mergeCell ref="G414:J414"/>
    <mergeCell ref="K827:K830"/>
    <mergeCell ref="A803:A806"/>
    <mergeCell ref="I400:I402"/>
    <mergeCell ref="J400:J402"/>
    <mergeCell ref="B285:B287"/>
    <mergeCell ref="A285:A287"/>
    <mergeCell ref="C285:C287"/>
    <mergeCell ref="D285:D287"/>
    <mergeCell ref="E285:E287"/>
    <mergeCell ref="F285:F287"/>
    <mergeCell ref="G514:J514"/>
    <mergeCell ref="H360:H362"/>
    <mergeCell ref="I360:I362"/>
    <mergeCell ref="J360:J362"/>
    <mergeCell ref="A509:A510"/>
    <mergeCell ref="C509:C510"/>
    <mergeCell ref="A387:A388"/>
    <mergeCell ref="C387:C388"/>
    <mergeCell ref="D387:D388"/>
    <mergeCell ref="G350:J351"/>
    <mergeCell ref="B350:B353"/>
    <mergeCell ref="C350:C353"/>
    <mergeCell ref="G353:J353"/>
    <mergeCell ref="C398:C399"/>
    <mergeCell ref="E588:F588"/>
    <mergeCell ref="D546:F546"/>
    <mergeCell ref="C320:C324"/>
    <mergeCell ref="B313:B318"/>
    <mergeCell ref="C551:C55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1"/>
  <sheetViews>
    <sheetView rightToLeft="1" tabSelected="1" topLeftCell="A435" zoomScale="60" zoomScaleNormal="60" workbookViewId="0">
      <selection activeCell="B453" sqref="B453"/>
    </sheetView>
  </sheetViews>
  <sheetFormatPr defaultRowHeight="20.25" x14ac:dyDescent="0.2"/>
  <cols>
    <col min="1" max="1" width="5.75" style="5" customWidth="1"/>
    <col min="2" max="2" width="36.625" style="366" customWidth="1"/>
    <col min="3" max="3" width="15.625" style="318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366" customWidth="1"/>
  </cols>
  <sheetData>
    <row r="1" spans="1:12" ht="50.1" customHeight="1" x14ac:dyDescent="0.2">
      <c r="A1" s="1" t="s">
        <v>0</v>
      </c>
      <c r="B1" s="8" t="s">
        <v>1</v>
      </c>
      <c r="C1" s="316" t="s">
        <v>358</v>
      </c>
      <c r="D1" s="1" t="s">
        <v>271</v>
      </c>
      <c r="E1" s="1" t="s">
        <v>5</v>
      </c>
      <c r="F1" s="1" t="s">
        <v>277</v>
      </c>
      <c r="G1" s="1" t="s">
        <v>266</v>
      </c>
      <c r="H1" s="1" t="s">
        <v>4</v>
      </c>
      <c r="I1" s="1" t="s">
        <v>261</v>
      </c>
      <c r="J1" s="1" t="s">
        <v>278</v>
      </c>
      <c r="K1" s="10" t="s">
        <v>291</v>
      </c>
      <c r="L1" s="148" t="s">
        <v>268</v>
      </c>
    </row>
    <row r="2" spans="1:12" ht="30" customHeight="1" x14ac:dyDescent="0.2">
      <c r="A2" s="4036"/>
      <c r="B2" s="4037" t="s">
        <v>5760</v>
      </c>
      <c r="C2" s="3983" t="s">
        <v>1300</v>
      </c>
      <c r="D2" s="3974">
        <v>6000000</v>
      </c>
      <c r="E2" s="3987">
        <v>7.0000000000000007E-2</v>
      </c>
      <c r="F2" s="3974">
        <v>450000</v>
      </c>
      <c r="G2" s="4036"/>
      <c r="H2" s="4036"/>
      <c r="I2" s="218"/>
      <c r="J2" s="4036"/>
      <c r="K2" s="218"/>
      <c r="L2" s="180" t="s">
        <v>5763</v>
      </c>
    </row>
    <row r="3" spans="1:12" ht="30" customHeight="1" x14ac:dyDescent="0.2">
      <c r="A3" s="5143"/>
      <c r="B3" s="5141" t="s">
        <v>5761</v>
      </c>
      <c r="C3" s="4537" t="s">
        <v>1300</v>
      </c>
      <c r="D3" s="3974">
        <v>5000000</v>
      </c>
      <c r="E3" s="3987">
        <v>7.0000000000000007E-2</v>
      </c>
      <c r="F3" s="3974">
        <f t="shared" ref="F3:F4" si="0">D3*E3</f>
        <v>350000.00000000006</v>
      </c>
      <c r="G3" s="4036"/>
      <c r="H3" s="4036"/>
      <c r="I3" s="218"/>
      <c r="J3" s="4036"/>
      <c r="K3" s="218"/>
      <c r="L3" s="737" t="s">
        <v>5762</v>
      </c>
    </row>
    <row r="4" spans="1:12" ht="30" customHeight="1" x14ac:dyDescent="0.2">
      <c r="A4" s="5144"/>
      <c r="B4" s="5142"/>
      <c r="C4" s="4538"/>
      <c r="D4" s="3974">
        <v>5000000</v>
      </c>
      <c r="E4" s="3987">
        <v>7.0000000000000007E-2</v>
      </c>
      <c r="F4" s="3974">
        <f t="shared" si="0"/>
        <v>350000.00000000006</v>
      </c>
      <c r="G4" s="4036"/>
      <c r="H4" s="4036"/>
      <c r="I4" s="218"/>
      <c r="J4" s="4036"/>
      <c r="K4" s="218"/>
      <c r="L4" s="737" t="s">
        <v>5764</v>
      </c>
    </row>
    <row r="5" spans="1:12" ht="30" customHeight="1" x14ac:dyDescent="0.2">
      <c r="A5" s="3538">
        <v>3</v>
      </c>
      <c r="B5" s="19" t="s">
        <v>285</v>
      </c>
      <c r="C5" s="3515" t="s">
        <v>359</v>
      </c>
      <c r="D5" s="3493">
        <v>36000000</v>
      </c>
      <c r="E5" s="3535">
        <v>7.0000000000000007E-2</v>
      </c>
      <c r="F5" s="3493">
        <v>2500000</v>
      </c>
      <c r="G5" s="3493">
        <v>2500000</v>
      </c>
      <c r="H5" s="3493" t="s">
        <v>5370</v>
      </c>
      <c r="I5" s="24" t="s">
        <v>2026</v>
      </c>
      <c r="J5" s="3493">
        <f>G5</f>
        <v>2500000</v>
      </c>
      <c r="K5" s="3493">
        <f>F5-J5</f>
        <v>0</v>
      </c>
      <c r="L5" s="3543"/>
    </row>
    <row r="6" spans="1:12" ht="30" customHeight="1" x14ac:dyDescent="0.2">
      <c r="A6" s="3496">
        <v>4</v>
      </c>
      <c r="B6" s="3542" t="s">
        <v>310</v>
      </c>
      <c r="C6" s="3541" t="s">
        <v>2644</v>
      </c>
      <c r="D6" s="3493">
        <v>700000000</v>
      </c>
      <c r="E6" s="3535">
        <v>6.3E-2</v>
      </c>
      <c r="F6" s="3493">
        <f>D6*E6</f>
        <v>44100000</v>
      </c>
      <c r="G6" s="3493">
        <v>44000000</v>
      </c>
      <c r="H6" s="3493" t="s">
        <v>1527</v>
      </c>
      <c r="I6" s="24" t="s">
        <v>1543</v>
      </c>
      <c r="J6" s="3493">
        <f>G6</f>
        <v>44000000</v>
      </c>
      <c r="K6" s="3493">
        <f>F6-J6</f>
        <v>100000</v>
      </c>
      <c r="L6" s="29"/>
    </row>
    <row r="7" spans="1:12" ht="30" customHeight="1" x14ac:dyDescent="0.2">
      <c r="A7" s="3496">
        <v>6</v>
      </c>
      <c r="B7" s="3542" t="s">
        <v>407</v>
      </c>
      <c r="C7" s="3514"/>
      <c r="D7" s="3493">
        <v>15000000</v>
      </c>
      <c r="E7" s="3535">
        <v>0.05</v>
      </c>
      <c r="F7" s="3493">
        <f t="shared" ref="F7:F21" si="1">D7*E7</f>
        <v>750000</v>
      </c>
      <c r="G7" s="3493"/>
      <c r="H7" s="3493"/>
      <c r="I7" s="24"/>
      <c r="J7" s="3493">
        <f t="shared" ref="J7:J11" si="2">G7</f>
        <v>0</v>
      </c>
      <c r="K7" s="3493">
        <f t="shared" ref="K7:K11" si="3">F7-J7</f>
        <v>750000</v>
      </c>
      <c r="L7" s="638"/>
    </row>
    <row r="8" spans="1:12" ht="30" customHeight="1" x14ac:dyDescent="0.2">
      <c r="A8" s="3496">
        <v>7</v>
      </c>
      <c r="B8" s="3542" t="s">
        <v>102</v>
      </c>
      <c r="C8" s="3514" t="s">
        <v>889</v>
      </c>
      <c r="D8" s="3493">
        <v>45000000</v>
      </c>
      <c r="E8" s="3535">
        <v>0.05</v>
      </c>
      <c r="F8" s="3493">
        <f t="shared" si="1"/>
        <v>2250000</v>
      </c>
      <c r="G8" s="3493">
        <v>2250000</v>
      </c>
      <c r="H8" s="3493" t="s">
        <v>1649</v>
      </c>
      <c r="I8" s="26" t="s">
        <v>409</v>
      </c>
      <c r="J8" s="3493">
        <f t="shared" si="2"/>
        <v>2250000</v>
      </c>
      <c r="K8" s="3493">
        <f t="shared" si="3"/>
        <v>0</v>
      </c>
      <c r="L8" s="737"/>
    </row>
    <row r="9" spans="1:12" ht="30" customHeight="1" x14ac:dyDescent="0.2">
      <c r="A9" s="3496">
        <v>8</v>
      </c>
      <c r="B9" s="62" t="s">
        <v>349</v>
      </c>
      <c r="C9" s="3329" t="s">
        <v>1291</v>
      </c>
      <c r="D9" s="3494">
        <v>400000000</v>
      </c>
      <c r="E9" s="2521">
        <v>4.4999999999999998E-2</v>
      </c>
      <c r="F9" s="3494">
        <f t="shared" si="1"/>
        <v>18000000</v>
      </c>
      <c r="G9" s="3494"/>
      <c r="H9" s="3512"/>
      <c r="I9" s="3330" t="s">
        <v>3739</v>
      </c>
      <c r="J9" s="3512">
        <f t="shared" si="2"/>
        <v>0</v>
      </c>
      <c r="K9" s="3494">
        <f t="shared" si="3"/>
        <v>18000000</v>
      </c>
      <c r="L9" s="2352"/>
    </row>
    <row r="10" spans="1:12" ht="30" customHeight="1" x14ac:dyDescent="0.2">
      <c r="A10" s="3496"/>
      <c r="B10" s="3543" t="s">
        <v>349</v>
      </c>
      <c r="C10" s="3515" t="s">
        <v>1287</v>
      </c>
      <c r="D10" s="3493">
        <v>650000000</v>
      </c>
      <c r="E10" s="3499">
        <v>0.06</v>
      </c>
      <c r="F10" s="3493">
        <f t="shared" si="1"/>
        <v>39000000</v>
      </c>
      <c r="G10" s="3493">
        <v>27000000</v>
      </c>
      <c r="H10" s="3493" t="s">
        <v>5706</v>
      </c>
      <c r="I10" s="24" t="s">
        <v>3739</v>
      </c>
      <c r="J10" s="3493">
        <f>G10</f>
        <v>27000000</v>
      </c>
      <c r="K10" s="3493"/>
      <c r="L10" s="3573" t="s">
        <v>5264</v>
      </c>
    </row>
    <row r="11" spans="1:12" ht="30" customHeight="1" x14ac:dyDescent="0.2">
      <c r="A11" s="4459">
        <v>10</v>
      </c>
      <c r="B11" s="4457" t="s">
        <v>999</v>
      </c>
      <c r="C11" s="4151" t="s">
        <v>1796</v>
      </c>
      <c r="D11" s="3493">
        <v>180000000</v>
      </c>
      <c r="E11" s="3535">
        <v>7.0000000000000007E-2</v>
      </c>
      <c r="F11" s="3493">
        <f t="shared" si="1"/>
        <v>12600000.000000002</v>
      </c>
      <c r="G11" s="3493">
        <v>12600000</v>
      </c>
      <c r="H11" s="3493" t="s">
        <v>5960</v>
      </c>
      <c r="I11" s="24" t="s">
        <v>5284</v>
      </c>
      <c r="J11" s="3493">
        <f t="shared" si="2"/>
        <v>12600000</v>
      </c>
      <c r="K11" s="3493">
        <f t="shared" si="3"/>
        <v>0</v>
      </c>
      <c r="L11" s="180"/>
    </row>
    <row r="12" spans="1:12" ht="30" customHeight="1" x14ac:dyDescent="0.2">
      <c r="A12" s="4464"/>
      <c r="B12" s="4488"/>
      <c r="C12" s="4620"/>
      <c r="D12" s="3493">
        <v>10000000</v>
      </c>
      <c r="E12" s="3535">
        <v>7.0000000000000007E-2</v>
      </c>
      <c r="F12" s="3493">
        <f>D12*E12</f>
        <v>700000.00000000012</v>
      </c>
      <c r="G12" s="3492"/>
      <c r="H12" s="3492"/>
      <c r="I12" s="1611"/>
      <c r="J12" s="3492"/>
      <c r="K12" s="3492"/>
      <c r="L12" s="180" t="s">
        <v>5188</v>
      </c>
    </row>
    <row r="13" spans="1:12" ht="30" customHeight="1" x14ac:dyDescent="0.2">
      <c r="A13" s="4464"/>
      <c r="B13" s="4488"/>
      <c r="C13" s="4620"/>
      <c r="D13" s="3493">
        <v>10000000</v>
      </c>
      <c r="E13" s="3535">
        <v>7.0000000000000007E-2</v>
      </c>
      <c r="F13" s="3493">
        <f>D13*E13</f>
        <v>700000.00000000012</v>
      </c>
      <c r="G13" s="3492"/>
      <c r="H13" s="3492"/>
      <c r="I13" s="1611"/>
      <c r="J13" s="3492"/>
      <c r="K13" s="3492"/>
      <c r="L13" s="180" t="s">
        <v>5189</v>
      </c>
    </row>
    <row r="14" spans="1:12" ht="30" customHeight="1" x14ac:dyDescent="0.2">
      <c r="A14" s="4464"/>
      <c r="B14" s="4488"/>
      <c r="C14" s="4620"/>
      <c r="D14" s="3493">
        <v>10000000</v>
      </c>
      <c r="E14" s="3535">
        <v>7.0000000000000007E-2</v>
      </c>
      <c r="F14" s="3493">
        <f t="shared" si="1"/>
        <v>700000.00000000012</v>
      </c>
      <c r="G14" s="3492"/>
      <c r="H14" s="3492"/>
      <c r="I14" s="1611"/>
      <c r="J14" s="3492"/>
      <c r="K14" s="3492"/>
      <c r="L14" s="180" t="s">
        <v>5186</v>
      </c>
    </row>
    <row r="15" spans="1:12" ht="30" customHeight="1" x14ac:dyDescent="0.2">
      <c r="A15" s="4464"/>
      <c r="B15" s="4488"/>
      <c r="C15" s="4620"/>
      <c r="D15" s="3493">
        <v>10000000</v>
      </c>
      <c r="E15" s="3535">
        <v>7.0000000000000007E-2</v>
      </c>
      <c r="F15" s="3493">
        <f t="shared" si="1"/>
        <v>700000.00000000012</v>
      </c>
      <c r="G15" s="3492"/>
      <c r="H15" s="3492"/>
      <c r="I15" s="1611"/>
      <c r="J15" s="3492"/>
      <c r="K15" s="3492"/>
      <c r="L15" s="180" t="s">
        <v>5187</v>
      </c>
    </row>
    <row r="16" spans="1:12" ht="30" customHeight="1" x14ac:dyDescent="0.2">
      <c r="A16" s="4464"/>
      <c r="B16" s="4488"/>
      <c r="C16" s="4620"/>
      <c r="D16" s="3493">
        <v>10000000</v>
      </c>
      <c r="E16" s="3535">
        <v>7.0000000000000007E-2</v>
      </c>
      <c r="F16" s="3493">
        <f t="shared" si="1"/>
        <v>700000.00000000012</v>
      </c>
      <c r="G16" s="3492"/>
      <c r="H16" s="3492"/>
      <c r="I16" s="1611"/>
      <c r="J16" s="3492"/>
      <c r="K16" s="3492"/>
      <c r="L16" s="180" t="s">
        <v>5190</v>
      </c>
    </row>
    <row r="17" spans="1:12" ht="30" customHeight="1" x14ac:dyDescent="0.2">
      <c r="A17" s="4464"/>
      <c r="B17" s="4488"/>
      <c r="C17" s="4620"/>
      <c r="D17" s="3493">
        <v>10000000</v>
      </c>
      <c r="E17" s="3535">
        <v>7.0000000000000007E-2</v>
      </c>
      <c r="F17" s="3493">
        <f t="shared" si="1"/>
        <v>700000.00000000012</v>
      </c>
      <c r="G17" s="3492"/>
      <c r="H17" s="3492"/>
      <c r="I17" s="1611"/>
      <c r="J17" s="3492"/>
      <c r="K17" s="3492"/>
      <c r="L17" s="180" t="s">
        <v>5191</v>
      </c>
    </row>
    <row r="18" spans="1:12" ht="30" customHeight="1" x14ac:dyDescent="0.2">
      <c r="A18" s="4460"/>
      <c r="B18" s="4458"/>
      <c r="C18" s="4620"/>
      <c r="D18" s="2655">
        <v>60000000</v>
      </c>
      <c r="E18" s="3829">
        <v>7.0000000000000007E-2</v>
      </c>
      <c r="F18" s="2655">
        <f>D18*E18</f>
        <v>4200000</v>
      </c>
      <c r="G18" s="3492"/>
      <c r="H18" s="3492"/>
      <c r="I18" s="1611"/>
      <c r="J18" s="3492"/>
      <c r="K18" s="3492"/>
      <c r="L18" s="180" t="s">
        <v>5213</v>
      </c>
    </row>
    <row r="19" spans="1:12" ht="30" customHeight="1" x14ac:dyDescent="0.2">
      <c r="A19" s="3783"/>
      <c r="B19" s="3786" t="s">
        <v>5573</v>
      </c>
      <c r="C19" s="3801"/>
      <c r="D19" s="3800">
        <v>25000000</v>
      </c>
      <c r="E19" s="3815">
        <v>7.0000000000000007E-2</v>
      </c>
      <c r="F19" s="3800">
        <f>D19*E19</f>
        <v>1750000.0000000002</v>
      </c>
      <c r="G19" s="3800"/>
      <c r="H19" s="3800"/>
      <c r="I19" s="234"/>
      <c r="J19" s="3800"/>
      <c r="K19" s="3800"/>
      <c r="L19" s="180" t="s">
        <v>5574</v>
      </c>
    </row>
    <row r="20" spans="1:12" ht="30" customHeight="1" x14ac:dyDescent="0.2">
      <c r="A20" s="4459">
        <v>11</v>
      </c>
      <c r="B20" s="4615" t="s">
        <v>393</v>
      </c>
      <c r="C20" s="4537" t="s">
        <v>359</v>
      </c>
      <c r="D20" s="3524">
        <v>15000000</v>
      </c>
      <c r="E20" s="3535">
        <v>7.0000000000000007E-2</v>
      </c>
      <c r="F20" s="3524">
        <f t="shared" si="1"/>
        <v>1050000</v>
      </c>
      <c r="G20" s="4413">
        <v>1300000</v>
      </c>
      <c r="H20" s="4413" t="s">
        <v>1879</v>
      </c>
      <c r="I20" s="4898" t="s">
        <v>394</v>
      </c>
      <c r="J20" s="4413">
        <f>G20+G21</f>
        <v>1300000</v>
      </c>
      <c r="K20" s="4413">
        <v>0</v>
      </c>
      <c r="L20" s="4492"/>
    </row>
    <row r="21" spans="1:12" ht="30" customHeight="1" x14ac:dyDescent="0.2">
      <c r="A21" s="4464"/>
      <c r="B21" s="4615"/>
      <c r="C21" s="4538"/>
      <c r="D21" s="3524">
        <v>5000000</v>
      </c>
      <c r="E21" s="3535">
        <v>0.05</v>
      </c>
      <c r="F21" s="3524">
        <f t="shared" si="1"/>
        <v>250000</v>
      </c>
      <c r="G21" s="4415"/>
      <c r="H21" s="4415"/>
      <c r="I21" s="4899"/>
      <c r="J21" s="4415"/>
      <c r="K21" s="4415"/>
      <c r="L21" s="4493"/>
    </row>
    <row r="22" spans="1:12" ht="30" customHeight="1" x14ac:dyDescent="0.2">
      <c r="A22" s="1029">
        <v>12</v>
      </c>
      <c r="B22" s="3542" t="s">
        <v>399</v>
      </c>
      <c r="C22" s="3515" t="s">
        <v>1172</v>
      </c>
      <c r="D22" s="3493">
        <v>75000000</v>
      </c>
      <c r="E22" s="3499">
        <f>F22/D22</f>
        <v>5.3333333333333337E-2</v>
      </c>
      <c r="F22" s="3493">
        <v>4000000</v>
      </c>
      <c r="G22" s="3493">
        <v>4000000</v>
      </c>
      <c r="H22" s="3493" t="s">
        <v>5437</v>
      </c>
      <c r="I22" s="52" t="s">
        <v>3728</v>
      </c>
      <c r="J22" s="3493">
        <f>G22</f>
        <v>4000000</v>
      </c>
      <c r="K22" s="3493">
        <f>F22-J22</f>
        <v>0</v>
      </c>
      <c r="L22" s="3505"/>
    </row>
    <row r="23" spans="1:12" ht="30" customHeight="1" x14ac:dyDescent="0.2">
      <c r="A23" s="3538"/>
      <c r="B23" s="19" t="s">
        <v>420</v>
      </c>
      <c r="C23" s="3541" t="s">
        <v>359</v>
      </c>
      <c r="D23" s="3524">
        <v>100000000</v>
      </c>
      <c r="E23" s="3535">
        <v>7.0000000000000007E-2</v>
      </c>
      <c r="F23" s="3524">
        <f t="shared" ref="F23:F33" si="4">D23*E23</f>
        <v>7000000.0000000009</v>
      </c>
      <c r="G23" s="1456">
        <v>7000000</v>
      </c>
      <c r="H23" s="1456" t="s">
        <v>5370</v>
      </c>
      <c r="I23" s="1456" t="s">
        <v>1946</v>
      </c>
      <c r="J23" s="3524">
        <f>G23</f>
        <v>7000000</v>
      </c>
      <c r="K23" s="3524">
        <f>F23-J23</f>
        <v>0</v>
      </c>
      <c r="L23" s="3573"/>
    </row>
    <row r="24" spans="1:12" ht="30" customHeight="1" x14ac:dyDescent="0.2">
      <c r="A24" s="3497">
        <v>14</v>
      </c>
      <c r="B24" s="3502" t="s">
        <v>428</v>
      </c>
      <c r="C24" s="3515" t="s">
        <v>1300</v>
      </c>
      <c r="D24" s="3493">
        <v>150000000</v>
      </c>
      <c r="E24" s="3499">
        <v>0.04</v>
      </c>
      <c r="F24" s="3493">
        <f t="shared" si="4"/>
        <v>6000000</v>
      </c>
      <c r="G24" s="3493">
        <v>6000000</v>
      </c>
      <c r="H24" s="3493" t="s">
        <v>5593</v>
      </c>
      <c r="I24" s="64" t="s">
        <v>4063</v>
      </c>
      <c r="J24" s="3493">
        <f t="shared" ref="J24:J34" si="5">G24</f>
        <v>6000000</v>
      </c>
      <c r="K24" s="3493">
        <f t="shared" ref="K24:K33" si="6">F24-J24</f>
        <v>0</v>
      </c>
      <c r="L24" s="3508"/>
    </row>
    <row r="25" spans="1:12" ht="30" customHeight="1" x14ac:dyDescent="0.2">
      <c r="A25" s="3497"/>
      <c r="B25" s="3502" t="s">
        <v>4728</v>
      </c>
      <c r="C25" s="3515" t="s">
        <v>1299</v>
      </c>
      <c r="D25" s="3493">
        <v>350000000</v>
      </c>
      <c r="E25" s="3499">
        <v>7.0000000000000007E-2</v>
      </c>
      <c r="F25" s="3493">
        <f t="shared" si="4"/>
        <v>24500000.000000004</v>
      </c>
      <c r="G25" s="3493">
        <v>24500000</v>
      </c>
      <c r="H25" s="3493" t="s">
        <v>6007</v>
      </c>
      <c r="I25" s="64" t="s">
        <v>4816</v>
      </c>
      <c r="J25" s="3493">
        <f>G25</f>
        <v>24500000</v>
      </c>
      <c r="K25" s="3493">
        <f>F25-J25</f>
        <v>0</v>
      </c>
      <c r="L25" s="3505"/>
    </row>
    <row r="26" spans="1:12" ht="30" customHeight="1" x14ac:dyDescent="0.2">
      <c r="A26" s="4459">
        <v>15</v>
      </c>
      <c r="B26" s="4457" t="s">
        <v>436</v>
      </c>
      <c r="C26" s="4537" t="s">
        <v>1300</v>
      </c>
      <c r="D26" s="3493">
        <v>13000000</v>
      </c>
      <c r="E26" s="3499">
        <v>0.05</v>
      </c>
      <c r="F26" s="3493">
        <f t="shared" si="4"/>
        <v>650000</v>
      </c>
      <c r="G26" s="3493">
        <v>650000</v>
      </c>
      <c r="H26" s="3493" t="s">
        <v>1972</v>
      </c>
      <c r="I26" s="64" t="s">
        <v>2092</v>
      </c>
      <c r="J26" s="3493">
        <f t="shared" si="5"/>
        <v>650000</v>
      </c>
      <c r="K26" s="3493">
        <f t="shared" si="6"/>
        <v>0</v>
      </c>
      <c r="L26" s="3958" t="s">
        <v>5714</v>
      </c>
    </row>
    <row r="27" spans="1:12" ht="30" customHeight="1" x14ac:dyDescent="0.2">
      <c r="A27" s="4460"/>
      <c r="B27" s="4458"/>
      <c r="C27" s="4538"/>
      <c r="D27" s="3954">
        <v>100000000</v>
      </c>
      <c r="E27" s="3957">
        <v>0.05</v>
      </c>
      <c r="F27" s="3954">
        <f t="shared" si="4"/>
        <v>5000000</v>
      </c>
      <c r="G27" s="3954"/>
      <c r="H27" s="3954"/>
      <c r="I27" s="64"/>
      <c r="J27" s="3954"/>
      <c r="K27" s="3954"/>
      <c r="L27" s="3958" t="s">
        <v>5715</v>
      </c>
    </row>
    <row r="28" spans="1:12" ht="30" customHeight="1" x14ac:dyDescent="0.2">
      <c r="A28" s="3538">
        <v>16</v>
      </c>
      <c r="B28" s="19" t="s">
        <v>487</v>
      </c>
      <c r="C28" s="3541" t="s">
        <v>1718</v>
      </c>
      <c r="D28" s="3524">
        <v>80000000</v>
      </c>
      <c r="E28" s="3535">
        <v>0.04</v>
      </c>
      <c r="F28" s="3524">
        <f t="shared" si="4"/>
        <v>3200000</v>
      </c>
      <c r="G28" s="3524">
        <v>3200000</v>
      </c>
      <c r="H28" s="3524" t="s">
        <v>5437</v>
      </c>
      <c r="I28" s="3577" t="s">
        <v>4001</v>
      </c>
      <c r="J28" s="3524">
        <f t="shared" si="5"/>
        <v>3200000</v>
      </c>
      <c r="K28" s="3524">
        <f t="shared" si="6"/>
        <v>0</v>
      </c>
      <c r="L28" s="3590"/>
    </row>
    <row r="29" spans="1:12" ht="30" customHeight="1" x14ac:dyDescent="0.2">
      <c r="A29" s="4459">
        <v>17</v>
      </c>
      <c r="B29" s="4457" t="s">
        <v>747</v>
      </c>
      <c r="C29" s="4537" t="s">
        <v>1289</v>
      </c>
      <c r="D29" s="3493">
        <v>100000000</v>
      </c>
      <c r="E29" s="3499">
        <v>0.06</v>
      </c>
      <c r="F29" s="3493">
        <f t="shared" si="4"/>
        <v>6000000</v>
      </c>
      <c r="G29" s="5129" t="s">
        <v>5645</v>
      </c>
      <c r="H29" s="5130"/>
      <c r="I29" s="5130"/>
      <c r="J29" s="5131"/>
      <c r="K29" s="3493">
        <f t="shared" si="6"/>
        <v>6000000</v>
      </c>
      <c r="L29" s="3508"/>
    </row>
    <row r="30" spans="1:12" ht="30" customHeight="1" x14ac:dyDescent="0.2">
      <c r="A30" s="4464"/>
      <c r="B30" s="4488"/>
      <c r="C30" s="4540"/>
      <c r="D30" s="3881">
        <v>6000000</v>
      </c>
      <c r="E30" s="3883">
        <v>0.06</v>
      </c>
      <c r="F30" s="3881">
        <f t="shared" si="4"/>
        <v>360000</v>
      </c>
      <c r="G30" s="5132"/>
      <c r="H30" s="5133"/>
      <c r="I30" s="5133"/>
      <c r="J30" s="5134"/>
      <c r="K30" s="3881">
        <f t="shared" si="6"/>
        <v>360000</v>
      </c>
      <c r="L30" s="3885"/>
    </row>
    <row r="31" spans="1:12" ht="30" customHeight="1" x14ac:dyDescent="0.2">
      <c r="A31" s="4464"/>
      <c r="B31" s="4488"/>
      <c r="C31" s="4540"/>
      <c r="D31" s="3881">
        <v>44000000</v>
      </c>
      <c r="E31" s="3883">
        <v>0.06</v>
      </c>
      <c r="F31" s="3881">
        <f t="shared" si="4"/>
        <v>2640000</v>
      </c>
      <c r="G31" s="4893" t="s">
        <v>5646</v>
      </c>
      <c r="H31" s="4894"/>
      <c r="I31" s="4894"/>
      <c r="J31" s="4895"/>
      <c r="K31" s="3881">
        <f t="shared" si="6"/>
        <v>2640000</v>
      </c>
      <c r="L31" s="3885"/>
    </row>
    <row r="32" spans="1:12" ht="30" customHeight="1" x14ac:dyDescent="0.2">
      <c r="A32" s="4460"/>
      <c r="B32" s="4458"/>
      <c r="C32" s="4538"/>
      <c r="D32" s="3978">
        <f>SUM(D29:D31)</f>
        <v>150000000</v>
      </c>
      <c r="E32" s="3979">
        <v>0.06</v>
      </c>
      <c r="F32" s="3978">
        <f>D32*E32</f>
        <v>9000000</v>
      </c>
      <c r="G32" s="3881"/>
      <c r="H32" s="3881"/>
      <c r="I32" s="64"/>
      <c r="J32" s="3881"/>
      <c r="K32" s="3881">
        <f t="shared" si="6"/>
        <v>9000000</v>
      </c>
      <c r="L32" s="3885"/>
    </row>
    <row r="33" spans="1:14" ht="30" customHeight="1" x14ac:dyDescent="0.2">
      <c r="A33" s="3497">
        <v>18</v>
      </c>
      <c r="B33" s="3502" t="s">
        <v>554</v>
      </c>
      <c r="C33" s="3515" t="s">
        <v>1300</v>
      </c>
      <c r="D33" s="3493">
        <v>50000000</v>
      </c>
      <c r="E33" s="3499">
        <v>0.05</v>
      </c>
      <c r="F33" s="3493">
        <f t="shared" si="4"/>
        <v>2500000</v>
      </c>
      <c r="G33" s="3493">
        <v>2500000</v>
      </c>
      <c r="H33" s="3493" t="s">
        <v>5706</v>
      </c>
      <c r="I33" s="64" t="s">
        <v>4473</v>
      </c>
      <c r="J33" s="3493">
        <f t="shared" si="5"/>
        <v>2500000</v>
      </c>
      <c r="K33" s="3493">
        <f t="shared" si="6"/>
        <v>0</v>
      </c>
      <c r="L33" s="3508"/>
    </row>
    <row r="34" spans="1:14" ht="30" customHeight="1" x14ac:dyDescent="0.2">
      <c r="A34" s="4614">
        <v>19</v>
      </c>
      <c r="B34" s="4457" t="s">
        <v>560</v>
      </c>
      <c r="C34" s="4537" t="s">
        <v>1300</v>
      </c>
      <c r="D34" s="3493">
        <v>50000000</v>
      </c>
      <c r="E34" s="4476">
        <f>F34/(D34+D35)</f>
        <v>0.05</v>
      </c>
      <c r="F34" s="4413">
        <v>3250000</v>
      </c>
      <c r="G34" s="4413">
        <v>4750000</v>
      </c>
      <c r="H34" s="4413" t="s">
        <v>5706</v>
      </c>
      <c r="I34" s="4568" t="s">
        <v>4403</v>
      </c>
      <c r="J34" s="4413">
        <f t="shared" si="5"/>
        <v>4750000</v>
      </c>
      <c r="K34" s="4413">
        <f>(F34+F36)-G34</f>
        <v>0</v>
      </c>
      <c r="L34" s="3560"/>
    </row>
    <row r="35" spans="1:14" ht="30" customHeight="1" x14ac:dyDescent="0.2">
      <c r="A35" s="4614"/>
      <c r="B35" s="4488"/>
      <c r="C35" s="4540"/>
      <c r="D35" s="3493">
        <v>15000000</v>
      </c>
      <c r="E35" s="4477"/>
      <c r="F35" s="4415"/>
      <c r="G35" s="4414"/>
      <c r="H35" s="4414"/>
      <c r="I35" s="4906"/>
      <c r="J35" s="4414"/>
      <c r="K35" s="4414"/>
      <c r="L35" s="3560"/>
    </row>
    <row r="36" spans="1:14" ht="30" customHeight="1" x14ac:dyDescent="0.2">
      <c r="A36" s="4614"/>
      <c r="B36" s="4458"/>
      <c r="C36" s="4538"/>
      <c r="D36" s="3493">
        <v>30000000</v>
      </c>
      <c r="E36" s="3499">
        <v>0.05</v>
      </c>
      <c r="F36" s="3493">
        <f>E36*D36</f>
        <v>1500000</v>
      </c>
      <c r="G36" s="4415"/>
      <c r="H36" s="4415"/>
      <c r="I36" s="4569"/>
      <c r="J36" s="4415"/>
      <c r="K36" s="4415"/>
      <c r="L36" s="3560"/>
    </row>
    <row r="37" spans="1:14" ht="30" customHeight="1" x14ac:dyDescent="0.2">
      <c r="A37" s="4459">
        <v>22</v>
      </c>
      <c r="B37" s="4457" t="s">
        <v>658</v>
      </c>
      <c r="C37" s="4537" t="s">
        <v>1287</v>
      </c>
      <c r="D37" s="4413">
        <v>300000000</v>
      </c>
      <c r="E37" s="4476">
        <v>0.05</v>
      </c>
      <c r="F37" s="4413">
        <f>D37*E37</f>
        <v>15000000</v>
      </c>
      <c r="G37" s="5135" t="s">
        <v>5739</v>
      </c>
      <c r="H37" s="5136"/>
      <c r="I37" s="5136"/>
      <c r="J37" s="5137"/>
      <c r="K37" s="3524">
        <f>F37-J37</f>
        <v>15000000</v>
      </c>
      <c r="L37" s="3590"/>
    </row>
    <row r="38" spans="1:14" ht="30" customHeight="1" x14ac:dyDescent="0.2">
      <c r="A38" s="4460"/>
      <c r="B38" s="4458"/>
      <c r="C38" s="4538"/>
      <c r="D38" s="4415"/>
      <c r="E38" s="4477"/>
      <c r="F38" s="4415"/>
      <c r="G38" s="3493">
        <v>10000000</v>
      </c>
      <c r="H38" s="3520" t="s">
        <v>1972</v>
      </c>
      <c r="I38" s="64" t="s">
        <v>2168</v>
      </c>
      <c r="J38" s="3524">
        <f>G38</f>
        <v>10000000</v>
      </c>
      <c r="K38" s="3524"/>
      <c r="L38" s="3504"/>
    </row>
    <row r="39" spans="1:14" ht="30" customHeight="1" x14ac:dyDescent="0.2">
      <c r="A39" s="1029">
        <v>23</v>
      </c>
      <c r="B39" s="19" t="s">
        <v>2121</v>
      </c>
      <c r="C39" s="3541" t="s">
        <v>3390</v>
      </c>
      <c r="D39" s="3493">
        <v>150000000</v>
      </c>
      <c r="E39" s="3499">
        <v>7.0000000000000007E-2</v>
      </c>
      <c r="F39" s="3493">
        <f>D39*E39</f>
        <v>10500000.000000002</v>
      </c>
      <c r="G39" s="3493">
        <v>10500000</v>
      </c>
      <c r="H39" s="3520" t="s">
        <v>5848</v>
      </c>
      <c r="I39" s="64" t="s">
        <v>3704</v>
      </c>
      <c r="J39" s="3524">
        <f>G39</f>
        <v>10500000</v>
      </c>
      <c r="K39" s="3524">
        <f>F39-G39</f>
        <v>0</v>
      </c>
      <c r="L39" s="638"/>
    </row>
    <row r="40" spans="1:14" ht="30" customHeight="1" x14ac:dyDescent="0.2">
      <c r="A40" s="1029"/>
      <c r="B40" s="19" t="s">
        <v>3618</v>
      </c>
      <c r="C40" s="3541" t="s">
        <v>3390</v>
      </c>
      <c r="D40" s="3493">
        <v>70000000</v>
      </c>
      <c r="E40" s="3499">
        <v>0.06</v>
      </c>
      <c r="F40" s="3493">
        <f>D40*E40</f>
        <v>4200000</v>
      </c>
      <c r="G40" s="3493">
        <v>4200000</v>
      </c>
      <c r="H40" s="3520" t="s">
        <v>5848</v>
      </c>
      <c r="I40" s="64" t="s">
        <v>3705</v>
      </c>
      <c r="J40" s="3524">
        <f>G40</f>
        <v>4200000</v>
      </c>
      <c r="K40" s="3493">
        <v>0</v>
      </c>
      <c r="L40" s="29"/>
    </row>
    <row r="41" spans="1:14" ht="30" customHeight="1" x14ac:dyDescent="0.2">
      <c r="A41" s="4459"/>
      <c r="B41" s="4457" t="s">
        <v>702</v>
      </c>
      <c r="C41" s="4537"/>
      <c r="D41" s="4325" t="s">
        <v>5979</v>
      </c>
      <c r="E41" s="4326"/>
      <c r="F41" s="4563"/>
      <c r="G41" s="4169">
        <v>30000000</v>
      </c>
      <c r="H41" s="4610" t="s">
        <v>5980</v>
      </c>
      <c r="I41" s="5012"/>
      <c r="J41" s="4476">
        <f>G41+G42+G43</f>
        <v>100000000</v>
      </c>
      <c r="K41" s="4413">
        <f>100000000-J41</f>
        <v>0</v>
      </c>
      <c r="L41" s="4051" t="s">
        <v>5827</v>
      </c>
    </row>
    <row r="42" spans="1:14" ht="30" customHeight="1" x14ac:dyDescent="0.2">
      <c r="A42" s="4464"/>
      <c r="B42" s="4488"/>
      <c r="C42" s="4540"/>
      <c r="D42" s="4612"/>
      <c r="E42" s="4359"/>
      <c r="F42" s="4613"/>
      <c r="G42" s="4169">
        <v>35000000</v>
      </c>
      <c r="H42" s="4182" t="s">
        <v>5974</v>
      </c>
      <c r="I42" s="4182" t="s">
        <v>5981</v>
      </c>
      <c r="J42" s="4516"/>
      <c r="K42" s="4414"/>
      <c r="L42" s="4194"/>
    </row>
    <row r="43" spans="1:14" ht="30" customHeight="1" x14ac:dyDescent="0.2">
      <c r="A43" s="4460"/>
      <c r="B43" s="4458"/>
      <c r="C43" s="4538"/>
      <c r="D43" s="4564"/>
      <c r="E43" s="4596"/>
      <c r="F43" s="4565"/>
      <c r="G43" s="4198">
        <v>35000000</v>
      </c>
      <c r="H43" s="4200" t="s">
        <v>6007</v>
      </c>
      <c r="I43" s="4200" t="s">
        <v>5981</v>
      </c>
      <c r="J43" s="4477"/>
      <c r="K43" s="4415"/>
      <c r="L43" s="4194"/>
    </row>
    <row r="44" spans="1:14" ht="30" customHeight="1" x14ac:dyDescent="0.2">
      <c r="A44" s="4614">
        <v>25</v>
      </c>
      <c r="B44" s="4615" t="s">
        <v>718</v>
      </c>
      <c r="C44" s="4620" t="s">
        <v>1296</v>
      </c>
      <c r="D44" s="3997">
        <v>35000000</v>
      </c>
      <c r="E44" s="4015">
        <v>5.8000000000000003E-2</v>
      </c>
      <c r="F44" s="3997">
        <v>2000000</v>
      </c>
      <c r="G44" s="3493">
        <v>2000000</v>
      </c>
      <c r="H44" s="3520" t="s">
        <v>5859</v>
      </c>
      <c r="I44" s="64" t="s">
        <v>4137</v>
      </c>
      <c r="J44" s="3493">
        <f>G44</f>
        <v>2000000</v>
      </c>
      <c r="K44" s="3493">
        <f>F44-G44</f>
        <v>0</v>
      </c>
      <c r="L44" s="3505" t="s">
        <v>5782</v>
      </c>
      <c r="M44" s="366"/>
      <c r="N44" s="366"/>
    </row>
    <row r="45" spans="1:14" ht="30" customHeight="1" x14ac:dyDescent="0.2">
      <c r="A45" s="4614"/>
      <c r="B45" s="4615"/>
      <c r="C45" s="4620"/>
      <c r="D45" s="3997">
        <v>25000000</v>
      </c>
      <c r="E45" s="4015">
        <v>0.06</v>
      </c>
      <c r="F45" s="3997">
        <f>D45*E45</f>
        <v>1500000</v>
      </c>
      <c r="G45" s="4469" t="s">
        <v>5880</v>
      </c>
      <c r="H45" s="4470"/>
      <c r="I45" s="4470"/>
      <c r="J45" s="4471"/>
      <c r="K45" s="3999"/>
      <c r="L45" s="4022"/>
      <c r="M45" s="366"/>
      <c r="N45" s="366"/>
    </row>
    <row r="46" spans="1:14" ht="30" customHeight="1" x14ac:dyDescent="0.2">
      <c r="A46" s="4614"/>
      <c r="B46" s="4615"/>
      <c r="C46" s="4620"/>
      <c r="D46" s="4029">
        <v>60000000</v>
      </c>
      <c r="E46" s="897">
        <v>5.8000000000000003E-2</v>
      </c>
      <c r="F46" s="4029">
        <v>3500000</v>
      </c>
      <c r="G46" s="4469" t="s">
        <v>5806</v>
      </c>
      <c r="H46" s="4470"/>
      <c r="I46" s="4470"/>
      <c r="J46" s="4471"/>
      <c r="K46" s="3997"/>
      <c r="L46" s="4022" t="s">
        <v>5783</v>
      </c>
      <c r="M46" s="366"/>
      <c r="N46" s="366"/>
    </row>
    <row r="47" spans="1:14" ht="30" customHeight="1" x14ac:dyDescent="0.2">
      <c r="A47" s="3503"/>
      <c r="B47" s="3506" t="s">
        <v>803</v>
      </c>
      <c r="C47" s="3525" t="s">
        <v>359</v>
      </c>
      <c r="D47" s="3492">
        <v>700000000</v>
      </c>
      <c r="E47" s="3509">
        <v>0.05</v>
      </c>
      <c r="F47" s="3492">
        <f t="shared" ref="F47:F61" si="7">D47*E47</f>
        <v>35000000</v>
      </c>
      <c r="G47" s="3524">
        <v>35000000</v>
      </c>
      <c r="H47" s="3524" t="s">
        <v>1879</v>
      </c>
      <c r="I47" s="3524" t="s">
        <v>3156</v>
      </c>
      <c r="J47" s="3524">
        <f>G47</f>
        <v>35000000</v>
      </c>
      <c r="K47" s="3492">
        <f>F47-J47</f>
        <v>0</v>
      </c>
      <c r="L47" s="737"/>
      <c r="M47" s="366"/>
      <c r="N47" s="366"/>
    </row>
    <row r="48" spans="1:14" ht="30" customHeight="1" x14ac:dyDescent="0.2">
      <c r="A48" s="4459">
        <v>27</v>
      </c>
      <c r="B48" s="4457" t="s">
        <v>807</v>
      </c>
      <c r="C48" s="4537" t="s">
        <v>1299</v>
      </c>
      <c r="D48" s="3491">
        <v>500000000</v>
      </c>
      <c r="E48" s="3498">
        <v>7.0000000000000007E-2</v>
      </c>
      <c r="F48" s="3491">
        <f t="shared" si="7"/>
        <v>35000000</v>
      </c>
      <c r="G48" s="4413">
        <v>45500000</v>
      </c>
      <c r="H48" s="4413" t="s">
        <v>2341</v>
      </c>
      <c r="I48" s="4568" t="s">
        <v>3034</v>
      </c>
      <c r="J48" s="4413">
        <f t="shared" ref="J48:J58" si="8">G48</f>
        <v>45500000</v>
      </c>
      <c r="K48" s="4413">
        <f>F51-J48</f>
        <v>0</v>
      </c>
      <c r="L48" s="737" t="s">
        <v>5590</v>
      </c>
      <c r="M48" s="366"/>
      <c r="N48" s="366"/>
    </row>
    <row r="49" spans="1:14" ht="30" customHeight="1" x14ac:dyDescent="0.2">
      <c r="A49" s="4464"/>
      <c r="B49" s="4488"/>
      <c r="C49" s="4540"/>
      <c r="D49" s="3789">
        <v>500000000</v>
      </c>
      <c r="E49" s="3790">
        <v>0.05</v>
      </c>
      <c r="F49" s="3789">
        <f>D49*E49</f>
        <v>25000000</v>
      </c>
      <c r="G49" s="4414"/>
      <c r="H49" s="4414"/>
      <c r="I49" s="4906"/>
      <c r="J49" s="4414"/>
      <c r="K49" s="4414"/>
      <c r="L49" s="737" t="s">
        <v>5591</v>
      </c>
      <c r="M49" s="366"/>
      <c r="N49" s="366"/>
    </row>
    <row r="50" spans="1:14" ht="30" customHeight="1" x14ac:dyDescent="0.2">
      <c r="A50" s="4464"/>
      <c r="B50" s="4488"/>
      <c r="C50" s="4540"/>
      <c r="D50" s="3491">
        <v>150000000</v>
      </c>
      <c r="E50" s="3498">
        <v>7.0000000000000007E-2</v>
      </c>
      <c r="F50" s="3491">
        <f>D50*E50</f>
        <v>10500000.000000002</v>
      </c>
      <c r="G50" s="4414"/>
      <c r="H50" s="4414"/>
      <c r="I50" s="4906"/>
      <c r="J50" s="4414"/>
      <c r="K50" s="4414"/>
      <c r="L50" s="737" t="s">
        <v>5592</v>
      </c>
      <c r="M50" s="366"/>
      <c r="N50" s="366"/>
    </row>
    <row r="51" spans="1:14" ht="30" customHeight="1" x14ac:dyDescent="0.2">
      <c r="A51" s="4460"/>
      <c r="B51" s="4458"/>
      <c r="C51" s="4538"/>
      <c r="D51" s="3581">
        <f>D48+D50</f>
        <v>650000000</v>
      </c>
      <c r="E51" s="3583">
        <v>7.0000000000000007E-2</v>
      </c>
      <c r="F51" s="3581">
        <f>D51*E51</f>
        <v>45500000.000000007</v>
      </c>
      <c r="G51" s="4415"/>
      <c r="H51" s="4415"/>
      <c r="I51" s="4569"/>
      <c r="J51" s="4415"/>
      <c r="K51" s="4415"/>
      <c r="L51" s="737" t="s">
        <v>5209</v>
      </c>
      <c r="M51" s="366"/>
      <c r="N51" s="366"/>
    </row>
    <row r="52" spans="1:14" ht="30" customHeight="1" x14ac:dyDescent="0.2">
      <c r="A52" s="4459"/>
      <c r="B52" s="4457" t="s">
        <v>3369</v>
      </c>
      <c r="C52" s="4537" t="s">
        <v>1299</v>
      </c>
      <c r="D52" s="4322">
        <v>700000000</v>
      </c>
      <c r="E52" s="4608">
        <v>0.06</v>
      </c>
      <c r="F52" s="4322">
        <f t="shared" si="7"/>
        <v>42000000</v>
      </c>
      <c r="G52" s="3524">
        <v>10000000</v>
      </c>
      <c r="H52" s="3524" t="s">
        <v>1013</v>
      </c>
      <c r="I52" s="3524" t="s">
        <v>821</v>
      </c>
      <c r="J52" s="3524">
        <f>G52</f>
        <v>10000000</v>
      </c>
      <c r="K52" s="3524"/>
      <c r="L52" s="3505" t="s">
        <v>5199</v>
      </c>
      <c r="M52" s="366"/>
      <c r="N52" s="366"/>
    </row>
    <row r="53" spans="1:14" ht="30" customHeight="1" x14ac:dyDescent="0.2">
      <c r="A53" s="4464"/>
      <c r="B53" s="4488"/>
      <c r="C53" s="4540"/>
      <c r="D53" s="4322"/>
      <c r="E53" s="4608"/>
      <c r="F53" s="4322"/>
      <c r="G53" s="3493">
        <v>16000000</v>
      </c>
      <c r="H53" s="3520" t="s">
        <v>5643</v>
      </c>
      <c r="I53" s="3952" t="s">
        <v>820</v>
      </c>
      <c r="J53" s="4322">
        <f>G53+G54</f>
        <v>36000000</v>
      </c>
      <c r="K53" s="4413">
        <f>F52-6000000-J53</f>
        <v>0</v>
      </c>
      <c r="L53" s="4492" t="s">
        <v>5705</v>
      </c>
      <c r="M53" s="366"/>
      <c r="N53" s="366"/>
    </row>
    <row r="54" spans="1:14" ht="30" customHeight="1" x14ac:dyDescent="0.2">
      <c r="A54" s="4464"/>
      <c r="B54" s="4488"/>
      <c r="C54" s="4540"/>
      <c r="D54" s="4322"/>
      <c r="E54" s="4608"/>
      <c r="F54" s="4322"/>
      <c r="G54" s="3493">
        <v>20000000</v>
      </c>
      <c r="H54" s="4014" t="s">
        <v>5744</v>
      </c>
      <c r="I54" s="233" t="s">
        <v>820</v>
      </c>
      <c r="J54" s="4322"/>
      <c r="K54" s="4415"/>
      <c r="L54" s="4493"/>
      <c r="M54" s="366"/>
      <c r="N54" s="366"/>
    </row>
    <row r="55" spans="1:14" ht="30" customHeight="1" x14ac:dyDescent="0.2">
      <c r="A55" s="3585">
        <v>29</v>
      </c>
      <c r="B55" s="3542" t="s">
        <v>839</v>
      </c>
      <c r="C55" s="3514" t="s">
        <v>1306</v>
      </c>
      <c r="D55" s="3492">
        <v>42000000</v>
      </c>
      <c r="E55" s="3509">
        <v>7.0000000000000007E-2</v>
      </c>
      <c r="F55" s="3492">
        <f t="shared" si="7"/>
        <v>2940000.0000000005</v>
      </c>
      <c r="G55" s="3492">
        <v>2940000</v>
      </c>
      <c r="H55" s="3537" t="s">
        <v>5859</v>
      </c>
      <c r="I55" s="1538" t="s">
        <v>5861</v>
      </c>
      <c r="J55" s="3492">
        <f t="shared" si="8"/>
        <v>2940000</v>
      </c>
      <c r="K55" s="3492">
        <f t="shared" ref="K55:K58" si="9">F55-J55</f>
        <v>0</v>
      </c>
      <c r="L55" s="3560"/>
      <c r="M55" s="366"/>
      <c r="N55" s="366"/>
    </row>
    <row r="56" spans="1:14" s="1540" customFormat="1" ht="30" customHeight="1" x14ac:dyDescent="0.2">
      <c r="A56" s="4459">
        <v>30</v>
      </c>
      <c r="B56" s="4615" t="s">
        <v>843</v>
      </c>
      <c r="C56" s="4620" t="s">
        <v>1107</v>
      </c>
      <c r="D56" s="4413">
        <v>40000000</v>
      </c>
      <c r="E56" s="4476">
        <v>0.05</v>
      </c>
      <c r="F56" s="4413">
        <f t="shared" si="7"/>
        <v>2000000</v>
      </c>
      <c r="G56" s="4114">
        <v>1600000</v>
      </c>
      <c r="H56" s="4114" t="s">
        <v>5859</v>
      </c>
      <c r="I56" s="4126" t="s">
        <v>3105</v>
      </c>
      <c r="J56" s="4413">
        <f>G56+G57</f>
        <v>2000000</v>
      </c>
      <c r="K56" s="4322">
        <f>F56-J56</f>
        <v>0</v>
      </c>
      <c r="L56" s="737"/>
      <c r="M56" s="9"/>
      <c r="N56" s="9"/>
    </row>
    <row r="57" spans="1:14" ht="30" customHeight="1" x14ac:dyDescent="0.2">
      <c r="A57" s="4464"/>
      <c r="B57" s="4615"/>
      <c r="C57" s="4620"/>
      <c r="D57" s="4415"/>
      <c r="E57" s="4477"/>
      <c r="F57" s="4415"/>
      <c r="G57" s="4118">
        <v>400000</v>
      </c>
      <c r="H57" s="4119" t="s">
        <v>5859</v>
      </c>
      <c r="I57" s="64" t="s">
        <v>3105</v>
      </c>
      <c r="J57" s="4415"/>
      <c r="K57" s="4322"/>
      <c r="L57" s="180"/>
      <c r="M57" s="366"/>
      <c r="N57" s="366"/>
    </row>
    <row r="58" spans="1:14" ht="30" customHeight="1" x14ac:dyDescent="0.2">
      <c r="A58" s="3496">
        <v>31</v>
      </c>
      <c r="B58" s="3542" t="s">
        <v>915</v>
      </c>
      <c r="C58" s="3514"/>
      <c r="D58" s="3524">
        <v>100000000</v>
      </c>
      <c r="E58" s="3535">
        <v>7.0000000000000007E-2</v>
      </c>
      <c r="F58" s="3524">
        <f t="shared" si="7"/>
        <v>7000000.0000000009</v>
      </c>
      <c r="G58" s="3493">
        <v>7000000</v>
      </c>
      <c r="H58" s="3520" t="s">
        <v>5960</v>
      </c>
      <c r="I58" s="64" t="s">
        <v>3195</v>
      </c>
      <c r="J58" s="3491">
        <f t="shared" si="8"/>
        <v>7000000</v>
      </c>
      <c r="K58" s="3491">
        <f t="shared" si="9"/>
        <v>0</v>
      </c>
      <c r="L58" s="3507"/>
      <c r="M58" s="366"/>
      <c r="N58" s="366"/>
    </row>
    <row r="59" spans="1:14" ht="30" customHeight="1" x14ac:dyDescent="0.2">
      <c r="A59" s="4459">
        <v>32</v>
      </c>
      <c r="B59" s="4457" t="s">
        <v>982</v>
      </c>
      <c r="C59" s="4537" t="s">
        <v>1306</v>
      </c>
      <c r="D59" s="3493">
        <v>100000000</v>
      </c>
      <c r="E59" s="3499">
        <v>0.05</v>
      </c>
      <c r="F59" s="3493">
        <f t="shared" si="7"/>
        <v>5000000</v>
      </c>
      <c r="G59" s="4413"/>
      <c r="H59" s="4413"/>
      <c r="I59" s="4568" t="s">
        <v>2986</v>
      </c>
      <c r="J59" s="4413">
        <f>G59</f>
        <v>0</v>
      </c>
      <c r="K59" s="4413">
        <f>(F59+F60+F61)-J59</f>
        <v>8850000</v>
      </c>
      <c r="L59" s="4492"/>
      <c r="M59" s="366"/>
      <c r="N59" s="366"/>
    </row>
    <row r="60" spans="1:14" ht="30" customHeight="1" x14ac:dyDescent="0.2">
      <c r="A60" s="4464"/>
      <c r="B60" s="4488"/>
      <c r="C60" s="4540"/>
      <c r="D60" s="3493">
        <v>35000000</v>
      </c>
      <c r="E60" s="3499">
        <v>7.0000000000000007E-2</v>
      </c>
      <c r="F60" s="3493">
        <f t="shared" si="7"/>
        <v>2450000.0000000005</v>
      </c>
      <c r="G60" s="4414"/>
      <c r="H60" s="4414"/>
      <c r="I60" s="4906"/>
      <c r="J60" s="4414"/>
      <c r="K60" s="4414"/>
      <c r="L60" s="4684"/>
      <c r="M60" s="366"/>
      <c r="N60" s="366"/>
    </row>
    <row r="61" spans="1:14" ht="30" customHeight="1" x14ac:dyDescent="0.2">
      <c r="A61" s="4460"/>
      <c r="B61" s="4458"/>
      <c r="C61" s="4538"/>
      <c r="D61" s="3524">
        <v>20000000</v>
      </c>
      <c r="E61" s="3535">
        <v>7.0000000000000007E-2</v>
      </c>
      <c r="F61" s="3524">
        <f t="shared" si="7"/>
        <v>1400000.0000000002</v>
      </c>
      <c r="G61" s="4415"/>
      <c r="H61" s="4415"/>
      <c r="I61" s="4569"/>
      <c r="J61" s="4415"/>
      <c r="K61" s="4415"/>
      <c r="L61" s="4799"/>
      <c r="M61" s="4470"/>
      <c r="N61" s="4471"/>
    </row>
    <row r="62" spans="1:14" ht="30" customHeight="1" x14ac:dyDescent="0.2">
      <c r="A62" s="3497">
        <v>33</v>
      </c>
      <c r="B62" s="3502" t="s">
        <v>993</v>
      </c>
      <c r="C62" s="3515" t="s">
        <v>1287</v>
      </c>
      <c r="D62" s="3493">
        <v>63580000</v>
      </c>
      <c r="E62" s="3499">
        <v>7.0000000000000007E-2</v>
      </c>
      <c r="F62" s="3493">
        <v>4450000</v>
      </c>
      <c r="G62" s="3493">
        <v>4450000</v>
      </c>
      <c r="H62" s="3493" t="s">
        <v>5706</v>
      </c>
      <c r="I62" s="64" t="s">
        <v>484</v>
      </c>
      <c r="J62" s="3493">
        <f>G62</f>
        <v>4450000</v>
      </c>
      <c r="K62" s="3493">
        <f t="shared" ref="K62:K76" si="10">F62-J62</f>
        <v>0</v>
      </c>
      <c r="L62" s="3505"/>
      <c r="M62" s="366"/>
      <c r="N62" s="366"/>
    </row>
    <row r="63" spans="1:14" ht="30" customHeight="1" x14ac:dyDescent="0.2">
      <c r="A63" s="3497">
        <v>34</v>
      </c>
      <c r="B63" s="3506" t="s">
        <v>1110</v>
      </c>
      <c r="C63" s="3515" t="s">
        <v>1306</v>
      </c>
      <c r="D63" s="3493">
        <v>20000000</v>
      </c>
      <c r="E63" s="3499">
        <v>0.04</v>
      </c>
      <c r="F63" s="3493">
        <f t="shared" ref="F63:F71" si="11">D63*E63</f>
        <v>800000</v>
      </c>
      <c r="G63" s="3493">
        <v>800000</v>
      </c>
      <c r="H63" s="3493" t="s">
        <v>2341</v>
      </c>
      <c r="I63" s="64" t="s">
        <v>1112</v>
      </c>
      <c r="J63" s="3493">
        <f>G63</f>
        <v>800000</v>
      </c>
      <c r="K63" s="3493">
        <f t="shared" si="10"/>
        <v>0</v>
      </c>
      <c r="L63" s="3505"/>
      <c r="M63" s="366"/>
      <c r="N63" s="366"/>
    </row>
    <row r="64" spans="1:14" ht="30" customHeight="1" x14ac:dyDescent="0.2">
      <c r="A64" s="3538">
        <v>35</v>
      </c>
      <c r="B64" s="19" t="s">
        <v>1150</v>
      </c>
      <c r="C64" s="3541" t="s">
        <v>1138</v>
      </c>
      <c r="D64" s="3524">
        <v>175000000</v>
      </c>
      <c r="E64" s="3535">
        <v>0.06</v>
      </c>
      <c r="F64" s="3524">
        <f t="shared" si="11"/>
        <v>10500000</v>
      </c>
      <c r="G64" s="3524">
        <v>10500000</v>
      </c>
      <c r="H64" s="3524" t="s">
        <v>6002</v>
      </c>
      <c r="I64" s="3524" t="s">
        <v>1720</v>
      </c>
      <c r="J64" s="3524">
        <f>G64</f>
        <v>10500000</v>
      </c>
      <c r="K64" s="3524">
        <f>F64-J64</f>
        <v>0</v>
      </c>
      <c r="L64" s="3573"/>
      <c r="M64" s="366"/>
      <c r="N64" s="366"/>
    </row>
    <row r="65" spans="1:14" ht="30" customHeight="1" x14ac:dyDescent="0.2">
      <c r="A65" s="4459">
        <v>36</v>
      </c>
      <c r="B65" s="4457" t="s">
        <v>3370</v>
      </c>
      <c r="C65" s="4537" t="s">
        <v>1081</v>
      </c>
      <c r="D65" s="3524">
        <v>50000000</v>
      </c>
      <c r="E65" s="3535">
        <v>7.0000000000000007E-2</v>
      </c>
      <c r="F65" s="3524">
        <f t="shared" si="11"/>
        <v>3500000.0000000005</v>
      </c>
      <c r="G65" s="4413">
        <v>17500000</v>
      </c>
      <c r="H65" s="4413" t="s">
        <v>6007</v>
      </c>
      <c r="I65" s="4975" t="s">
        <v>4266</v>
      </c>
      <c r="J65" s="4413">
        <f>G65</f>
        <v>17500000</v>
      </c>
      <c r="K65" s="4413">
        <f>(F65+F66+F67)-J65</f>
        <v>0</v>
      </c>
      <c r="L65" s="3504"/>
      <c r="M65" s="366"/>
      <c r="N65" s="366"/>
    </row>
    <row r="66" spans="1:14" ht="30" customHeight="1" x14ac:dyDescent="0.2">
      <c r="A66" s="4464"/>
      <c r="B66" s="4488"/>
      <c r="C66" s="4540"/>
      <c r="D66" s="3493">
        <v>40000000</v>
      </c>
      <c r="E66" s="3535">
        <v>7.0000000000000007E-2</v>
      </c>
      <c r="F66" s="3524">
        <f t="shared" si="11"/>
        <v>2800000.0000000005</v>
      </c>
      <c r="G66" s="4414"/>
      <c r="H66" s="4414"/>
      <c r="I66" s="5072"/>
      <c r="J66" s="4414"/>
      <c r="K66" s="4414"/>
      <c r="L66" s="3560" t="s">
        <v>4965</v>
      </c>
      <c r="M66" s="366"/>
      <c r="N66" s="366"/>
    </row>
    <row r="67" spans="1:14" ht="30" customHeight="1" x14ac:dyDescent="0.2">
      <c r="A67" s="4464"/>
      <c r="B67" s="4488"/>
      <c r="C67" s="4540"/>
      <c r="D67" s="3493">
        <v>160000000</v>
      </c>
      <c r="E67" s="3499">
        <v>7.0000000000000007E-2</v>
      </c>
      <c r="F67" s="3524">
        <f t="shared" si="11"/>
        <v>11200000.000000002</v>
      </c>
      <c r="G67" s="4415"/>
      <c r="H67" s="4415"/>
      <c r="I67" s="4977"/>
      <c r="J67" s="4415"/>
      <c r="K67" s="4415"/>
      <c r="L67" s="3505" t="s">
        <v>4966</v>
      </c>
      <c r="M67" s="366"/>
      <c r="N67" s="366"/>
    </row>
    <row r="68" spans="1:14" ht="30" customHeight="1" x14ac:dyDescent="0.2">
      <c r="A68" s="4460"/>
      <c r="B68" s="4458"/>
      <c r="C68" s="4538"/>
      <c r="D68" s="4262">
        <v>10000000</v>
      </c>
      <c r="E68" s="4267"/>
      <c r="F68" s="4261"/>
      <c r="G68" s="4469" t="s">
        <v>6097</v>
      </c>
      <c r="H68" s="4470"/>
      <c r="I68" s="4470"/>
      <c r="J68" s="4471"/>
      <c r="K68" s="4262"/>
      <c r="L68" s="4268"/>
      <c r="M68" s="366"/>
      <c r="N68" s="366"/>
    </row>
    <row r="69" spans="1:14" ht="30" customHeight="1" x14ac:dyDescent="0.2">
      <c r="A69" s="4459"/>
      <c r="B69" s="4457" t="s">
        <v>4967</v>
      </c>
      <c r="C69" s="4537" t="s">
        <v>3216</v>
      </c>
      <c r="D69" s="4413">
        <v>19200000</v>
      </c>
      <c r="E69" s="4476">
        <v>0.05</v>
      </c>
      <c r="F69" s="4413">
        <f t="shared" si="11"/>
        <v>960000</v>
      </c>
      <c r="G69" s="4793" t="s">
        <v>5025</v>
      </c>
      <c r="H69" s="4794"/>
      <c r="I69" s="4794"/>
      <c r="J69" s="4795"/>
      <c r="K69" s="4413"/>
      <c r="L69" s="3505"/>
      <c r="M69" s="366"/>
      <c r="N69" s="366"/>
    </row>
    <row r="70" spans="1:14" ht="30" customHeight="1" x14ac:dyDescent="0.2">
      <c r="A70" s="4464"/>
      <c r="B70" s="4488"/>
      <c r="C70" s="4540"/>
      <c r="D70" s="4415"/>
      <c r="E70" s="4477"/>
      <c r="F70" s="4415"/>
      <c r="G70" s="4799"/>
      <c r="H70" s="4800"/>
      <c r="I70" s="4800"/>
      <c r="J70" s="4801"/>
      <c r="K70" s="4415"/>
      <c r="L70" s="3505"/>
      <c r="M70" s="366"/>
      <c r="N70" s="366"/>
    </row>
    <row r="71" spans="1:14" ht="30" customHeight="1" x14ac:dyDescent="0.2">
      <c r="A71" s="4464"/>
      <c r="B71" s="4488"/>
      <c r="C71" s="4540"/>
      <c r="D71" s="4413">
        <v>20000000</v>
      </c>
      <c r="E71" s="4476">
        <v>0.05</v>
      </c>
      <c r="F71" s="4413">
        <f t="shared" si="11"/>
        <v>1000000</v>
      </c>
      <c r="G71" s="4469" t="s">
        <v>5031</v>
      </c>
      <c r="H71" s="4470"/>
      <c r="I71" s="4470"/>
      <c r="J71" s="4471"/>
      <c r="K71" s="3493"/>
      <c r="L71" s="3505"/>
      <c r="M71" s="366"/>
      <c r="N71" s="366"/>
    </row>
    <row r="72" spans="1:14" ht="30" customHeight="1" x14ac:dyDescent="0.2">
      <c r="A72" s="4460"/>
      <c r="B72" s="4458"/>
      <c r="C72" s="4538"/>
      <c r="D72" s="4415"/>
      <c r="E72" s="4477"/>
      <c r="F72" s="4415"/>
      <c r="G72" s="3997">
        <v>1160000</v>
      </c>
      <c r="H72" s="3997" t="s">
        <v>5848</v>
      </c>
      <c r="I72" s="3997" t="s">
        <v>5849</v>
      </c>
      <c r="J72" s="3997">
        <f>G72</f>
        <v>1160000</v>
      </c>
      <c r="K72" s="3999"/>
      <c r="L72" s="4007" t="s">
        <v>5850</v>
      </c>
      <c r="M72" s="366"/>
      <c r="N72" s="366"/>
    </row>
    <row r="73" spans="1:14" ht="30" customHeight="1" x14ac:dyDescent="0.2">
      <c r="A73" s="3497">
        <v>38</v>
      </c>
      <c r="B73" s="3501" t="s">
        <v>1254</v>
      </c>
      <c r="C73" s="3515"/>
      <c r="D73" s="298"/>
      <c r="E73" s="299"/>
      <c r="F73" s="298"/>
      <c r="G73" s="3493"/>
      <c r="H73" s="3493"/>
      <c r="I73" s="64"/>
      <c r="J73" s="3493"/>
      <c r="K73" s="3512">
        <f t="shared" si="10"/>
        <v>0</v>
      </c>
      <c r="L73" s="3505"/>
    </row>
    <row r="74" spans="1:14" ht="30" customHeight="1" x14ac:dyDescent="0.2">
      <c r="A74" s="3497">
        <v>39</v>
      </c>
      <c r="B74" s="3501" t="s">
        <v>1213</v>
      </c>
      <c r="C74" s="3515"/>
      <c r="D74" s="298"/>
      <c r="E74" s="299"/>
      <c r="F74" s="298"/>
      <c r="G74" s="3493"/>
      <c r="H74" s="3493"/>
      <c r="I74" s="64"/>
      <c r="J74" s="3493"/>
      <c r="K74" s="3512">
        <f t="shared" si="10"/>
        <v>0</v>
      </c>
      <c r="L74" s="3505"/>
    </row>
    <row r="75" spans="1:14" ht="30" customHeight="1" x14ac:dyDescent="0.2">
      <c r="A75" s="3497">
        <v>40</v>
      </c>
      <c r="B75" s="3501" t="s">
        <v>1265</v>
      </c>
      <c r="C75" s="3515" t="s">
        <v>1289</v>
      </c>
      <c r="D75" s="3563">
        <v>16000000</v>
      </c>
      <c r="E75" s="300">
        <v>0.05</v>
      </c>
      <c r="F75" s="3563">
        <f>D75*E75</f>
        <v>800000</v>
      </c>
      <c r="G75" s="3493">
        <v>800000</v>
      </c>
      <c r="H75" s="3493" t="s">
        <v>5744</v>
      </c>
      <c r="I75" s="64" t="s">
        <v>1268</v>
      </c>
      <c r="J75" s="3493">
        <f>G75</f>
        <v>800000</v>
      </c>
      <c r="K75" s="3493">
        <f t="shared" si="10"/>
        <v>0</v>
      </c>
      <c r="L75" s="3505"/>
    </row>
    <row r="76" spans="1:14" ht="30" customHeight="1" x14ac:dyDescent="0.2">
      <c r="A76" s="3497">
        <v>41</v>
      </c>
      <c r="B76" s="3501" t="s">
        <v>1285</v>
      </c>
      <c r="C76" s="3515"/>
      <c r="D76" s="298"/>
      <c r="E76" s="299"/>
      <c r="F76" s="298"/>
      <c r="G76" s="3493"/>
      <c r="H76" s="3493"/>
      <c r="I76" s="64"/>
      <c r="J76" s="3493"/>
      <c r="K76" s="3512">
        <f t="shared" si="10"/>
        <v>0</v>
      </c>
      <c r="L76" s="3505"/>
    </row>
    <row r="77" spans="1:14" ht="30" customHeight="1" x14ac:dyDescent="0.2">
      <c r="A77" s="3497">
        <v>42</v>
      </c>
      <c r="B77" s="3542" t="s">
        <v>183</v>
      </c>
      <c r="C77" s="3515"/>
      <c r="D77" s="3493">
        <v>60000000</v>
      </c>
      <c r="E77" s="3535">
        <v>0.05</v>
      </c>
      <c r="F77" s="3493">
        <f t="shared" ref="F77:F236" si="12">D77*E77</f>
        <v>3000000</v>
      </c>
      <c r="G77" s="4413">
        <v>3500000</v>
      </c>
      <c r="H77" s="4413" t="s">
        <v>1527</v>
      </c>
      <c r="I77" s="4558" t="s">
        <v>4866</v>
      </c>
      <c r="J77" s="4413">
        <f>G77</f>
        <v>3500000</v>
      </c>
      <c r="K77" s="4413">
        <f>(F77+F78)-J77</f>
        <v>0</v>
      </c>
      <c r="L77" s="4599"/>
    </row>
    <row r="78" spans="1:14" ht="30" customHeight="1" x14ac:dyDescent="0.2">
      <c r="A78" s="3497">
        <v>43</v>
      </c>
      <c r="B78" s="3539" t="s">
        <v>1079</v>
      </c>
      <c r="C78" s="3515"/>
      <c r="D78" s="3493">
        <v>10000000</v>
      </c>
      <c r="E78" s="3535">
        <v>0.05</v>
      </c>
      <c r="F78" s="3493">
        <f>D78*E78</f>
        <v>500000</v>
      </c>
      <c r="G78" s="4415"/>
      <c r="H78" s="4415"/>
      <c r="I78" s="4560"/>
      <c r="J78" s="4415"/>
      <c r="K78" s="4415"/>
      <c r="L78" s="4607"/>
    </row>
    <row r="79" spans="1:14" ht="30" customHeight="1" x14ac:dyDescent="0.2">
      <c r="A79" s="3497">
        <v>44</v>
      </c>
      <c r="B79" s="3539" t="s">
        <v>184</v>
      </c>
      <c r="C79" s="3515" t="s">
        <v>889</v>
      </c>
      <c r="D79" s="3493">
        <v>150000000</v>
      </c>
      <c r="E79" s="3535">
        <v>0.05</v>
      </c>
      <c r="F79" s="3493">
        <f t="shared" si="12"/>
        <v>7500000</v>
      </c>
      <c r="G79" s="3493">
        <v>7500000</v>
      </c>
      <c r="H79" s="3493" t="s">
        <v>5343</v>
      </c>
      <c r="I79" s="3524" t="s">
        <v>1339</v>
      </c>
      <c r="J79" s="3493">
        <f>G79</f>
        <v>7500000</v>
      </c>
      <c r="K79" s="3493">
        <f>F79-J79</f>
        <v>0</v>
      </c>
      <c r="L79" s="3539"/>
    </row>
    <row r="80" spans="1:14" ht="30" customHeight="1" x14ac:dyDescent="0.2">
      <c r="A80" s="4459">
        <v>45</v>
      </c>
      <c r="B80" s="4457" t="s">
        <v>185</v>
      </c>
      <c r="C80" s="4537" t="s">
        <v>1295</v>
      </c>
      <c r="D80" s="3524">
        <v>1590000000</v>
      </c>
      <c r="E80" s="3535">
        <v>7.0000000000000007E-2</v>
      </c>
      <c r="F80" s="3524">
        <f>D80*E80</f>
        <v>111300000.00000001</v>
      </c>
      <c r="G80" s="4413">
        <v>50000000</v>
      </c>
      <c r="H80" s="4413" t="s">
        <v>5348</v>
      </c>
      <c r="I80" s="4478" t="s">
        <v>2696</v>
      </c>
      <c r="J80" s="4413">
        <f>G80+G82</f>
        <v>50000000</v>
      </c>
      <c r="K80" s="4413">
        <f>F83-J80</f>
        <v>96300000</v>
      </c>
      <c r="L80" s="4599"/>
    </row>
    <row r="81" spans="1:12" ht="30" customHeight="1" x14ac:dyDescent="0.2">
      <c r="A81" s="4464"/>
      <c r="B81" s="4488"/>
      <c r="C81" s="4540"/>
      <c r="D81" s="3491">
        <f>D80+100000000</f>
        <v>1690000000</v>
      </c>
      <c r="E81" s="3498">
        <v>7.0000000000000007E-2</v>
      </c>
      <c r="F81" s="3491">
        <f>D81*E81</f>
        <v>118300000.00000001</v>
      </c>
      <c r="G81" s="4414"/>
      <c r="H81" s="4414"/>
      <c r="I81" s="4520"/>
      <c r="J81" s="4414"/>
      <c r="K81" s="4414"/>
      <c r="L81" s="4600"/>
    </row>
    <row r="82" spans="1:12" ht="30" customHeight="1" x14ac:dyDescent="0.2">
      <c r="A82" s="4464"/>
      <c r="B82" s="4488"/>
      <c r="C82" s="4540"/>
      <c r="D82" s="3491">
        <v>400000000</v>
      </c>
      <c r="E82" s="3498">
        <v>7.0000000000000007E-2</v>
      </c>
      <c r="F82" s="3491">
        <f>D82*E82</f>
        <v>28000000.000000004</v>
      </c>
      <c r="G82" s="4414"/>
      <c r="H82" s="4414"/>
      <c r="I82" s="4520"/>
      <c r="J82" s="4414"/>
      <c r="K82" s="4414"/>
      <c r="L82" s="3531"/>
    </row>
    <row r="83" spans="1:12" ht="30" customHeight="1" x14ac:dyDescent="0.2">
      <c r="A83" s="4464"/>
      <c r="B83" s="4488"/>
      <c r="C83" s="4540"/>
      <c r="D83" s="3581">
        <f>D81+D82</f>
        <v>2090000000</v>
      </c>
      <c r="E83" s="3583">
        <v>7.0000000000000007E-2</v>
      </c>
      <c r="F83" s="3581">
        <f>D83*E83</f>
        <v>146300000</v>
      </c>
      <c r="G83" s="4415"/>
      <c r="H83" s="4415"/>
      <c r="I83" s="4479"/>
      <c r="J83" s="4415"/>
      <c r="K83" s="4415"/>
      <c r="L83" s="3531"/>
    </row>
    <row r="84" spans="1:12" ht="30" customHeight="1" x14ac:dyDescent="0.2">
      <c r="A84" s="4464"/>
      <c r="B84" s="4488"/>
      <c r="C84" s="4540"/>
      <c r="D84" s="3697">
        <v>96300000</v>
      </c>
      <c r="E84" s="3703">
        <v>7.0000000000000007E-2</v>
      </c>
      <c r="F84" s="3697">
        <f>D84*E84</f>
        <v>6741000.0000000009</v>
      </c>
      <c r="G84" s="4838" t="s">
        <v>5487</v>
      </c>
      <c r="H84" s="4838"/>
      <c r="I84" s="4838"/>
      <c r="J84" s="4838"/>
      <c r="K84" s="3698"/>
      <c r="L84" s="3716"/>
    </row>
    <row r="85" spans="1:12" ht="30" customHeight="1" x14ac:dyDescent="0.2">
      <c r="A85" s="4464"/>
      <c r="B85" s="4488"/>
      <c r="C85" s="4540"/>
      <c r="D85" s="3697">
        <v>23700000</v>
      </c>
      <c r="E85" s="3703"/>
      <c r="F85" s="3697"/>
      <c r="G85" s="4838" t="s">
        <v>5641</v>
      </c>
      <c r="H85" s="4838"/>
      <c r="I85" s="4838"/>
      <c r="J85" s="4838"/>
      <c r="K85" s="3698"/>
      <c r="L85" s="3716"/>
    </row>
    <row r="86" spans="1:12" ht="30" customHeight="1" x14ac:dyDescent="0.2">
      <c r="A86" s="4464"/>
      <c r="B86" s="4488"/>
      <c r="C86" s="4540"/>
      <c r="D86" s="3896"/>
      <c r="E86" s="3901"/>
      <c r="F86" s="3896"/>
      <c r="G86" s="4469" t="s">
        <v>5650</v>
      </c>
      <c r="H86" s="4470"/>
      <c r="I86" s="4470"/>
      <c r="J86" s="4471"/>
      <c r="K86" s="3897"/>
      <c r="L86" s="3913"/>
    </row>
    <row r="87" spans="1:12" ht="30" customHeight="1" x14ac:dyDescent="0.2">
      <c r="A87" s="4464"/>
      <c r="B87" s="4488"/>
      <c r="C87" s="4540"/>
      <c r="D87" s="3724">
        <f>D83+D84+D85</f>
        <v>2210000000</v>
      </c>
      <c r="E87" s="3726">
        <v>7.0000000000000007E-2</v>
      </c>
      <c r="F87" s="3724">
        <f>D87*E87</f>
        <v>154700000</v>
      </c>
      <c r="G87" s="4799" t="s">
        <v>5602</v>
      </c>
      <c r="H87" s="4800"/>
      <c r="I87" s="4800"/>
      <c r="J87" s="4801"/>
      <c r="K87" s="3698"/>
      <c r="L87" s="3716"/>
    </row>
    <row r="88" spans="1:12" ht="30" customHeight="1" x14ac:dyDescent="0.2">
      <c r="A88" s="4460"/>
      <c r="B88" s="4458"/>
      <c r="C88" s="4538"/>
      <c r="D88" s="4261">
        <v>15000000</v>
      </c>
      <c r="E88" s="4264"/>
      <c r="F88" s="4261"/>
      <c r="G88" s="4469" t="s">
        <v>6092</v>
      </c>
      <c r="H88" s="4470"/>
      <c r="I88" s="4470"/>
      <c r="J88" s="4471"/>
      <c r="K88" s="4262"/>
      <c r="L88" s="4271"/>
    </row>
    <row r="89" spans="1:12" ht="30" customHeight="1" x14ac:dyDescent="0.2">
      <c r="A89" s="4459">
        <v>46</v>
      </c>
      <c r="B89" s="4457" t="s">
        <v>186</v>
      </c>
      <c r="C89" s="4537" t="s">
        <v>4107</v>
      </c>
      <c r="D89" s="4413">
        <v>1000000000</v>
      </c>
      <c r="E89" s="4476">
        <v>0.09</v>
      </c>
      <c r="F89" s="4413">
        <f>D89*E89</f>
        <v>90000000</v>
      </c>
      <c r="G89" s="5073" t="s">
        <v>5456</v>
      </c>
      <c r="H89" s="5074"/>
      <c r="I89" s="5074"/>
      <c r="J89" s="5075"/>
      <c r="K89" s="4413"/>
      <c r="L89" s="3550"/>
    </row>
    <row r="90" spans="1:12" ht="30" customHeight="1" x14ac:dyDescent="0.2">
      <c r="A90" s="4464"/>
      <c r="B90" s="4488"/>
      <c r="C90" s="4540"/>
      <c r="D90" s="4414"/>
      <c r="E90" s="4516"/>
      <c r="F90" s="4414"/>
      <c r="G90" s="5076"/>
      <c r="H90" s="5077"/>
      <c r="I90" s="5077"/>
      <c r="J90" s="5078"/>
      <c r="K90" s="4414"/>
      <c r="L90" s="3561"/>
    </row>
    <row r="91" spans="1:12" ht="30" customHeight="1" x14ac:dyDescent="0.2">
      <c r="A91" s="4464"/>
      <c r="B91" s="4488"/>
      <c r="C91" s="4540"/>
      <c r="D91" s="4414"/>
      <c r="E91" s="4516"/>
      <c r="F91" s="4414"/>
      <c r="G91" s="5073" t="s">
        <v>5462</v>
      </c>
      <c r="H91" s="5074"/>
      <c r="I91" s="5074"/>
      <c r="J91" s="5075"/>
      <c r="K91" s="4414"/>
      <c r="L91" s="3561"/>
    </row>
    <row r="92" spans="1:12" ht="30" customHeight="1" x14ac:dyDescent="0.2">
      <c r="A92" s="4464"/>
      <c r="B92" s="4488"/>
      <c r="C92" s="4540"/>
      <c r="D92" s="4415"/>
      <c r="E92" s="4477"/>
      <c r="F92" s="4415"/>
      <c r="G92" s="5076"/>
      <c r="H92" s="5077"/>
      <c r="I92" s="5077"/>
      <c r="J92" s="5078"/>
      <c r="K92" s="4415"/>
      <c r="L92" s="3561"/>
    </row>
    <row r="93" spans="1:12" ht="30" customHeight="1" x14ac:dyDescent="0.2">
      <c r="A93" s="4459">
        <v>47</v>
      </c>
      <c r="B93" s="4457" t="s">
        <v>187</v>
      </c>
      <c r="C93" s="4537" t="s">
        <v>1080</v>
      </c>
      <c r="D93" s="4413">
        <v>20000000</v>
      </c>
      <c r="E93" s="4476">
        <v>0.05</v>
      </c>
      <c r="F93" s="4413">
        <f t="shared" si="12"/>
        <v>1000000</v>
      </c>
      <c r="G93" s="3493"/>
      <c r="H93" s="3493"/>
      <c r="I93" s="3528" t="s">
        <v>4311</v>
      </c>
      <c r="J93" s="3493">
        <f>G93</f>
        <v>0</v>
      </c>
      <c r="K93" s="3493">
        <f>F93-J93</f>
        <v>1000000</v>
      </c>
      <c r="L93" s="764" t="s">
        <v>4439</v>
      </c>
    </row>
    <row r="94" spans="1:12" ht="30" customHeight="1" x14ac:dyDescent="0.2">
      <c r="A94" s="4460"/>
      <c r="B94" s="4458"/>
      <c r="C94" s="4538"/>
      <c r="D94" s="4415"/>
      <c r="E94" s="4477"/>
      <c r="F94" s="4415"/>
      <c r="G94" s="3493"/>
      <c r="H94" s="3493"/>
      <c r="I94" s="3528" t="s">
        <v>4311</v>
      </c>
      <c r="J94" s="3493">
        <f>G94</f>
        <v>0</v>
      </c>
      <c r="K94" s="3493">
        <f>F93-J94</f>
        <v>1000000</v>
      </c>
      <c r="L94" s="764" t="s">
        <v>4907</v>
      </c>
    </row>
    <row r="95" spans="1:12" ht="30" customHeight="1" x14ac:dyDescent="0.2">
      <c r="A95" s="4459">
        <v>48</v>
      </c>
      <c r="B95" s="4457" t="s">
        <v>1615</v>
      </c>
      <c r="C95" s="4537" t="s">
        <v>2849</v>
      </c>
      <c r="D95" s="3524">
        <v>100000000</v>
      </c>
      <c r="E95" s="3535">
        <v>0.05</v>
      </c>
      <c r="F95" s="3524">
        <f t="shared" si="12"/>
        <v>5000000</v>
      </c>
      <c r="G95" s="3493">
        <v>2666000</v>
      </c>
      <c r="H95" s="3493" t="s">
        <v>5604</v>
      </c>
      <c r="I95" s="3594" t="s">
        <v>3909</v>
      </c>
      <c r="J95" s="3493">
        <f>G95</f>
        <v>2666000</v>
      </c>
      <c r="K95" s="3493">
        <f>F95-J95</f>
        <v>2334000</v>
      </c>
      <c r="L95" s="3573" t="s">
        <v>5607</v>
      </c>
    </row>
    <row r="96" spans="1:12" ht="30" customHeight="1" x14ac:dyDescent="0.2">
      <c r="A96" s="4460"/>
      <c r="B96" s="4458"/>
      <c r="C96" s="4538"/>
      <c r="D96" s="3837">
        <v>400000000</v>
      </c>
      <c r="E96" s="897">
        <v>0.06</v>
      </c>
      <c r="F96" s="3837">
        <f>D96*E96</f>
        <v>24000000</v>
      </c>
      <c r="G96" s="4303" t="s">
        <v>5587</v>
      </c>
      <c r="H96" s="4324"/>
      <c r="I96" s="4324"/>
      <c r="J96" s="4324"/>
      <c r="K96" s="4355"/>
      <c r="L96" s="3779" t="s">
        <v>5586</v>
      </c>
    </row>
    <row r="97" spans="1:12" ht="30" customHeight="1" x14ac:dyDescent="0.2">
      <c r="A97" s="1029">
        <v>49</v>
      </c>
      <c r="B97" s="19" t="s">
        <v>189</v>
      </c>
      <c r="C97" s="3541" t="s">
        <v>1295</v>
      </c>
      <c r="D97" s="3524">
        <v>230000000</v>
      </c>
      <c r="E97" s="3535">
        <v>0.05</v>
      </c>
      <c r="F97" s="3524">
        <f t="shared" si="12"/>
        <v>11500000</v>
      </c>
      <c r="G97" s="3524">
        <v>12000000</v>
      </c>
      <c r="H97" s="3524" t="s">
        <v>5343</v>
      </c>
      <c r="I97" s="3546" t="s">
        <v>1052</v>
      </c>
      <c r="J97" s="3524">
        <f>G97</f>
        <v>12000000</v>
      </c>
      <c r="K97" s="3524">
        <f>F97-J97</f>
        <v>-500000</v>
      </c>
      <c r="L97" s="764" t="s">
        <v>4879</v>
      </c>
    </row>
    <row r="98" spans="1:12" ht="30" customHeight="1" x14ac:dyDescent="0.2">
      <c r="A98" s="4459">
        <v>50</v>
      </c>
      <c r="B98" s="4457" t="s">
        <v>190</v>
      </c>
      <c r="C98" s="4537" t="s">
        <v>889</v>
      </c>
      <c r="D98" s="4413">
        <v>350000000</v>
      </c>
      <c r="E98" s="4476">
        <v>0.05</v>
      </c>
      <c r="F98" s="4413">
        <f t="shared" si="12"/>
        <v>17500000</v>
      </c>
      <c r="G98" s="4469" t="s">
        <v>5352</v>
      </c>
      <c r="H98" s="4470"/>
      <c r="I98" s="4470"/>
      <c r="J98" s="4470"/>
      <c r="K98" s="4471"/>
      <c r="L98" s="3573"/>
    </row>
    <row r="99" spans="1:12" ht="30" customHeight="1" x14ac:dyDescent="0.2">
      <c r="A99" s="4460"/>
      <c r="B99" s="4458"/>
      <c r="C99" s="4538"/>
      <c r="D99" s="4415"/>
      <c r="E99" s="4477"/>
      <c r="F99" s="4415"/>
      <c r="G99" s="3524">
        <v>17000000</v>
      </c>
      <c r="H99" s="3524" t="s">
        <v>5343</v>
      </c>
      <c r="I99" s="3524" t="s">
        <v>1054</v>
      </c>
      <c r="J99" s="3524">
        <f>G99</f>
        <v>17000000</v>
      </c>
      <c r="K99" s="3524">
        <f>F98-J99</f>
        <v>500000</v>
      </c>
      <c r="L99" s="764" t="s">
        <v>4791</v>
      </c>
    </row>
    <row r="100" spans="1:12" ht="30" customHeight="1" x14ac:dyDescent="0.2">
      <c r="A100" s="4459">
        <v>51</v>
      </c>
      <c r="B100" s="4457" t="s">
        <v>191</v>
      </c>
      <c r="C100" s="4537" t="s">
        <v>889</v>
      </c>
      <c r="D100" s="4413">
        <v>260000000</v>
      </c>
      <c r="E100" s="4476">
        <f>F100/D100</f>
        <v>5.5769230769230772E-2</v>
      </c>
      <c r="F100" s="4413">
        <v>14500000</v>
      </c>
      <c r="G100" s="3524"/>
      <c r="H100" s="3524"/>
      <c r="I100" s="3524" t="s">
        <v>3500</v>
      </c>
      <c r="J100" s="3524">
        <f>G100</f>
        <v>0</v>
      </c>
      <c r="K100" s="3524">
        <f>F100-J100</f>
        <v>14500000</v>
      </c>
      <c r="L100" s="1389" t="s">
        <v>4907</v>
      </c>
    </row>
    <row r="101" spans="1:12" ht="30" customHeight="1" x14ac:dyDescent="0.2">
      <c r="A101" s="4460"/>
      <c r="B101" s="4458"/>
      <c r="C101" s="4538"/>
      <c r="D101" s="4415"/>
      <c r="E101" s="4477"/>
      <c r="F101" s="4415"/>
      <c r="G101" s="3491"/>
      <c r="H101" s="3491"/>
      <c r="I101" s="3491" t="s">
        <v>3500</v>
      </c>
      <c r="J101" s="3491">
        <f>G101</f>
        <v>0</v>
      </c>
      <c r="K101" s="3491">
        <f>F100-J101</f>
        <v>14500000</v>
      </c>
      <c r="L101" s="1389" t="s">
        <v>4908</v>
      </c>
    </row>
    <row r="102" spans="1:12" ht="30" customHeight="1" x14ac:dyDescent="0.2">
      <c r="A102" s="4896"/>
      <c r="B102" s="4457" t="s">
        <v>192</v>
      </c>
      <c r="C102" s="4537" t="s">
        <v>889</v>
      </c>
      <c r="D102" s="3491">
        <v>100000000</v>
      </c>
      <c r="E102" s="3498">
        <v>7.0000000000000007E-2</v>
      </c>
      <c r="F102" s="3491">
        <f>D102*E102</f>
        <v>7000000.0000000009</v>
      </c>
      <c r="G102" s="4413">
        <v>9500000</v>
      </c>
      <c r="H102" s="4413" t="s">
        <v>5361</v>
      </c>
      <c r="I102" s="4413" t="s">
        <v>2540</v>
      </c>
      <c r="J102" s="4413">
        <f>G102</f>
        <v>9500000</v>
      </c>
      <c r="K102" s="4413">
        <f>(F102+F103+F104)-J102</f>
        <v>0</v>
      </c>
      <c r="L102" s="4571" t="s">
        <v>4809</v>
      </c>
    </row>
    <row r="103" spans="1:12" ht="30" customHeight="1" x14ac:dyDescent="0.2">
      <c r="A103" s="4955"/>
      <c r="B103" s="4488"/>
      <c r="C103" s="4540"/>
      <c r="D103" s="3491">
        <v>49500000</v>
      </c>
      <c r="E103" s="3498">
        <v>0.05</v>
      </c>
      <c r="F103" s="3491">
        <f>D103*E103</f>
        <v>2475000</v>
      </c>
      <c r="G103" s="4414"/>
      <c r="H103" s="4414"/>
      <c r="I103" s="4414"/>
      <c r="J103" s="4414"/>
      <c r="K103" s="4414"/>
      <c r="L103" s="4839"/>
    </row>
    <row r="104" spans="1:12" ht="30" customHeight="1" x14ac:dyDescent="0.2">
      <c r="A104" s="4897"/>
      <c r="B104" s="4458"/>
      <c r="C104" s="4538"/>
      <c r="D104" s="3491">
        <v>500000</v>
      </c>
      <c r="E104" s="3498">
        <v>0.05</v>
      </c>
      <c r="F104" s="3491">
        <f>D104*E104</f>
        <v>25000</v>
      </c>
      <c r="G104" s="4415"/>
      <c r="H104" s="4415"/>
      <c r="I104" s="4415"/>
      <c r="J104" s="4415"/>
      <c r="K104" s="4415"/>
      <c r="L104" s="3523"/>
    </row>
    <row r="105" spans="1:12" ht="30" customHeight="1" x14ac:dyDescent="0.2">
      <c r="A105" s="4459"/>
      <c r="B105" s="4457" t="s">
        <v>193</v>
      </c>
      <c r="C105" s="4537" t="s">
        <v>1287</v>
      </c>
      <c r="D105" s="4413">
        <v>850000000</v>
      </c>
      <c r="E105" s="4476">
        <v>7.0000000000000007E-2</v>
      </c>
      <c r="F105" s="4413">
        <f>D105*E105</f>
        <v>59500000.000000007</v>
      </c>
      <c r="G105" s="4322">
        <v>62000000</v>
      </c>
      <c r="H105" s="4322" t="s">
        <v>1012</v>
      </c>
      <c r="I105" s="4322" t="s">
        <v>5842</v>
      </c>
      <c r="J105" s="4322">
        <f>G105+G106</f>
        <v>62000000</v>
      </c>
      <c r="K105" s="4322">
        <f>F105+2000000-J105</f>
        <v>-499999.99999999255</v>
      </c>
      <c r="L105" s="1389" t="s">
        <v>3725</v>
      </c>
    </row>
    <row r="106" spans="1:12" ht="30" customHeight="1" x14ac:dyDescent="0.2">
      <c r="A106" s="4464"/>
      <c r="B106" s="4488"/>
      <c r="C106" s="4540"/>
      <c r="D106" s="4415"/>
      <c r="E106" s="4477"/>
      <c r="F106" s="4415"/>
      <c r="G106" s="4322"/>
      <c r="H106" s="4322"/>
      <c r="I106" s="4322"/>
      <c r="J106" s="4322"/>
      <c r="K106" s="4322"/>
      <c r="L106" s="764" t="s">
        <v>4490</v>
      </c>
    </row>
    <row r="107" spans="1:12" ht="30" customHeight="1" x14ac:dyDescent="0.2">
      <c r="A107" s="4464"/>
      <c r="B107" s="4488"/>
      <c r="C107" s="4540"/>
      <c r="D107" s="4303" t="s">
        <v>6100</v>
      </c>
      <c r="E107" s="4355"/>
      <c r="F107" s="4263">
        <v>2000000</v>
      </c>
      <c r="G107" s="4322"/>
      <c r="H107" s="4322"/>
      <c r="I107" s="4322"/>
      <c r="J107" s="4322"/>
      <c r="K107" s="4322"/>
      <c r="L107" s="4276"/>
    </row>
    <row r="108" spans="1:12" ht="30" customHeight="1" x14ac:dyDescent="0.2">
      <c r="A108" s="4464"/>
      <c r="B108" s="4488"/>
      <c r="C108" s="4540"/>
      <c r="D108" s="4220">
        <v>200000000</v>
      </c>
      <c r="E108" s="4228">
        <v>7.0000000000000007E-2</v>
      </c>
      <c r="F108" s="4220">
        <f>D108*E108</f>
        <v>14000000.000000002</v>
      </c>
      <c r="G108" s="4799" t="s">
        <v>6019</v>
      </c>
      <c r="H108" s="4800"/>
      <c r="I108" s="4800"/>
      <c r="J108" s="4801"/>
      <c r="K108" s="4219"/>
      <c r="L108" s="4258" t="s">
        <v>6082</v>
      </c>
    </row>
    <row r="109" spans="1:12" ht="30" customHeight="1" x14ac:dyDescent="0.2">
      <c r="A109" s="4460"/>
      <c r="B109" s="4458"/>
      <c r="C109" s="4538"/>
      <c r="D109" s="4266">
        <f>D105+D108</f>
        <v>1050000000</v>
      </c>
      <c r="E109" s="4269">
        <v>7.0000000000000007E-2</v>
      </c>
      <c r="F109" s="4266">
        <f>D109*E109</f>
        <v>73500000</v>
      </c>
      <c r="G109" s="4469" t="s">
        <v>6099</v>
      </c>
      <c r="H109" s="4470"/>
      <c r="I109" s="4470"/>
      <c r="J109" s="4471"/>
      <c r="K109" s="4262"/>
      <c r="L109" s="4283" t="s">
        <v>6083</v>
      </c>
    </row>
    <row r="110" spans="1:12" ht="30" customHeight="1" x14ac:dyDescent="0.2">
      <c r="A110" s="4459">
        <v>54</v>
      </c>
      <c r="B110" s="4457" t="s">
        <v>1060</v>
      </c>
      <c r="C110" s="4537"/>
      <c r="D110" s="3493">
        <v>35000000</v>
      </c>
      <c r="E110" s="3499">
        <v>7.1999999999999995E-2</v>
      </c>
      <c r="F110" s="3493">
        <v>2500000</v>
      </c>
      <c r="G110" s="4742">
        <v>3500000</v>
      </c>
      <c r="H110" s="4742" t="s">
        <v>5437</v>
      </c>
      <c r="I110" s="4756" t="s">
        <v>2501</v>
      </c>
      <c r="J110" s="4742">
        <f>G110</f>
        <v>3500000</v>
      </c>
      <c r="K110" s="4742">
        <f>(F110+F111)-J110</f>
        <v>0</v>
      </c>
      <c r="L110" s="4599"/>
    </row>
    <row r="111" spans="1:12" ht="30" customHeight="1" x14ac:dyDescent="0.2">
      <c r="A111" s="4464"/>
      <c r="B111" s="4458"/>
      <c r="C111" s="4538"/>
      <c r="D111" s="3493">
        <v>13000000</v>
      </c>
      <c r="E111" s="3535">
        <v>7.6999999999999999E-2</v>
      </c>
      <c r="F111" s="3493">
        <v>1000000</v>
      </c>
      <c r="G111" s="4743"/>
      <c r="H111" s="4743"/>
      <c r="I111" s="4757"/>
      <c r="J111" s="4743"/>
      <c r="K111" s="4743"/>
      <c r="L111" s="4607"/>
    </row>
    <row r="112" spans="1:12" ht="30" customHeight="1" x14ac:dyDescent="0.2">
      <c r="A112" s="4459">
        <v>55</v>
      </c>
      <c r="B112" s="4457" t="s">
        <v>1247</v>
      </c>
      <c r="C112" s="4537" t="s">
        <v>1295</v>
      </c>
      <c r="D112" s="3524">
        <v>175000000</v>
      </c>
      <c r="E112" s="3535">
        <v>0.52</v>
      </c>
      <c r="F112" s="3524">
        <v>9000000</v>
      </c>
      <c r="G112" s="4413">
        <v>18250000</v>
      </c>
      <c r="H112" s="4478" t="s">
        <v>5361</v>
      </c>
      <c r="I112" s="4642" t="s">
        <v>1063</v>
      </c>
      <c r="J112" s="4413">
        <f>G112</f>
        <v>18250000</v>
      </c>
      <c r="K112" s="4322">
        <f>(F112+F113+F114)-J112</f>
        <v>0</v>
      </c>
      <c r="L112" s="4492"/>
    </row>
    <row r="113" spans="1:12" ht="30" customHeight="1" x14ac:dyDescent="0.2">
      <c r="A113" s="4464"/>
      <c r="B113" s="4488"/>
      <c r="C113" s="4540"/>
      <c r="D113" s="3491">
        <f>85000000+20000000</f>
        <v>105000000</v>
      </c>
      <c r="E113" s="3498">
        <v>7.0000000000000007E-2</v>
      </c>
      <c r="F113" s="3491">
        <v>7500000</v>
      </c>
      <c r="G113" s="4414"/>
      <c r="H113" s="4520"/>
      <c r="I113" s="4642"/>
      <c r="J113" s="4414"/>
      <c r="K113" s="4322"/>
      <c r="L113" s="4684"/>
    </row>
    <row r="114" spans="1:12" ht="30" customHeight="1" x14ac:dyDescent="0.2">
      <c r="A114" s="4460"/>
      <c r="B114" s="4458"/>
      <c r="C114" s="4538"/>
      <c r="D114" s="3524">
        <v>35000000</v>
      </c>
      <c r="E114" s="3535">
        <v>0.05</v>
      </c>
      <c r="F114" s="3524">
        <f>D114*E114</f>
        <v>1750000</v>
      </c>
      <c r="G114" s="4415"/>
      <c r="H114" s="4479"/>
      <c r="I114" s="4642"/>
      <c r="J114" s="4415"/>
      <c r="K114" s="4322"/>
      <c r="L114" s="4493"/>
    </row>
    <row r="115" spans="1:12" ht="30" customHeight="1" x14ac:dyDescent="0.2">
      <c r="A115" s="4459">
        <v>56</v>
      </c>
      <c r="B115" s="4457" t="s">
        <v>35</v>
      </c>
      <c r="C115" s="4537" t="s">
        <v>1295</v>
      </c>
      <c r="D115" s="4413">
        <v>3284000000</v>
      </c>
      <c r="E115" s="4476">
        <v>7.0000000000000007E-2</v>
      </c>
      <c r="F115" s="4413">
        <v>229880000</v>
      </c>
      <c r="G115" s="3493">
        <v>40000000</v>
      </c>
      <c r="H115" s="3493" t="s">
        <v>5350</v>
      </c>
      <c r="I115" s="3594" t="s">
        <v>4947</v>
      </c>
      <c r="J115" s="1456">
        <f>G115</f>
        <v>40000000</v>
      </c>
      <c r="K115" s="4259">
        <f>F115-J115</f>
        <v>189880000</v>
      </c>
      <c r="L115" s="638"/>
    </row>
    <row r="116" spans="1:12" ht="30" customHeight="1" x14ac:dyDescent="0.2">
      <c r="A116" s="4464"/>
      <c r="B116" s="4488"/>
      <c r="C116" s="4540"/>
      <c r="D116" s="4414"/>
      <c r="E116" s="4516"/>
      <c r="F116" s="4414"/>
      <c r="G116" s="4469" t="s">
        <v>6085</v>
      </c>
      <c r="H116" s="4470"/>
      <c r="I116" s="4470"/>
      <c r="J116" s="4471"/>
      <c r="K116" s="4259"/>
      <c r="L116" s="180"/>
    </row>
    <row r="117" spans="1:12" ht="30" customHeight="1" x14ac:dyDescent="0.2">
      <c r="A117" s="4464"/>
      <c r="B117" s="4488"/>
      <c r="C117" s="4273" t="s">
        <v>1306</v>
      </c>
      <c r="D117" s="4260">
        <f>1891929000+151354320+22190000-320</f>
        <v>2065473000</v>
      </c>
      <c r="E117" s="4277">
        <v>0.08</v>
      </c>
      <c r="F117" s="4260">
        <f t="shared" ref="F117:F123" si="13">D117*E117</f>
        <v>165237840</v>
      </c>
      <c r="G117" s="4469" t="s">
        <v>6086</v>
      </c>
      <c r="H117" s="4470"/>
      <c r="I117" s="4470"/>
      <c r="J117" s="4471"/>
      <c r="K117" s="4259"/>
      <c r="L117" s="1612"/>
    </row>
    <row r="118" spans="1:12" ht="30" customHeight="1" x14ac:dyDescent="0.2">
      <c r="A118" s="4464"/>
      <c r="B118" s="4488"/>
      <c r="C118" s="4540" t="s">
        <v>1306</v>
      </c>
      <c r="D118" s="4259">
        <v>189880000</v>
      </c>
      <c r="E118" s="4272">
        <v>0.08</v>
      </c>
      <c r="F118" s="4259">
        <f t="shared" si="13"/>
        <v>15190400</v>
      </c>
      <c r="G118" s="4469" t="s">
        <v>4957</v>
      </c>
      <c r="H118" s="4470"/>
      <c r="I118" s="4470"/>
      <c r="J118" s="4471"/>
      <c r="K118" s="4259"/>
      <c r="L118" s="1612"/>
    </row>
    <row r="119" spans="1:12" ht="30" customHeight="1" x14ac:dyDescent="0.2">
      <c r="A119" s="4464"/>
      <c r="B119" s="4488"/>
      <c r="C119" s="4540"/>
      <c r="D119" s="4259">
        <v>8418000</v>
      </c>
      <c r="E119" s="4272">
        <v>0.08</v>
      </c>
      <c r="F119" s="4259">
        <f t="shared" si="13"/>
        <v>673440</v>
      </c>
      <c r="G119" s="4469" t="s">
        <v>6090</v>
      </c>
      <c r="H119" s="4470"/>
      <c r="I119" s="4470"/>
      <c r="J119" s="4471"/>
      <c r="K119" s="4259"/>
      <c r="L119" s="1612"/>
    </row>
    <row r="120" spans="1:12" ht="30" customHeight="1" x14ac:dyDescent="0.2">
      <c r="A120" s="4464"/>
      <c r="B120" s="4488"/>
      <c r="C120" s="4540"/>
      <c r="D120" s="4259">
        <v>165237840</v>
      </c>
      <c r="E120" s="4272">
        <v>0.08</v>
      </c>
      <c r="F120" s="4259">
        <f t="shared" si="13"/>
        <v>13219027.200000001</v>
      </c>
      <c r="G120" s="4469" t="s">
        <v>6091</v>
      </c>
      <c r="H120" s="4470"/>
      <c r="I120" s="4470"/>
      <c r="J120" s="4471"/>
      <c r="K120" s="4259"/>
      <c r="L120" s="1612"/>
    </row>
    <row r="121" spans="1:12" ht="30" customHeight="1" x14ac:dyDescent="0.2">
      <c r="A121" s="4464"/>
      <c r="B121" s="4488"/>
      <c r="C121" s="4540"/>
      <c r="D121" s="4259">
        <v>22190000</v>
      </c>
      <c r="E121" s="4272">
        <v>0.08</v>
      </c>
      <c r="F121" s="4259">
        <f t="shared" si="13"/>
        <v>1775200</v>
      </c>
      <c r="G121" s="4469" t="s">
        <v>6088</v>
      </c>
      <c r="H121" s="4470"/>
      <c r="I121" s="4470"/>
      <c r="J121" s="4471"/>
      <c r="K121" s="4259"/>
      <c r="L121" s="1612"/>
    </row>
    <row r="122" spans="1:12" ht="30" customHeight="1" x14ac:dyDescent="0.2">
      <c r="A122" s="4464"/>
      <c r="B122" s="4458"/>
      <c r="C122" s="4538"/>
      <c r="D122" s="4260">
        <f>SUM(D117:D121)</f>
        <v>2451198840</v>
      </c>
      <c r="E122" s="4277">
        <v>0.08</v>
      </c>
      <c r="F122" s="4260">
        <f t="shared" si="13"/>
        <v>196095907.20000002</v>
      </c>
      <c r="G122" s="4469" t="s">
        <v>6089</v>
      </c>
      <c r="H122" s="4470"/>
      <c r="I122" s="4470"/>
      <c r="J122" s="4471"/>
      <c r="K122" s="4259"/>
      <c r="L122" s="1612"/>
    </row>
    <row r="123" spans="1:12" ht="30" customHeight="1" x14ac:dyDescent="0.2">
      <c r="A123" s="4275">
        <v>57</v>
      </c>
      <c r="B123" s="4274" t="s">
        <v>1077</v>
      </c>
      <c r="C123" s="4273" t="s">
        <v>1298</v>
      </c>
      <c r="D123" s="4259">
        <v>317000000</v>
      </c>
      <c r="E123" s="4272">
        <v>7.0000000000000007E-2</v>
      </c>
      <c r="F123" s="4259">
        <f t="shared" si="13"/>
        <v>22190000.000000004</v>
      </c>
      <c r="G123" s="4469" t="s">
        <v>6087</v>
      </c>
      <c r="H123" s="4470"/>
      <c r="I123" s="4470"/>
      <c r="J123" s="4471"/>
      <c r="K123" s="4259"/>
      <c r="L123" s="4265"/>
    </row>
    <row r="124" spans="1:12" ht="30" customHeight="1" x14ac:dyDescent="0.2">
      <c r="A124" s="4459"/>
      <c r="B124" s="4457" t="s">
        <v>5915</v>
      </c>
      <c r="C124" s="4537"/>
      <c r="D124" s="4094">
        <v>27000000</v>
      </c>
      <c r="E124" s="4096"/>
      <c r="F124" s="4094"/>
      <c r="G124" s="4469" t="s">
        <v>5916</v>
      </c>
      <c r="H124" s="4470"/>
      <c r="I124" s="4470"/>
      <c r="J124" s="4471"/>
      <c r="K124" s="4093"/>
      <c r="L124" s="4113"/>
    </row>
    <row r="125" spans="1:12" ht="30" customHeight="1" x14ac:dyDescent="0.2">
      <c r="A125" s="4464"/>
      <c r="B125" s="4488"/>
      <c r="C125" s="4540"/>
      <c r="D125" s="4094">
        <v>23000000</v>
      </c>
      <c r="E125" s="4096"/>
      <c r="F125" s="4094"/>
      <c r="G125" s="4469" t="s">
        <v>5917</v>
      </c>
      <c r="H125" s="4470"/>
      <c r="I125" s="4470"/>
      <c r="J125" s="4471"/>
      <c r="K125" s="4093"/>
      <c r="L125" s="4113"/>
    </row>
    <row r="126" spans="1:12" ht="30" customHeight="1" x14ac:dyDescent="0.2">
      <c r="A126" s="4460"/>
      <c r="B126" s="4458"/>
      <c r="C126" s="4538"/>
      <c r="D126" s="4099">
        <f>SUM(D124:D125)</f>
        <v>50000000</v>
      </c>
      <c r="E126" s="4098"/>
      <c r="F126" s="4099"/>
      <c r="G126" s="4100"/>
      <c r="H126" s="4102"/>
      <c r="I126" s="4102"/>
      <c r="J126" s="4101"/>
      <c r="K126" s="4093"/>
      <c r="L126" s="4113"/>
    </row>
    <row r="127" spans="1:12" ht="30" customHeight="1" x14ac:dyDescent="0.2">
      <c r="A127" s="4459"/>
      <c r="B127" s="4457" t="s">
        <v>5232</v>
      </c>
      <c r="C127" s="4537" t="s">
        <v>1796</v>
      </c>
      <c r="D127" s="3493">
        <v>56000000</v>
      </c>
      <c r="E127" s="3499">
        <v>7.0000000000000007E-2</v>
      </c>
      <c r="F127" s="3493">
        <f>D127*E127</f>
        <v>3920000.0000000005</v>
      </c>
      <c r="G127" s="4793" t="s">
        <v>6084</v>
      </c>
      <c r="H127" s="4794"/>
      <c r="I127" s="4794"/>
      <c r="J127" s="4795"/>
      <c r="K127" s="3492"/>
      <c r="L127" s="180" t="s">
        <v>5282</v>
      </c>
    </row>
    <row r="128" spans="1:12" ht="30" customHeight="1" x14ac:dyDescent="0.2">
      <c r="A128" s="4460"/>
      <c r="B128" s="4458"/>
      <c r="C128" s="4538"/>
      <c r="D128" s="3493">
        <v>100000000</v>
      </c>
      <c r="E128" s="3499">
        <v>7.0000000000000007E-2</v>
      </c>
      <c r="F128" s="3493">
        <f>D128*E128</f>
        <v>7000000.0000000009</v>
      </c>
      <c r="G128" s="4799"/>
      <c r="H128" s="4800"/>
      <c r="I128" s="4800"/>
      <c r="J128" s="4801"/>
      <c r="K128" s="3492"/>
      <c r="L128" s="3559"/>
    </row>
    <row r="129" spans="1:12" ht="30" customHeight="1" x14ac:dyDescent="0.2">
      <c r="A129" s="4459">
        <v>58</v>
      </c>
      <c r="B129" s="4457" t="s">
        <v>1064</v>
      </c>
      <c r="C129" s="4537" t="s">
        <v>889</v>
      </c>
      <c r="D129" s="3493">
        <v>11000000</v>
      </c>
      <c r="E129" s="3535">
        <v>7.0000000000000007E-2</v>
      </c>
      <c r="F129" s="3493">
        <v>700000</v>
      </c>
      <c r="G129" s="4413">
        <v>2100000</v>
      </c>
      <c r="H129" s="4413" t="s">
        <v>1649</v>
      </c>
      <c r="I129" s="4558" t="s">
        <v>1066</v>
      </c>
      <c r="J129" s="4413">
        <f>G129</f>
        <v>2100000</v>
      </c>
      <c r="K129" s="4413">
        <f>(F129+F130)-J129</f>
        <v>0</v>
      </c>
      <c r="L129" s="3539"/>
    </row>
    <row r="130" spans="1:12" ht="30" customHeight="1" x14ac:dyDescent="0.2">
      <c r="A130" s="4464"/>
      <c r="B130" s="4488"/>
      <c r="C130" s="4540"/>
      <c r="D130" s="3493">
        <v>20000000</v>
      </c>
      <c r="E130" s="3535">
        <v>7.0000000000000007E-2</v>
      </c>
      <c r="F130" s="3493">
        <f>D130*E130</f>
        <v>1400000.0000000002</v>
      </c>
      <c r="G130" s="4415"/>
      <c r="H130" s="4415"/>
      <c r="I130" s="4560"/>
      <c r="J130" s="4415"/>
      <c r="K130" s="4415"/>
      <c r="L130" s="3573"/>
    </row>
    <row r="131" spans="1:12" ht="30" customHeight="1" x14ac:dyDescent="0.2">
      <c r="A131" s="4460"/>
      <c r="B131" s="4458"/>
      <c r="C131" s="4538"/>
      <c r="D131" s="3778">
        <v>30000000</v>
      </c>
      <c r="E131" s="3815">
        <v>7.0000000000000007E-2</v>
      </c>
      <c r="F131" s="3778">
        <f>D131*E131</f>
        <v>2100000</v>
      </c>
      <c r="G131" s="4469" t="s">
        <v>5565</v>
      </c>
      <c r="H131" s="4470"/>
      <c r="I131" s="4470"/>
      <c r="J131" s="4471"/>
      <c r="K131" s="3777"/>
      <c r="L131" s="3779" t="s">
        <v>5566</v>
      </c>
    </row>
    <row r="132" spans="1:12" ht="30" customHeight="1" x14ac:dyDescent="0.2">
      <c r="A132" s="4459"/>
      <c r="B132" s="4457" t="s">
        <v>194</v>
      </c>
      <c r="C132" s="4537" t="s">
        <v>1295</v>
      </c>
      <c r="D132" s="3493">
        <v>100000000</v>
      </c>
      <c r="E132" s="3535">
        <v>5.1999999999999998E-2</v>
      </c>
      <c r="F132" s="3493">
        <f t="shared" si="12"/>
        <v>5200000</v>
      </c>
      <c r="G132" s="4325" t="s">
        <v>6121</v>
      </c>
      <c r="H132" s="4326"/>
      <c r="I132" s="4326"/>
      <c r="J132" s="4563"/>
      <c r="K132" s="4413">
        <f>(F132+F133)-J132</f>
        <v>6000000</v>
      </c>
      <c r="L132" s="638" t="s">
        <v>5360</v>
      </c>
    </row>
    <row r="133" spans="1:12" ht="30" customHeight="1" x14ac:dyDescent="0.2">
      <c r="A133" s="4464"/>
      <c r="B133" s="4488"/>
      <c r="C133" s="4540"/>
      <c r="D133" s="3493">
        <v>15000000</v>
      </c>
      <c r="E133" s="3535">
        <v>5.5E-2</v>
      </c>
      <c r="F133" s="3493">
        <v>800000</v>
      </c>
      <c r="G133" s="4612"/>
      <c r="H133" s="4359"/>
      <c r="I133" s="4359"/>
      <c r="J133" s="4613"/>
      <c r="K133" s="4415"/>
      <c r="L133" s="180"/>
    </row>
    <row r="134" spans="1:12" ht="30" customHeight="1" x14ac:dyDescent="0.2">
      <c r="A134" s="4464"/>
      <c r="B134" s="4488"/>
      <c r="C134" s="4540"/>
      <c r="D134" s="3493">
        <v>29000000</v>
      </c>
      <c r="E134" s="3535">
        <v>5.1999999999999998E-2</v>
      </c>
      <c r="F134" s="3493">
        <v>1500000</v>
      </c>
      <c r="G134" s="4612"/>
      <c r="H134" s="4359"/>
      <c r="I134" s="4359"/>
      <c r="J134" s="4613"/>
      <c r="K134" s="3493"/>
      <c r="L134" s="180" t="s">
        <v>5923</v>
      </c>
    </row>
    <row r="135" spans="1:12" ht="30" customHeight="1" x14ac:dyDescent="0.2">
      <c r="A135" s="4464"/>
      <c r="B135" s="4488"/>
      <c r="C135" s="4540"/>
      <c r="D135" s="3493">
        <v>6000000</v>
      </c>
      <c r="E135" s="3535">
        <v>5.1999999999999998E-2</v>
      </c>
      <c r="F135" s="3493">
        <v>300000</v>
      </c>
      <c r="G135" s="4612"/>
      <c r="H135" s="4359"/>
      <c r="I135" s="4359"/>
      <c r="J135" s="4613"/>
      <c r="K135" s="3493"/>
      <c r="L135" s="180" t="s">
        <v>4991</v>
      </c>
    </row>
    <row r="136" spans="1:12" ht="30" customHeight="1" x14ac:dyDescent="0.2">
      <c r="A136" s="4464"/>
      <c r="B136" s="4488"/>
      <c r="C136" s="4540"/>
      <c r="D136" s="3599">
        <v>10000000</v>
      </c>
      <c r="E136" s="3612">
        <v>0.05</v>
      </c>
      <c r="F136" s="3599">
        <f>E136*D136</f>
        <v>500000</v>
      </c>
      <c r="G136" s="4564"/>
      <c r="H136" s="4596"/>
      <c r="I136" s="4596"/>
      <c r="J136" s="4565"/>
      <c r="K136" s="3599"/>
      <c r="L136" s="180"/>
    </row>
    <row r="137" spans="1:12" ht="30" customHeight="1" x14ac:dyDescent="0.2">
      <c r="A137" s="4460"/>
      <c r="B137" s="4458"/>
      <c r="C137" s="4538"/>
      <c r="D137" s="3604">
        <v>160000000</v>
      </c>
      <c r="E137" s="436">
        <v>5.1999999999999998E-2</v>
      </c>
      <c r="F137" s="3604">
        <v>8300000</v>
      </c>
      <c r="G137" s="3599"/>
      <c r="H137" s="3599"/>
      <c r="I137" s="3605"/>
      <c r="J137" s="3599"/>
      <c r="K137" s="3599"/>
      <c r="L137" s="180"/>
    </row>
    <row r="138" spans="1:12" ht="30" customHeight="1" x14ac:dyDescent="0.2">
      <c r="A138" s="3538">
        <v>60</v>
      </c>
      <c r="B138" s="3539" t="s">
        <v>1498</v>
      </c>
      <c r="C138" s="3515" t="s">
        <v>889</v>
      </c>
      <c r="D138" s="3493"/>
      <c r="E138" s="3535"/>
      <c r="F138" s="3493">
        <f t="shared" si="12"/>
        <v>0</v>
      </c>
      <c r="G138" s="3493">
        <v>10000000</v>
      </c>
      <c r="H138" s="3493" t="s">
        <v>5343</v>
      </c>
      <c r="I138" s="3594" t="s">
        <v>5355</v>
      </c>
      <c r="J138" s="3493">
        <f>G138</f>
        <v>10000000</v>
      </c>
      <c r="K138" s="3493">
        <f>F138-J138</f>
        <v>-10000000</v>
      </c>
      <c r="L138" s="3539"/>
    </row>
    <row r="139" spans="1:12" ht="30" customHeight="1" x14ac:dyDescent="0.2">
      <c r="A139" s="3497">
        <v>61</v>
      </c>
      <c r="B139" s="3539" t="s">
        <v>196</v>
      </c>
      <c r="C139" s="3515"/>
      <c r="D139" s="3493">
        <v>100000000</v>
      </c>
      <c r="E139" s="3535">
        <v>7.0000000000000007E-2</v>
      </c>
      <c r="F139" s="3493">
        <f t="shared" si="12"/>
        <v>7000000.0000000009</v>
      </c>
      <c r="G139" s="3493">
        <v>7000000</v>
      </c>
      <c r="H139" s="3493" t="s">
        <v>5437</v>
      </c>
      <c r="I139" s="3594" t="s">
        <v>3466</v>
      </c>
      <c r="J139" s="3493">
        <f>G139</f>
        <v>7000000</v>
      </c>
      <c r="K139" s="3493">
        <f>F139-J139</f>
        <v>0</v>
      </c>
      <c r="L139" s="3539"/>
    </row>
    <row r="140" spans="1:12" ht="30" customHeight="1" x14ac:dyDescent="0.2">
      <c r="A140" s="4459">
        <v>62</v>
      </c>
      <c r="B140" s="4457" t="s">
        <v>197</v>
      </c>
      <c r="C140" s="4537"/>
      <c r="D140" s="4506">
        <v>125000000</v>
      </c>
      <c r="E140" s="4512">
        <v>5.1999999999999998E-2</v>
      </c>
      <c r="F140" s="4506">
        <f t="shared" si="12"/>
        <v>6500000</v>
      </c>
      <c r="G140" s="4217">
        <v>5000000</v>
      </c>
      <c r="H140" s="4217" t="s">
        <v>5370</v>
      </c>
      <c r="I140" s="4217" t="s">
        <v>1251</v>
      </c>
      <c r="J140" s="4217">
        <f>G140</f>
        <v>5000000</v>
      </c>
      <c r="K140" s="4217">
        <f>F140-J140</f>
        <v>1500000</v>
      </c>
      <c r="L140" s="3573" t="s">
        <v>6017</v>
      </c>
    </row>
    <row r="141" spans="1:12" ht="30" customHeight="1" x14ac:dyDescent="0.2">
      <c r="A141" s="4460"/>
      <c r="B141" s="4458"/>
      <c r="C141" s="4538"/>
      <c r="D141" s="4508"/>
      <c r="E141" s="4514"/>
      <c r="F141" s="4508"/>
      <c r="G141" s="4217">
        <v>3850000</v>
      </c>
      <c r="H141" s="4217" t="s">
        <v>6007</v>
      </c>
      <c r="I141" s="4217" t="s">
        <v>1251</v>
      </c>
      <c r="J141" s="4217">
        <f>G141</f>
        <v>3850000</v>
      </c>
      <c r="K141" s="4220"/>
      <c r="L141" s="4199" t="s">
        <v>6018</v>
      </c>
    </row>
    <row r="142" spans="1:12" ht="30" customHeight="1" x14ac:dyDescent="0.2">
      <c r="A142" s="4614"/>
      <c r="B142" s="4457" t="s">
        <v>198</v>
      </c>
      <c r="C142" s="4537" t="s">
        <v>889</v>
      </c>
      <c r="D142" s="3851">
        <v>2000000000</v>
      </c>
      <c r="E142" s="3535">
        <v>7.0000000000000007E-2</v>
      </c>
      <c r="F142" s="3524">
        <f>D142*E142</f>
        <v>140000000</v>
      </c>
      <c r="G142" s="4916" t="s">
        <v>4810</v>
      </c>
      <c r="H142" s="4917"/>
      <c r="I142" s="4917"/>
      <c r="J142" s="4918"/>
      <c r="K142" s="3493"/>
      <c r="L142" s="29"/>
    </row>
    <row r="143" spans="1:12" ht="30" customHeight="1" x14ac:dyDescent="0.2">
      <c r="A143" s="4614"/>
      <c r="B143" s="4488"/>
      <c r="C143" s="4540"/>
      <c r="D143" s="3826">
        <v>300000000</v>
      </c>
      <c r="E143" s="3499">
        <v>7.0000000000000007E-2</v>
      </c>
      <c r="F143" s="3493">
        <f>D143*E143</f>
        <v>21000000.000000004</v>
      </c>
      <c r="G143" s="4916" t="s">
        <v>5347</v>
      </c>
      <c r="H143" s="4917"/>
      <c r="I143" s="4917"/>
      <c r="J143" s="4918"/>
      <c r="K143" s="3493"/>
      <c r="L143" s="29" t="s">
        <v>5241</v>
      </c>
    </row>
    <row r="144" spans="1:12" ht="30" customHeight="1" x14ac:dyDescent="0.2">
      <c r="A144" s="4614"/>
      <c r="B144" s="4488"/>
      <c r="C144" s="4540"/>
      <c r="D144" s="4303" t="s">
        <v>4908</v>
      </c>
      <c r="E144" s="4324"/>
      <c r="F144" s="4355"/>
      <c r="G144" s="3493">
        <v>49100000</v>
      </c>
      <c r="H144" s="3493" t="s">
        <v>5348</v>
      </c>
      <c r="I144" s="65" t="s">
        <v>3724</v>
      </c>
      <c r="J144" s="3493">
        <f>G144</f>
        <v>49100000</v>
      </c>
      <c r="K144" s="3493">
        <v>0</v>
      </c>
      <c r="L144" s="4492" t="s">
        <v>6014</v>
      </c>
    </row>
    <row r="145" spans="1:12" ht="30" customHeight="1" x14ac:dyDescent="0.2">
      <c r="A145" s="4614"/>
      <c r="B145" s="4488"/>
      <c r="C145" s="4540"/>
      <c r="D145" s="3851">
        <v>100000000</v>
      </c>
      <c r="E145" s="3499">
        <v>7.0000000000000007E-2</v>
      </c>
      <c r="F145" s="3524">
        <f>D145*E145</f>
        <v>7000000.0000000009</v>
      </c>
      <c r="G145" s="3493"/>
      <c r="H145" s="3493"/>
      <c r="I145" s="65"/>
      <c r="J145" s="3493"/>
      <c r="K145" s="3493"/>
      <c r="L145" s="4493"/>
    </row>
    <row r="146" spans="1:12" ht="30" customHeight="1" x14ac:dyDescent="0.2">
      <c r="A146" s="4614"/>
      <c r="B146" s="4488"/>
      <c r="C146" s="4540"/>
      <c r="D146" s="3839">
        <v>150000000</v>
      </c>
      <c r="E146" s="3499">
        <v>7.0000000000000007E-2</v>
      </c>
      <c r="F146" s="3524">
        <f>D146*E146</f>
        <v>10500000.000000002</v>
      </c>
      <c r="G146" s="3493"/>
      <c r="H146" s="3493"/>
      <c r="I146" s="65"/>
      <c r="J146" s="3493"/>
      <c r="K146" s="3493"/>
      <c r="L146" s="29" t="s">
        <v>5349</v>
      </c>
    </row>
    <row r="147" spans="1:12" ht="30" customHeight="1" x14ac:dyDescent="0.2">
      <c r="A147" s="4614"/>
      <c r="B147" s="4458"/>
      <c r="C147" s="4538"/>
      <c r="D147" s="3582">
        <v>2550000000</v>
      </c>
      <c r="E147" s="3584">
        <v>7.0000000000000007E-2</v>
      </c>
      <c r="F147" s="3582">
        <f>D147*E147</f>
        <v>178500000.00000003</v>
      </c>
      <c r="G147" s="4469" t="s">
        <v>5588</v>
      </c>
      <c r="H147" s="4470"/>
      <c r="I147" s="4470"/>
      <c r="J147" s="4471"/>
      <c r="K147" s="3493"/>
      <c r="L147" s="3780" t="s">
        <v>5589</v>
      </c>
    </row>
    <row r="148" spans="1:12" ht="30" customHeight="1" x14ac:dyDescent="0.2">
      <c r="A148" s="3497">
        <v>64</v>
      </c>
      <c r="B148" s="3502" t="s">
        <v>1336</v>
      </c>
      <c r="C148" s="3515" t="s">
        <v>889</v>
      </c>
      <c r="D148" s="3493">
        <v>200000000</v>
      </c>
      <c r="E148" s="3499">
        <v>5.5E-2</v>
      </c>
      <c r="F148" s="3493">
        <f t="shared" si="12"/>
        <v>11000000</v>
      </c>
      <c r="G148" s="3493">
        <v>11000000</v>
      </c>
      <c r="H148" s="3493" t="s">
        <v>5361</v>
      </c>
      <c r="I148" s="3594" t="s">
        <v>3925</v>
      </c>
      <c r="J148" s="3493">
        <f>G148</f>
        <v>11000000</v>
      </c>
      <c r="K148" s="3493">
        <f t="shared" ref="K148:K163" si="14">F148-J148</f>
        <v>0</v>
      </c>
      <c r="L148" s="3573"/>
    </row>
    <row r="149" spans="1:12" ht="30" customHeight="1" x14ac:dyDescent="0.2">
      <c r="A149" s="3497"/>
      <c r="B149" s="3502" t="s">
        <v>4818</v>
      </c>
      <c r="C149" s="3515" t="s">
        <v>889</v>
      </c>
      <c r="D149" s="3524">
        <v>534000000</v>
      </c>
      <c r="E149" s="3535">
        <f>F149/D149</f>
        <v>6.1573033707865168E-2</v>
      </c>
      <c r="F149" s="3524">
        <v>32880000</v>
      </c>
      <c r="G149" s="3524">
        <v>32880000</v>
      </c>
      <c r="H149" s="3524" t="s">
        <v>1527</v>
      </c>
      <c r="I149" s="3546" t="s">
        <v>3501</v>
      </c>
      <c r="J149" s="3524">
        <f>G149</f>
        <v>32880000</v>
      </c>
      <c r="K149" s="3524">
        <f>F149-J149</f>
        <v>0</v>
      </c>
      <c r="L149" s="3504"/>
    </row>
    <row r="150" spans="1:12" ht="30" customHeight="1" x14ac:dyDescent="0.2">
      <c r="A150" s="4459"/>
      <c r="B150" s="4457" t="s">
        <v>4818</v>
      </c>
      <c r="C150" s="4537" t="s">
        <v>262</v>
      </c>
      <c r="D150" s="4052">
        <v>534000000</v>
      </c>
      <c r="E150" s="4063">
        <v>6.2E-2</v>
      </c>
      <c r="F150" s="4052">
        <v>32880000</v>
      </c>
      <c r="G150" s="4469" t="s">
        <v>5870</v>
      </c>
      <c r="H150" s="4470"/>
      <c r="I150" s="4470"/>
      <c r="J150" s="4471"/>
      <c r="K150" s="4052"/>
      <c r="L150" s="4062"/>
    </row>
    <row r="151" spans="1:12" ht="30" customHeight="1" x14ac:dyDescent="0.2">
      <c r="A151" s="4464"/>
      <c r="B151" s="4488"/>
      <c r="C151" s="4540"/>
      <c r="D151" s="4052">
        <v>20000000</v>
      </c>
      <c r="E151" s="4063">
        <v>7.0000000000000007E-2</v>
      </c>
      <c r="F151" s="4052">
        <f>D151*E151</f>
        <v>1400000.0000000002</v>
      </c>
      <c r="G151" s="4469" t="s">
        <v>5871</v>
      </c>
      <c r="H151" s="4470"/>
      <c r="I151" s="4470"/>
      <c r="J151" s="4471"/>
      <c r="K151" s="4052"/>
      <c r="L151" s="4062" t="s">
        <v>5866</v>
      </c>
    </row>
    <row r="152" spans="1:12" ht="30" customHeight="1" x14ac:dyDescent="0.2">
      <c r="A152" s="4464"/>
      <c r="B152" s="4488"/>
      <c r="C152" s="4540"/>
      <c r="D152" s="4052">
        <v>30000000</v>
      </c>
      <c r="E152" s="4063">
        <v>7.0000000000000007E-2</v>
      </c>
      <c r="F152" s="4052">
        <f>D152*E152</f>
        <v>2100000</v>
      </c>
      <c r="G152" s="4469" t="s">
        <v>5872</v>
      </c>
      <c r="H152" s="4470"/>
      <c r="I152" s="4470"/>
      <c r="J152" s="4471"/>
      <c r="K152" s="4052"/>
      <c r="L152" s="4062" t="s">
        <v>5867</v>
      </c>
    </row>
    <row r="153" spans="1:12" ht="30" customHeight="1" x14ac:dyDescent="0.2">
      <c r="A153" s="4464"/>
      <c r="B153" s="4488"/>
      <c r="C153" s="4540"/>
      <c r="D153" s="4052">
        <v>20000000</v>
      </c>
      <c r="E153" s="4063">
        <v>7.0000000000000007E-2</v>
      </c>
      <c r="F153" s="4052">
        <f>D153*E153</f>
        <v>1400000.0000000002</v>
      </c>
      <c r="G153" s="4469" t="s">
        <v>5872</v>
      </c>
      <c r="H153" s="4470"/>
      <c r="I153" s="4470"/>
      <c r="J153" s="4471"/>
      <c r="K153" s="4052"/>
      <c r="L153" s="4062" t="s">
        <v>5868</v>
      </c>
    </row>
    <row r="154" spans="1:12" ht="30" customHeight="1" x14ac:dyDescent="0.2">
      <c r="A154" s="4464"/>
      <c r="B154" s="4488"/>
      <c r="C154" s="4540"/>
      <c r="D154" s="4052">
        <v>20000000</v>
      </c>
      <c r="E154" s="4063">
        <v>7.0000000000000007E-2</v>
      </c>
      <c r="F154" s="4052">
        <f>D154*E154</f>
        <v>1400000.0000000002</v>
      </c>
      <c r="G154" s="4469" t="s">
        <v>5874</v>
      </c>
      <c r="H154" s="4470"/>
      <c r="I154" s="4470"/>
      <c r="J154" s="4471"/>
      <c r="K154" s="4052"/>
      <c r="L154" s="4062" t="s">
        <v>5873</v>
      </c>
    </row>
    <row r="155" spans="1:12" ht="30" customHeight="1" x14ac:dyDescent="0.2">
      <c r="A155" s="4460"/>
      <c r="B155" s="4458"/>
      <c r="C155" s="4538"/>
      <c r="D155" s="4071">
        <f>SUM(D150:D154)</f>
        <v>624000000</v>
      </c>
      <c r="E155" s="897"/>
      <c r="F155" s="4071">
        <f>SUM(F150:F154)</f>
        <v>39180000</v>
      </c>
      <c r="G155" s="4052"/>
      <c r="H155" s="4052"/>
      <c r="I155" s="4065"/>
      <c r="J155" s="4052"/>
      <c r="K155" s="4052"/>
      <c r="L155" s="4062" t="s">
        <v>5869</v>
      </c>
    </row>
    <row r="156" spans="1:12" ht="30" customHeight="1" x14ac:dyDescent="0.2">
      <c r="A156" s="3496">
        <v>68</v>
      </c>
      <c r="B156" s="3539" t="s">
        <v>202</v>
      </c>
      <c r="C156" s="3541" t="s">
        <v>1295</v>
      </c>
      <c r="D156" s="3524">
        <v>150000000</v>
      </c>
      <c r="E156" s="3535">
        <v>0.05</v>
      </c>
      <c r="F156" s="3524">
        <f t="shared" si="12"/>
        <v>7500000</v>
      </c>
      <c r="G156" s="3524">
        <v>7500000</v>
      </c>
      <c r="H156" s="3524" t="s">
        <v>5361</v>
      </c>
      <c r="I156" s="1539" t="s">
        <v>3926</v>
      </c>
      <c r="J156" s="3524">
        <f t="shared" ref="J156:J161" si="15">G156</f>
        <v>7500000</v>
      </c>
      <c r="K156" s="3524">
        <f t="shared" si="14"/>
        <v>0</v>
      </c>
      <c r="L156" s="3517"/>
    </row>
    <row r="157" spans="1:12" ht="30" customHeight="1" x14ac:dyDescent="0.2">
      <c r="A157" s="1029">
        <v>69</v>
      </c>
      <c r="B157" s="3331" t="s">
        <v>203</v>
      </c>
      <c r="C157" s="3033" t="s">
        <v>889</v>
      </c>
      <c r="D157" s="2550">
        <v>280000000</v>
      </c>
      <c r="E157" s="2551">
        <f>F157/D157</f>
        <v>7.0000000000000007E-2</v>
      </c>
      <c r="F157" s="2550">
        <v>19600000</v>
      </c>
      <c r="G157" s="2550">
        <v>19600000</v>
      </c>
      <c r="H157" s="2550" t="s">
        <v>5361</v>
      </c>
      <c r="I157" s="4048" t="s">
        <v>934</v>
      </c>
      <c r="J157" s="2550">
        <f>G157</f>
        <v>19600000</v>
      </c>
      <c r="K157" s="2550">
        <f t="shared" si="14"/>
        <v>0</v>
      </c>
      <c r="L157" s="4027" t="s">
        <v>5802</v>
      </c>
    </row>
    <row r="158" spans="1:12" ht="30" customHeight="1" x14ac:dyDescent="0.2">
      <c r="A158" s="4459">
        <v>70</v>
      </c>
      <c r="B158" s="4457" t="s">
        <v>204</v>
      </c>
      <c r="C158" s="4537" t="s">
        <v>889</v>
      </c>
      <c r="D158" s="3524">
        <v>100000000</v>
      </c>
      <c r="E158" s="3535">
        <v>0.04</v>
      </c>
      <c r="F158" s="3524">
        <f t="shared" si="12"/>
        <v>4000000</v>
      </c>
      <c r="G158" s="3524"/>
      <c r="H158" s="3524"/>
      <c r="I158" s="3564" t="s">
        <v>3405</v>
      </c>
      <c r="J158" s="3524">
        <f t="shared" si="15"/>
        <v>0</v>
      </c>
      <c r="K158" s="3524">
        <f t="shared" si="14"/>
        <v>4000000</v>
      </c>
      <c r="L158" s="3517"/>
    </row>
    <row r="159" spans="1:12" ht="30" customHeight="1" x14ac:dyDescent="0.2">
      <c r="A159" s="4460"/>
      <c r="B159" s="4458"/>
      <c r="C159" s="4538"/>
      <c r="D159" s="4303" t="s">
        <v>4932</v>
      </c>
      <c r="E159" s="4324"/>
      <c r="F159" s="4355"/>
      <c r="G159" s="3491"/>
      <c r="H159" s="3491"/>
      <c r="I159" s="3529" t="s">
        <v>1385</v>
      </c>
      <c r="J159" s="3491">
        <f t="shared" si="15"/>
        <v>0</v>
      </c>
      <c r="K159" s="3491">
        <v>0</v>
      </c>
      <c r="L159" s="3562"/>
    </row>
    <row r="160" spans="1:12" ht="30" customHeight="1" x14ac:dyDescent="0.2">
      <c r="A160" s="3664"/>
      <c r="B160" s="3666" t="s">
        <v>5402</v>
      </c>
      <c r="C160" s="3676"/>
      <c r="D160" s="3675">
        <v>450000000</v>
      </c>
      <c r="E160" s="3675"/>
      <c r="F160" s="3675"/>
      <c r="G160" s="3658"/>
      <c r="H160" s="3658"/>
      <c r="I160" s="3677"/>
      <c r="J160" s="3658"/>
      <c r="K160" s="3658"/>
      <c r="L160" s="737" t="s">
        <v>5403</v>
      </c>
    </row>
    <row r="161" spans="1:12" ht="30" customHeight="1" x14ac:dyDescent="0.2">
      <c r="A161" s="4459"/>
      <c r="B161" s="4457" t="s">
        <v>205</v>
      </c>
      <c r="C161" s="4537" t="s">
        <v>889</v>
      </c>
      <c r="D161" s="3493">
        <v>30000000</v>
      </c>
      <c r="E161" s="3499">
        <v>0.05</v>
      </c>
      <c r="F161" s="3493">
        <f t="shared" si="12"/>
        <v>1500000</v>
      </c>
      <c r="G161" s="4413">
        <v>2000000</v>
      </c>
      <c r="H161" s="4413" t="s">
        <v>5343</v>
      </c>
      <c r="I161" s="4413" t="s">
        <v>1407</v>
      </c>
      <c r="J161" s="4413">
        <f t="shared" si="15"/>
        <v>2000000</v>
      </c>
      <c r="K161" s="4413">
        <f>(F161+F162)-J161</f>
        <v>0</v>
      </c>
      <c r="L161" s="3508"/>
    </row>
    <row r="162" spans="1:12" ht="30" customHeight="1" x14ac:dyDescent="0.2">
      <c r="A162" s="4460"/>
      <c r="B162" s="4458"/>
      <c r="C162" s="4538"/>
      <c r="D162" s="3492">
        <v>10000000</v>
      </c>
      <c r="E162" s="3509">
        <v>0.05</v>
      </c>
      <c r="F162" s="3492">
        <f t="shared" si="12"/>
        <v>500000</v>
      </c>
      <c r="G162" s="4415"/>
      <c r="H162" s="4415"/>
      <c r="I162" s="4415"/>
      <c r="J162" s="4415"/>
      <c r="K162" s="4415"/>
      <c r="L162" s="3560"/>
    </row>
    <row r="163" spans="1:12" ht="30" customHeight="1" x14ac:dyDescent="0.2">
      <c r="A163" s="4459">
        <v>72</v>
      </c>
      <c r="B163" s="4457" t="s">
        <v>1023</v>
      </c>
      <c r="C163" s="4537" t="s">
        <v>1718</v>
      </c>
      <c r="D163" s="4413">
        <v>1685000000</v>
      </c>
      <c r="E163" s="4476">
        <v>0.06</v>
      </c>
      <c r="F163" s="4413">
        <f t="shared" si="12"/>
        <v>101100000</v>
      </c>
      <c r="G163" s="3493">
        <v>50000000</v>
      </c>
      <c r="H163" s="3493" t="s">
        <v>5370</v>
      </c>
      <c r="I163" s="3594" t="s">
        <v>3067</v>
      </c>
      <c r="J163" s="4413">
        <f>G163+G164</f>
        <v>100000000</v>
      </c>
      <c r="K163" s="4413">
        <f t="shared" si="14"/>
        <v>1100000</v>
      </c>
      <c r="L163" s="4652"/>
    </row>
    <row r="164" spans="1:12" ht="30" customHeight="1" x14ac:dyDescent="0.2">
      <c r="A164" s="4464"/>
      <c r="B164" s="4488"/>
      <c r="C164" s="4540"/>
      <c r="D164" s="4415"/>
      <c r="E164" s="4477"/>
      <c r="F164" s="4415"/>
      <c r="G164" s="3493">
        <v>50000000</v>
      </c>
      <c r="H164" s="3493" t="s">
        <v>1879</v>
      </c>
      <c r="I164" s="3594" t="s">
        <v>3067</v>
      </c>
      <c r="J164" s="4415"/>
      <c r="K164" s="4415"/>
      <c r="L164" s="4653"/>
    </row>
    <row r="165" spans="1:12" ht="30" customHeight="1" x14ac:dyDescent="0.2">
      <c r="A165" s="4464"/>
      <c r="B165" s="4488"/>
      <c r="C165" s="4540"/>
      <c r="D165" s="4325" t="s">
        <v>6013</v>
      </c>
      <c r="E165" s="4326"/>
      <c r="F165" s="4563"/>
      <c r="G165" s="4198">
        <v>100000000</v>
      </c>
      <c r="H165" s="4198"/>
      <c r="I165" s="4213"/>
      <c r="J165" s="4413">
        <f>G165+G166+G167+G168+G169</f>
        <v>200000000</v>
      </c>
      <c r="K165" s="4413">
        <f>285000000-J165</f>
        <v>85000000</v>
      </c>
      <c r="L165" s="4201"/>
    </row>
    <row r="166" spans="1:12" ht="30" customHeight="1" x14ac:dyDescent="0.2">
      <c r="A166" s="4464"/>
      <c r="B166" s="4488"/>
      <c r="C166" s="4540"/>
      <c r="D166" s="4612"/>
      <c r="E166" s="4359"/>
      <c r="F166" s="4613"/>
      <c r="G166" s="4198">
        <v>50000000</v>
      </c>
      <c r="H166" s="4198"/>
      <c r="I166" s="4213"/>
      <c r="J166" s="4414"/>
      <c r="K166" s="4414"/>
      <c r="L166" s="4201"/>
    </row>
    <row r="167" spans="1:12" ht="30" customHeight="1" x14ac:dyDescent="0.2">
      <c r="A167" s="4464"/>
      <c r="B167" s="4488"/>
      <c r="C167" s="4540"/>
      <c r="D167" s="4612"/>
      <c r="E167" s="4359"/>
      <c r="F167" s="4613"/>
      <c r="G167" s="4198">
        <v>50000000</v>
      </c>
      <c r="H167" s="4198" t="s">
        <v>6007</v>
      </c>
      <c r="I167" s="4213" t="s">
        <v>3067</v>
      </c>
      <c r="J167" s="4414"/>
      <c r="K167" s="4414"/>
      <c r="L167" s="4201"/>
    </row>
    <row r="168" spans="1:12" ht="30" customHeight="1" x14ac:dyDescent="0.2">
      <c r="A168" s="4464"/>
      <c r="B168" s="4488"/>
      <c r="C168" s="4540"/>
      <c r="D168" s="4612"/>
      <c r="E168" s="4359"/>
      <c r="F168" s="4613"/>
      <c r="G168" s="4198"/>
      <c r="H168" s="4198"/>
      <c r="I168" s="4213"/>
      <c r="J168" s="4414"/>
      <c r="K168" s="4414"/>
      <c r="L168" s="4201"/>
    </row>
    <row r="169" spans="1:12" ht="30" customHeight="1" x14ac:dyDescent="0.2">
      <c r="A169" s="4464"/>
      <c r="B169" s="4488"/>
      <c r="C169" s="4540"/>
      <c r="D169" s="4564"/>
      <c r="E169" s="4596"/>
      <c r="F169" s="4565"/>
      <c r="G169" s="4198"/>
      <c r="H169" s="4198"/>
      <c r="I169" s="4213"/>
      <c r="J169" s="4415"/>
      <c r="K169" s="4415"/>
      <c r="L169" s="4201"/>
    </row>
    <row r="170" spans="1:12" ht="30" customHeight="1" x14ac:dyDescent="0.2">
      <c r="A170" s="4460"/>
      <c r="B170" s="4458"/>
      <c r="C170" s="4538"/>
      <c r="D170" s="4212">
        <f>D163-285000000</f>
        <v>1400000000</v>
      </c>
      <c r="E170" s="4210">
        <v>0.06</v>
      </c>
      <c r="F170" s="4212">
        <f>D170*E170</f>
        <v>84000000</v>
      </c>
      <c r="G170" s="4198"/>
      <c r="H170" s="4198"/>
      <c r="I170" s="4213"/>
      <c r="J170" s="4198"/>
      <c r="K170" s="4198"/>
      <c r="L170" s="4201"/>
    </row>
    <row r="171" spans="1:12" ht="30" customHeight="1" x14ac:dyDescent="0.2">
      <c r="A171" s="3497">
        <v>73</v>
      </c>
      <c r="B171" s="3539" t="s">
        <v>206</v>
      </c>
      <c r="C171" s="3515" t="s">
        <v>1293</v>
      </c>
      <c r="D171" s="3493">
        <v>20000000</v>
      </c>
      <c r="E171" s="3535">
        <v>0.05</v>
      </c>
      <c r="F171" s="3493">
        <f t="shared" si="12"/>
        <v>1000000</v>
      </c>
      <c r="G171" s="3493">
        <v>1000000</v>
      </c>
      <c r="H171" s="3493" t="s">
        <v>1527</v>
      </c>
      <c r="I171" s="3594" t="s">
        <v>4901</v>
      </c>
      <c r="J171" s="3493">
        <f>G171</f>
        <v>1000000</v>
      </c>
      <c r="K171" s="3493">
        <f>F171-J171</f>
        <v>0</v>
      </c>
      <c r="L171" s="3539"/>
    </row>
    <row r="172" spans="1:12" ht="30" customHeight="1" x14ac:dyDescent="0.2">
      <c r="A172" s="4459">
        <v>74</v>
      </c>
      <c r="B172" s="4457" t="s">
        <v>4205</v>
      </c>
      <c r="C172" s="4537" t="s">
        <v>2644</v>
      </c>
      <c r="D172" s="3493">
        <v>125000000</v>
      </c>
      <c r="E172" s="3535">
        <v>0.04</v>
      </c>
      <c r="F172" s="3493">
        <f t="shared" si="12"/>
        <v>5000000</v>
      </c>
      <c r="G172" s="4413">
        <v>10000000</v>
      </c>
      <c r="H172" s="4413" t="s">
        <v>5437</v>
      </c>
      <c r="I172" s="4413" t="s">
        <v>3067</v>
      </c>
      <c r="J172" s="4413">
        <f>G172</f>
        <v>10000000</v>
      </c>
      <c r="K172" s="4413">
        <f>(F172+F173+F174)-J172</f>
        <v>0</v>
      </c>
      <c r="L172" s="638"/>
    </row>
    <row r="173" spans="1:12" ht="30" customHeight="1" x14ac:dyDescent="0.2">
      <c r="A173" s="4464"/>
      <c r="B173" s="4488"/>
      <c r="C173" s="4540"/>
      <c r="D173" s="3493">
        <v>90000000</v>
      </c>
      <c r="E173" s="3535">
        <v>0.05</v>
      </c>
      <c r="F173" s="3493">
        <f t="shared" si="12"/>
        <v>4500000</v>
      </c>
      <c r="G173" s="4414"/>
      <c r="H173" s="4414"/>
      <c r="I173" s="4414"/>
      <c r="J173" s="4414"/>
      <c r="K173" s="4414"/>
      <c r="L173" s="180"/>
    </row>
    <row r="174" spans="1:12" ht="30" customHeight="1" x14ac:dyDescent="0.2">
      <c r="A174" s="4460"/>
      <c r="B174" s="4458"/>
      <c r="C174" s="4538"/>
      <c r="D174" s="3493">
        <v>10000000</v>
      </c>
      <c r="E174" s="3535">
        <v>0.05</v>
      </c>
      <c r="F174" s="3493">
        <f t="shared" si="12"/>
        <v>500000</v>
      </c>
      <c r="G174" s="4415"/>
      <c r="H174" s="4415"/>
      <c r="I174" s="4415"/>
      <c r="J174" s="4415"/>
      <c r="K174" s="4415"/>
      <c r="L174" s="29" t="s">
        <v>4974</v>
      </c>
    </row>
    <row r="175" spans="1:12" ht="30" customHeight="1" x14ac:dyDescent="0.2">
      <c r="A175" s="3538"/>
      <c r="B175" s="3539" t="s">
        <v>4207</v>
      </c>
      <c r="C175" s="3515" t="s">
        <v>262</v>
      </c>
      <c r="D175" s="3493">
        <v>200000000</v>
      </c>
      <c r="E175" s="3535">
        <v>0.05</v>
      </c>
      <c r="F175" s="3493">
        <f t="shared" si="12"/>
        <v>10000000</v>
      </c>
      <c r="G175" s="3493">
        <v>10000000</v>
      </c>
      <c r="H175" s="3493" t="s">
        <v>5370</v>
      </c>
      <c r="I175" s="3520" t="s">
        <v>4463</v>
      </c>
      <c r="J175" s="3493">
        <f>G175</f>
        <v>10000000</v>
      </c>
      <c r="K175" s="3493">
        <f>F175-J175</f>
        <v>0</v>
      </c>
      <c r="L175" s="737"/>
    </row>
    <row r="176" spans="1:12" ht="30" customHeight="1" x14ac:dyDescent="0.2">
      <c r="A176" s="3496"/>
      <c r="B176" s="3539" t="s">
        <v>208</v>
      </c>
      <c r="C176" s="3515" t="s">
        <v>392</v>
      </c>
      <c r="D176" s="3493">
        <v>50000000</v>
      </c>
      <c r="E176" s="3535">
        <v>0.05</v>
      </c>
      <c r="F176" s="3493">
        <f t="shared" si="12"/>
        <v>2500000</v>
      </c>
      <c r="G176" s="3493">
        <v>2500000</v>
      </c>
      <c r="H176" s="3493" t="s">
        <v>1527</v>
      </c>
      <c r="I176" s="3520" t="s">
        <v>5420</v>
      </c>
      <c r="J176" s="3493">
        <f>G176</f>
        <v>2500000</v>
      </c>
      <c r="K176" s="3493">
        <f>F176-J176</f>
        <v>0</v>
      </c>
      <c r="L176" s="180"/>
    </row>
    <row r="177" spans="1:16" ht="30" customHeight="1" x14ac:dyDescent="0.2">
      <c r="A177" s="3496">
        <v>76</v>
      </c>
      <c r="B177" s="3501" t="s">
        <v>3462</v>
      </c>
      <c r="C177" s="3514" t="s">
        <v>1293</v>
      </c>
      <c r="D177" s="3493">
        <v>150000000</v>
      </c>
      <c r="E177" s="3535">
        <v>0.05</v>
      </c>
      <c r="F177" s="3493">
        <f t="shared" si="12"/>
        <v>7500000</v>
      </c>
      <c r="G177" s="3493">
        <v>7500000</v>
      </c>
      <c r="H177" s="3493" t="s">
        <v>1527</v>
      </c>
      <c r="I177" s="3594" t="s">
        <v>4865</v>
      </c>
      <c r="J177" s="3493">
        <f>G177</f>
        <v>7500000</v>
      </c>
      <c r="K177" s="3493">
        <f>F177-J177</f>
        <v>0</v>
      </c>
      <c r="L177" s="180"/>
    </row>
    <row r="178" spans="1:16" ht="30" customHeight="1" x14ac:dyDescent="0.2">
      <c r="A178" s="4459">
        <v>77</v>
      </c>
      <c r="B178" s="4457" t="s">
        <v>210</v>
      </c>
      <c r="C178" s="4537" t="s">
        <v>1717</v>
      </c>
      <c r="D178" s="3493">
        <v>30000000</v>
      </c>
      <c r="E178" s="3535">
        <v>7.0000000000000007E-2</v>
      </c>
      <c r="F178" s="3493">
        <f t="shared" si="12"/>
        <v>2100000</v>
      </c>
      <c r="G178" s="4413">
        <v>3675000</v>
      </c>
      <c r="H178" s="4413" t="s">
        <v>5437</v>
      </c>
      <c r="I178" s="4478" t="s">
        <v>4873</v>
      </c>
      <c r="J178" s="4413">
        <f>G178</f>
        <v>3675000</v>
      </c>
      <c r="K178" s="4413">
        <f>(F178+F179)-J178</f>
        <v>0</v>
      </c>
      <c r="L178" s="4492"/>
    </row>
    <row r="179" spans="1:16" ht="30" customHeight="1" x14ac:dyDescent="0.2">
      <c r="A179" s="4460"/>
      <c r="B179" s="4458"/>
      <c r="C179" s="4538"/>
      <c r="D179" s="3493">
        <v>35000000</v>
      </c>
      <c r="E179" s="3535">
        <v>4.4999999999999998E-2</v>
      </c>
      <c r="F179" s="3493">
        <f t="shared" si="12"/>
        <v>1575000</v>
      </c>
      <c r="G179" s="4415"/>
      <c r="H179" s="4415"/>
      <c r="I179" s="4479"/>
      <c r="J179" s="4415"/>
      <c r="K179" s="4415"/>
      <c r="L179" s="4493"/>
    </row>
    <row r="180" spans="1:16" ht="30" customHeight="1" x14ac:dyDescent="0.2">
      <c r="A180" s="3538">
        <v>78</v>
      </c>
      <c r="B180" s="3539" t="s">
        <v>211</v>
      </c>
      <c r="C180" s="3515" t="s">
        <v>2644</v>
      </c>
      <c r="D180" s="3493">
        <v>45000000</v>
      </c>
      <c r="E180" s="3535">
        <v>4.2000000000000003E-2</v>
      </c>
      <c r="F180" s="3493">
        <v>1900000</v>
      </c>
      <c r="G180" s="3493">
        <v>1900000</v>
      </c>
      <c r="H180" s="3493" t="s">
        <v>5437</v>
      </c>
      <c r="I180" s="3564" t="s">
        <v>1259</v>
      </c>
      <c r="J180" s="3493">
        <f t="shared" ref="J180:J194" si="16">G180</f>
        <v>1900000</v>
      </c>
      <c r="K180" s="3493">
        <f t="shared" ref="K180:K193" si="17">F180-J180</f>
        <v>0</v>
      </c>
      <c r="L180" s="3539"/>
    </row>
    <row r="181" spans="1:16" ht="30" customHeight="1" x14ac:dyDescent="0.2">
      <c r="A181" s="4459">
        <v>79</v>
      </c>
      <c r="B181" s="4962" t="s">
        <v>212</v>
      </c>
      <c r="C181" s="4964" t="s">
        <v>889</v>
      </c>
      <c r="D181" s="4255">
        <v>15000000</v>
      </c>
      <c r="E181" s="2551">
        <v>4.4999999999999998E-2</v>
      </c>
      <c r="F181" s="4255">
        <f t="shared" si="12"/>
        <v>675000</v>
      </c>
      <c r="G181" s="4255">
        <v>675000</v>
      </c>
      <c r="H181" s="4255" t="s">
        <v>5343</v>
      </c>
      <c r="I181" s="287" t="s">
        <v>1766</v>
      </c>
      <c r="J181" s="4255">
        <f t="shared" si="16"/>
        <v>675000</v>
      </c>
      <c r="K181" s="4255">
        <f t="shared" si="17"/>
        <v>0</v>
      </c>
      <c r="L181" s="2553"/>
      <c r="M181" s="366"/>
      <c r="N181" s="366"/>
      <c r="O181" s="366"/>
      <c r="P181" s="366"/>
    </row>
    <row r="182" spans="1:16" ht="30" customHeight="1" x14ac:dyDescent="0.2">
      <c r="A182" s="4460"/>
      <c r="B182" s="4963"/>
      <c r="C182" s="4965"/>
      <c r="D182" s="4978" t="s">
        <v>6036</v>
      </c>
      <c r="E182" s="4979"/>
      <c r="F182" s="4980"/>
      <c r="G182" s="4255">
        <v>15675000</v>
      </c>
      <c r="H182" s="4255" t="s">
        <v>6035</v>
      </c>
      <c r="I182" s="287" t="s">
        <v>1259</v>
      </c>
      <c r="J182" s="4255">
        <f t="shared" si="16"/>
        <v>15675000</v>
      </c>
      <c r="K182" s="4255"/>
      <c r="L182" s="4278" t="s">
        <v>6071</v>
      </c>
      <c r="M182" s="366"/>
      <c r="N182" s="366"/>
      <c r="O182" s="366"/>
      <c r="P182" s="366"/>
    </row>
    <row r="183" spans="1:16" ht="30" customHeight="1" x14ac:dyDescent="0.2">
      <c r="A183" s="4459">
        <v>80</v>
      </c>
      <c r="B183" s="4457" t="s">
        <v>182</v>
      </c>
      <c r="C183" s="4537" t="s">
        <v>1293</v>
      </c>
      <c r="D183" s="3493">
        <v>145000000</v>
      </c>
      <c r="E183" s="3535">
        <v>4.4999999999999998E-2</v>
      </c>
      <c r="F183" s="3493">
        <v>6775000</v>
      </c>
      <c r="G183" s="3493">
        <v>6775000</v>
      </c>
      <c r="H183" s="3493" t="s">
        <v>1649</v>
      </c>
      <c r="I183" s="3524" t="s">
        <v>3928</v>
      </c>
      <c r="J183" s="3493">
        <f t="shared" si="16"/>
        <v>6775000</v>
      </c>
      <c r="K183" s="3493">
        <f t="shared" si="17"/>
        <v>0</v>
      </c>
      <c r="L183" s="3539"/>
      <c r="M183" s="366"/>
      <c r="N183" s="366"/>
      <c r="O183" s="366"/>
      <c r="P183" s="366"/>
    </row>
    <row r="184" spans="1:16" ht="30" customHeight="1" x14ac:dyDescent="0.2">
      <c r="A184" s="4464"/>
      <c r="B184" s="4488"/>
      <c r="C184" s="4540"/>
      <c r="D184" s="4325" t="s">
        <v>5454</v>
      </c>
      <c r="E184" s="4326"/>
      <c r="F184" s="4563"/>
      <c r="G184" s="3699">
        <v>50000000</v>
      </c>
      <c r="H184" s="3699" t="s">
        <v>5437</v>
      </c>
      <c r="I184" s="3710" t="s">
        <v>3928</v>
      </c>
      <c r="J184" s="4648">
        <f>G184+G185+G186</f>
        <v>113000000</v>
      </c>
      <c r="K184" s="4413">
        <f>113000000-J184</f>
        <v>0</v>
      </c>
      <c r="L184" s="4492" t="s">
        <v>5453</v>
      </c>
      <c r="M184" s="366"/>
      <c r="N184" s="366"/>
      <c r="O184" s="366"/>
      <c r="P184" s="366"/>
    </row>
    <row r="185" spans="1:16" ht="30" customHeight="1" x14ac:dyDescent="0.2">
      <c r="A185" s="4464"/>
      <c r="B185" s="4488"/>
      <c r="C185" s="4540"/>
      <c r="D185" s="4612"/>
      <c r="E185" s="4359"/>
      <c r="F185" s="4613"/>
      <c r="G185" s="3699">
        <v>43000000</v>
      </c>
      <c r="H185" s="3699" t="s">
        <v>5348</v>
      </c>
      <c r="I185" s="3710" t="s">
        <v>3928</v>
      </c>
      <c r="J185" s="4649"/>
      <c r="K185" s="4414"/>
      <c r="L185" s="4684"/>
      <c r="M185" s="366"/>
      <c r="N185" s="366"/>
      <c r="O185" s="366"/>
      <c r="P185" s="366"/>
    </row>
    <row r="186" spans="1:16" ht="30" customHeight="1" x14ac:dyDescent="0.2">
      <c r="A186" s="4460"/>
      <c r="B186" s="4458"/>
      <c r="C186" s="4538"/>
      <c r="D186" s="4564"/>
      <c r="E186" s="4596"/>
      <c r="F186" s="4565"/>
      <c r="G186" s="3699">
        <v>20000000</v>
      </c>
      <c r="H186" s="3699" t="s">
        <v>5370</v>
      </c>
      <c r="I186" s="3710" t="s">
        <v>3928</v>
      </c>
      <c r="J186" s="4650"/>
      <c r="K186" s="4415"/>
      <c r="L186" s="4493"/>
      <c r="M186" s="366"/>
      <c r="N186" s="366"/>
      <c r="O186" s="366"/>
      <c r="P186" s="366"/>
    </row>
    <row r="187" spans="1:16" ht="30" customHeight="1" x14ac:dyDescent="0.2">
      <c r="A187" s="3538">
        <v>81</v>
      </c>
      <c r="B187" s="3539" t="s">
        <v>213</v>
      </c>
      <c r="C187" s="3515"/>
      <c r="D187" s="3493">
        <v>5000000</v>
      </c>
      <c r="E187" s="3535">
        <v>0.04</v>
      </c>
      <c r="F187" s="3493">
        <f t="shared" si="12"/>
        <v>200000</v>
      </c>
      <c r="G187" s="3493">
        <v>200000</v>
      </c>
      <c r="H187" s="3493" t="s">
        <v>1649</v>
      </c>
      <c r="I187" s="3594" t="s">
        <v>1363</v>
      </c>
      <c r="J187" s="3493">
        <f t="shared" si="16"/>
        <v>200000</v>
      </c>
      <c r="K187" s="3493">
        <f t="shared" si="17"/>
        <v>0</v>
      </c>
      <c r="L187" s="3539"/>
      <c r="M187" s="366"/>
      <c r="N187" s="366"/>
      <c r="O187" s="366"/>
      <c r="P187" s="366"/>
    </row>
    <row r="188" spans="1:16" ht="30" customHeight="1" x14ac:dyDescent="0.2">
      <c r="A188" s="4459">
        <v>82</v>
      </c>
      <c r="B188" s="4457" t="s">
        <v>214</v>
      </c>
      <c r="C188" s="4537" t="s">
        <v>2644</v>
      </c>
      <c r="D188" s="3493">
        <v>16000000</v>
      </c>
      <c r="E188" s="3535">
        <v>0.05</v>
      </c>
      <c r="F188" s="3493">
        <f t="shared" si="12"/>
        <v>800000</v>
      </c>
      <c r="G188" s="3493">
        <v>800000</v>
      </c>
      <c r="H188" s="3493" t="s">
        <v>5437</v>
      </c>
      <c r="I188" s="3564" t="s">
        <v>964</v>
      </c>
      <c r="J188" s="3493">
        <f t="shared" si="16"/>
        <v>800000</v>
      </c>
      <c r="K188" s="3493">
        <f t="shared" si="17"/>
        <v>0</v>
      </c>
      <c r="L188" s="3539"/>
      <c r="M188" s="366"/>
      <c r="N188" s="366"/>
      <c r="O188" s="366"/>
      <c r="P188" s="366"/>
    </row>
    <row r="189" spans="1:16" ht="30" customHeight="1" x14ac:dyDescent="0.2">
      <c r="A189" s="4464"/>
      <c r="B189" s="4488"/>
      <c r="C189" s="4540"/>
      <c r="D189" s="4325" t="s">
        <v>5742</v>
      </c>
      <c r="E189" s="4326"/>
      <c r="F189" s="4563"/>
      <c r="G189" s="3974">
        <v>5000000</v>
      </c>
      <c r="H189" s="3974" t="s">
        <v>1972</v>
      </c>
      <c r="I189" s="3989" t="s">
        <v>5743</v>
      </c>
      <c r="J189" s="4413">
        <f>G189+G190</f>
        <v>5000000</v>
      </c>
      <c r="K189" s="4413">
        <f>16000000-J189</f>
        <v>11000000</v>
      </c>
      <c r="L189" s="3977"/>
      <c r="M189" s="366"/>
      <c r="N189" s="366"/>
      <c r="O189" s="366"/>
      <c r="P189" s="366"/>
    </row>
    <row r="190" spans="1:16" ht="30" customHeight="1" x14ac:dyDescent="0.2">
      <c r="A190" s="4460"/>
      <c r="B190" s="4458"/>
      <c r="C190" s="4538"/>
      <c r="D190" s="4564"/>
      <c r="E190" s="4596"/>
      <c r="F190" s="4565"/>
      <c r="G190" s="3974"/>
      <c r="H190" s="3974"/>
      <c r="I190" s="3989"/>
      <c r="J190" s="4415"/>
      <c r="K190" s="4415"/>
      <c r="L190" s="3977"/>
      <c r="M190" s="366"/>
      <c r="N190" s="366"/>
      <c r="O190" s="366"/>
      <c r="P190" s="366"/>
    </row>
    <row r="191" spans="1:16" ht="30" customHeight="1" x14ac:dyDescent="0.2">
      <c r="A191" s="4459">
        <v>83</v>
      </c>
      <c r="B191" s="4457" t="s">
        <v>215</v>
      </c>
      <c r="C191" s="4537" t="s">
        <v>889</v>
      </c>
      <c r="D191" s="4413">
        <v>160000000</v>
      </c>
      <c r="E191" s="4476">
        <v>0.05</v>
      </c>
      <c r="F191" s="4413">
        <f>D191*E191</f>
        <v>8000000</v>
      </c>
      <c r="G191" s="3493">
        <v>8000000</v>
      </c>
      <c r="H191" s="3493" t="s">
        <v>5343</v>
      </c>
      <c r="I191" s="3524" t="s">
        <v>3983</v>
      </c>
      <c r="J191" s="3493">
        <f t="shared" si="16"/>
        <v>8000000</v>
      </c>
      <c r="K191" s="3493">
        <f t="shared" si="17"/>
        <v>0</v>
      </c>
      <c r="L191" s="29" t="s">
        <v>4908</v>
      </c>
      <c r="M191" s="366"/>
      <c r="N191" s="366"/>
      <c r="O191" s="366"/>
      <c r="P191" s="366"/>
    </row>
    <row r="192" spans="1:16" ht="30" customHeight="1" x14ac:dyDescent="0.2">
      <c r="A192" s="4460"/>
      <c r="B192" s="4458"/>
      <c r="C192" s="4538"/>
      <c r="D192" s="4415"/>
      <c r="E192" s="4477"/>
      <c r="F192" s="4415"/>
      <c r="G192" s="3699">
        <v>8000000</v>
      </c>
      <c r="H192" s="3699" t="s">
        <v>5348</v>
      </c>
      <c r="I192" s="3712" t="s">
        <v>3983</v>
      </c>
      <c r="J192" s="3699">
        <f>G192</f>
        <v>8000000</v>
      </c>
      <c r="K192" s="3699">
        <f>F191-J192</f>
        <v>0</v>
      </c>
      <c r="L192" s="29" t="s">
        <v>5488</v>
      </c>
      <c r="M192" s="366"/>
      <c r="N192" s="366"/>
      <c r="O192" s="366"/>
      <c r="P192" s="366"/>
    </row>
    <row r="193" spans="1:16" ht="30" customHeight="1" x14ac:dyDescent="0.2">
      <c r="A193" s="3538">
        <v>84</v>
      </c>
      <c r="B193" s="3539" t="s">
        <v>216</v>
      </c>
      <c r="C193" s="3515"/>
      <c r="D193" s="3493">
        <v>400000000</v>
      </c>
      <c r="E193" s="3535">
        <v>6.0999999999999999E-2</v>
      </c>
      <c r="F193" s="3493">
        <f t="shared" si="12"/>
        <v>24400000</v>
      </c>
      <c r="G193" s="3493">
        <v>24400000</v>
      </c>
      <c r="H193" s="3493" t="s">
        <v>5437</v>
      </c>
      <c r="I193" s="3564" t="s">
        <v>1553</v>
      </c>
      <c r="J193" s="3493">
        <f t="shared" si="16"/>
        <v>24400000</v>
      </c>
      <c r="K193" s="3493">
        <f t="shared" si="17"/>
        <v>0</v>
      </c>
      <c r="L193" s="3539"/>
      <c r="M193" s="366"/>
      <c r="N193" s="366"/>
      <c r="O193" s="366"/>
      <c r="P193" s="366"/>
    </row>
    <row r="194" spans="1:16" ht="30" customHeight="1" x14ac:dyDescent="0.2">
      <c r="A194" s="4459"/>
      <c r="B194" s="4457" t="s">
        <v>975</v>
      </c>
      <c r="C194" s="4537" t="s">
        <v>889</v>
      </c>
      <c r="D194" s="3675">
        <v>850000000</v>
      </c>
      <c r="E194" s="3678">
        <v>0.06</v>
      </c>
      <c r="F194" s="3675">
        <v>52400000</v>
      </c>
      <c r="G194" s="3524">
        <v>52400000</v>
      </c>
      <c r="H194" s="3524" t="s">
        <v>1649</v>
      </c>
      <c r="I194" s="3524" t="s">
        <v>4152</v>
      </c>
      <c r="J194" s="3675">
        <f t="shared" si="16"/>
        <v>52400000</v>
      </c>
      <c r="K194" s="3675">
        <f>F194-J194</f>
        <v>0</v>
      </c>
      <c r="L194" s="3514"/>
      <c r="M194" s="366"/>
      <c r="N194" s="366"/>
      <c r="O194" s="366"/>
      <c r="P194" s="366"/>
    </row>
    <row r="195" spans="1:16" ht="30" customHeight="1" x14ac:dyDescent="0.2">
      <c r="A195" s="4464"/>
      <c r="B195" s="4488"/>
      <c r="C195" s="4540"/>
      <c r="D195" s="3675">
        <v>90000000</v>
      </c>
      <c r="E195" s="3678">
        <v>0.06</v>
      </c>
      <c r="F195" s="3675">
        <f>D195*E195</f>
        <v>5400000</v>
      </c>
      <c r="G195" s="4303" t="s">
        <v>5408</v>
      </c>
      <c r="H195" s="4324"/>
      <c r="I195" s="4324"/>
      <c r="J195" s="4355"/>
      <c r="K195" s="3675"/>
      <c r="L195" s="3525"/>
      <c r="M195" s="366"/>
      <c r="N195" s="366"/>
      <c r="O195" s="366"/>
      <c r="P195" s="366"/>
    </row>
    <row r="196" spans="1:16" ht="30" customHeight="1" x14ac:dyDescent="0.2">
      <c r="A196" s="4464"/>
      <c r="B196" s="4488"/>
      <c r="C196" s="4540"/>
      <c r="D196" s="4218">
        <v>940000000</v>
      </c>
      <c r="E196" s="4257">
        <f>F196/D196</f>
        <v>6.1489361702127661E-2</v>
      </c>
      <c r="F196" s="4218">
        <f>SUM(F194:F195)</f>
        <v>57800000</v>
      </c>
      <c r="G196" s="4469" t="s">
        <v>6050</v>
      </c>
      <c r="H196" s="4470"/>
      <c r="I196" s="4470"/>
      <c r="J196" s="4471"/>
      <c r="K196" s="4217"/>
      <c r="L196" s="4239"/>
      <c r="M196" s="366"/>
      <c r="N196" s="366"/>
      <c r="O196" s="366"/>
      <c r="P196" s="366"/>
    </row>
    <row r="197" spans="1:16" ht="30" customHeight="1" x14ac:dyDescent="0.2">
      <c r="A197" s="4460"/>
      <c r="B197" s="4458"/>
      <c r="C197" s="4538"/>
      <c r="D197" s="4217">
        <f>D196+57800000+42200000</f>
        <v>1040000000</v>
      </c>
      <c r="E197" s="4241"/>
      <c r="F197" s="4217"/>
      <c r="G197" s="4469" t="s">
        <v>6051</v>
      </c>
      <c r="H197" s="4470"/>
      <c r="I197" s="4470"/>
      <c r="J197" s="4471"/>
      <c r="K197" s="4217"/>
      <c r="L197" s="4239"/>
      <c r="M197" s="366"/>
      <c r="N197" s="366"/>
      <c r="O197" s="366"/>
      <c r="P197" s="366"/>
    </row>
    <row r="198" spans="1:16" ht="30" customHeight="1" x14ac:dyDescent="0.2">
      <c r="A198" s="4459">
        <v>86</v>
      </c>
      <c r="B198" s="4457" t="s">
        <v>217</v>
      </c>
      <c r="C198" s="4537" t="s">
        <v>889</v>
      </c>
      <c r="D198" s="3524">
        <v>111000000</v>
      </c>
      <c r="E198" s="3535">
        <v>0.05</v>
      </c>
      <c r="F198" s="3524">
        <f t="shared" ref="F198:F202" si="18">D198*E198</f>
        <v>5550000</v>
      </c>
      <c r="G198" s="3524"/>
      <c r="H198" s="3524"/>
      <c r="I198" s="3524" t="s">
        <v>3972</v>
      </c>
      <c r="J198" s="3524">
        <f>G198</f>
        <v>0</v>
      </c>
      <c r="K198" s="3524">
        <f>F198-J198</f>
        <v>5550000</v>
      </c>
      <c r="L198" s="180"/>
      <c r="M198" s="366"/>
      <c r="N198" s="366"/>
      <c r="O198" s="366"/>
      <c r="P198" s="366"/>
    </row>
    <row r="199" spans="1:16" ht="30" customHeight="1" x14ac:dyDescent="0.2">
      <c r="A199" s="4464"/>
      <c r="B199" s="4488"/>
      <c r="C199" s="4540"/>
      <c r="D199" s="3493">
        <v>5000000</v>
      </c>
      <c r="E199" s="3499">
        <v>0.05</v>
      </c>
      <c r="F199" s="3493">
        <f t="shared" si="18"/>
        <v>250000</v>
      </c>
      <c r="G199" s="4469" t="s">
        <v>4884</v>
      </c>
      <c r="H199" s="4470"/>
      <c r="I199" s="4470"/>
      <c r="J199" s="4470"/>
      <c r="K199" s="4471"/>
      <c r="L199" s="3032"/>
      <c r="M199" s="366"/>
      <c r="N199" s="366"/>
      <c r="O199" s="366"/>
      <c r="P199" s="366"/>
    </row>
    <row r="200" spans="1:16" ht="30" customHeight="1" x14ac:dyDescent="0.2">
      <c r="A200" s="4464"/>
      <c r="B200" s="4488"/>
      <c r="C200" s="4540"/>
      <c r="D200" s="3493">
        <v>10000000</v>
      </c>
      <c r="E200" s="3499">
        <v>0.05</v>
      </c>
      <c r="F200" s="3493">
        <f t="shared" si="18"/>
        <v>500000</v>
      </c>
      <c r="G200" s="4469" t="s">
        <v>5091</v>
      </c>
      <c r="H200" s="4470"/>
      <c r="I200" s="4470"/>
      <c r="J200" s="4470"/>
      <c r="K200" s="4471"/>
      <c r="L200" s="3032"/>
      <c r="M200" s="366"/>
      <c r="N200" s="366"/>
      <c r="O200" s="366"/>
      <c r="P200" s="366"/>
    </row>
    <row r="201" spans="1:16" ht="30" customHeight="1" x14ac:dyDescent="0.2">
      <c r="A201" s="4464"/>
      <c r="B201" s="4488"/>
      <c r="C201" s="4540"/>
      <c r="D201" s="3699">
        <v>126000000</v>
      </c>
      <c r="E201" s="3704">
        <v>0.05</v>
      </c>
      <c r="F201" s="3699">
        <f t="shared" si="18"/>
        <v>6300000</v>
      </c>
      <c r="G201" s="3712">
        <v>1050000</v>
      </c>
      <c r="H201" s="3712" t="s">
        <v>1649</v>
      </c>
      <c r="I201" s="3712" t="s">
        <v>3972</v>
      </c>
      <c r="J201" s="3712">
        <f>G201</f>
        <v>1050000</v>
      </c>
      <c r="K201" s="3712"/>
      <c r="L201" s="3032"/>
      <c r="M201" s="366"/>
      <c r="N201" s="366"/>
      <c r="O201" s="366"/>
      <c r="P201" s="366"/>
    </row>
    <row r="202" spans="1:16" ht="30" customHeight="1" x14ac:dyDescent="0.2">
      <c r="A202" s="4464"/>
      <c r="B202" s="4488"/>
      <c r="C202" s="4540"/>
      <c r="D202" s="3699">
        <v>5000000</v>
      </c>
      <c r="E202" s="3704">
        <v>0.05</v>
      </c>
      <c r="F202" s="3699">
        <f t="shared" si="18"/>
        <v>250000</v>
      </c>
      <c r="G202" s="4469" t="s">
        <v>5477</v>
      </c>
      <c r="H202" s="4470"/>
      <c r="I202" s="4470"/>
      <c r="J202" s="4470"/>
      <c r="K202" s="4471"/>
      <c r="L202" s="3032"/>
      <c r="M202" s="366"/>
      <c r="N202" s="366"/>
      <c r="O202" s="366"/>
      <c r="P202" s="366"/>
    </row>
    <row r="203" spans="1:16" ht="30" customHeight="1" x14ac:dyDescent="0.2">
      <c r="A203" s="4460"/>
      <c r="B203" s="4458"/>
      <c r="C203" s="4538"/>
      <c r="D203" s="3725">
        <f>SUM(D201:D202)</f>
        <v>131000000</v>
      </c>
      <c r="E203" s="3727">
        <v>0.05</v>
      </c>
      <c r="F203" s="3725">
        <f>D203*E203</f>
        <v>6550000</v>
      </c>
      <c r="G203" s="3706"/>
      <c r="H203" s="3707"/>
      <c r="I203" s="3707"/>
      <c r="J203" s="3707"/>
      <c r="K203" s="3708"/>
      <c r="L203" s="3032"/>
      <c r="M203" s="366"/>
      <c r="N203" s="366"/>
      <c r="O203" s="366"/>
      <c r="P203" s="366"/>
    </row>
    <row r="204" spans="1:16" ht="30" customHeight="1" x14ac:dyDescent="0.2">
      <c r="A204" s="1029"/>
      <c r="B204" s="3539" t="s">
        <v>174</v>
      </c>
      <c r="C204" s="3541" t="s">
        <v>889</v>
      </c>
      <c r="D204" s="3493">
        <v>793000000</v>
      </c>
      <c r="E204" s="3499">
        <v>6.6000000000000003E-2</v>
      </c>
      <c r="F204" s="3493">
        <v>52300000</v>
      </c>
      <c r="G204" s="3524">
        <v>52300000</v>
      </c>
      <c r="H204" s="3524" t="s">
        <v>1527</v>
      </c>
      <c r="I204" s="3524" t="s">
        <v>3061</v>
      </c>
      <c r="J204" s="3524">
        <f>G204</f>
        <v>52300000</v>
      </c>
      <c r="K204" s="3524">
        <f>F204-J204</f>
        <v>0</v>
      </c>
      <c r="L204" s="3540"/>
      <c r="M204" s="2931"/>
      <c r="N204" s="2931"/>
      <c r="O204" s="2931"/>
      <c r="P204" s="2301"/>
    </row>
    <row r="205" spans="1:16" ht="30" customHeight="1" x14ac:dyDescent="0.2">
      <c r="A205" s="3538">
        <v>88</v>
      </c>
      <c r="B205" s="3539" t="s">
        <v>218</v>
      </c>
      <c r="C205" s="3515" t="s">
        <v>1295</v>
      </c>
      <c r="D205" s="3493">
        <v>100000000</v>
      </c>
      <c r="E205" s="3535">
        <v>0.06</v>
      </c>
      <c r="F205" s="3493">
        <f>D205*E205</f>
        <v>6000000</v>
      </c>
      <c r="G205" s="3493">
        <v>6000000</v>
      </c>
      <c r="H205" s="3493" t="s">
        <v>5343</v>
      </c>
      <c r="I205" s="18" t="s">
        <v>4868</v>
      </c>
      <c r="J205" s="3493">
        <f>G205</f>
        <v>6000000</v>
      </c>
      <c r="K205" s="3493">
        <f>F205-J205</f>
        <v>0</v>
      </c>
      <c r="L205" s="3539"/>
      <c r="M205" s="366"/>
      <c r="N205" s="366"/>
      <c r="O205" s="366"/>
      <c r="P205" s="366"/>
    </row>
    <row r="206" spans="1:16" ht="30" customHeight="1" x14ac:dyDescent="0.2">
      <c r="A206" s="4459">
        <v>89</v>
      </c>
      <c r="B206" s="4457" t="s">
        <v>219</v>
      </c>
      <c r="C206" s="4537" t="s">
        <v>1293</v>
      </c>
      <c r="D206" s="4214">
        <v>93000000</v>
      </c>
      <c r="E206" s="4216">
        <v>7.0000000000000007E-2</v>
      </c>
      <c r="F206" s="4214">
        <v>6500000</v>
      </c>
      <c r="G206" s="4900" t="s">
        <v>6016</v>
      </c>
      <c r="H206" s="4901"/>
      <c r="I206" s="4901"/>
      <c r="J206" s="4902"/>
      <c r="K206" s="4413">
        <f>(30200000+F209)-J206</f>
        <v>36200000</v>
      </c>
      <c r="L206" s="29"/>
      <c r="M206" s="366"/>
      <c r="N206" s="366"/>
      <c r="O206" s="366"/>
      <c r="P206" s="366"/>
    </row>
    <row r="207" spans="1:16" ht="30" customHeight="1" x14ac:dyDescent="0.2">
      <c r="A207" s="4464"/>
      <c r="B207" s="4488"/>
      <c r="C207" s="4540"/>
      <c r="D207" s="4214">
        <v>450000000</v>
      </c>
      <c r="E207" s="4216">
        <v>5.1999999999999998E-2</v>
      </c>
      <c r="F207" s="4215">
        <v>23500000</v>
      </c>
      <c r="G207" s="5162"/>
      <c r="H207" s="5163"/>
      <c r="I207" s="5163"/>
      <c r="J207" s="5164"/>
      <c r="K207" s="4414"/>
      <c r="L207" s="29" t="s">
        <v>6015</v>
      </c>
      <c r="M207" s="366"/>
      <c r="N207" s="366"/>
      <c r="O207" s="366"/>
      <c r="P207" s="366"/>
    </row>
    <row r="208" spans="1:16" ht="30" customHeight="1" x14ac:dyDescent="0.2">
      <c r="A208" s="4464"/>
      <c r="B208" s="4488"/>
      <c r="C208" s="4540"/>
      <c r="D208" s="4303" t="s">
        <v>5877</v>
      </c>
      <c r="E208" s="4355"/>
      <c r="F208" s="4215">
        <v>1200000</v>
      </c>
      <c r="G208" s="5162"/>
      <c r="H208" s="5163"/>
      <c r="I208" s="5163"/>
      <c r="J208" s="5164"/>
      <c r="K208" s="4414"/>
      <c r="L208" s="29"/>
      <c r="M208" s="366"/>
      <c r="N208" s="366"/>
      <c r="O208" s="366"/>
      <c r="P208" s="366"/>
    </row>
    <row r="209" spans="1:16" ht="30" customHeight="1" x14ac:dyDescent="0.2">
      <c r="A209" s="4464"/>
      <c r="B209" s="4488"/>
      <c r="C209" s="4540"/>
      <c r="D209" s="4215">
        <v>100000000</v>
      </c>
      <c r="E209" s="4216">
        <v>0.06</v>
      </c>
      <c r="F209" s="4215">
        <f>D209*E209</f>
        <v>6000000</v>
      </c>
      <c r="G209" s="5162"/>
      <c r="H209" s="5163"/>
      <c r="I209" s="5163"/>
      <c r="J209" s="5164"/>
      <c r="K209" s="4415"/>
      <c r="L209" s="29"/>
      <c r="M209" s="366"/>
      <c r="N209" s="366"/>
      <c r="O209" s="366"/>
      <c r="P209" s="366"/>
    </row>
    <row r="210" spans="1:16" ht="30" customHeight="1" x14ac:dyDescent="0.2">
      <c r="A210" s="4464"/>
      <c r="B210" s="4488"/>
      <c r="C210" s="4540"/>
      <c r="D210" s="4215">
        <v>50000000</v>
      </c>
      <c r="E210" s="4216">
        <v>0.06</v>
      </c>
      <c r="F210" s="4215">
        <f>D210*E210</f>
        <v>3000000</v>
      </c>
      <c r="G210" s="4903"/>
      <c r="H210" s="4904"/>
      <c r="I210" s="4904"/>
      <c r="J210" s="4905"/>
      <c r="K210" s="4055"/>
      <c r="L210" s="180"/>
      <c r="M210" s="366"/>
      <c r="N210" s="366"/>
      <c r="O210" s="366"/>
      <c r="P210" s="366"/>
    </row>
    <row r="211" spans="1:16" ht="30" customHeight="1" x14ac:dyDescent="0.2">
      <c r="A211" s="4460"/>
      <c r="B211" s="4458"/>
      <c r="C211" s="4538"/>
      <c r="D211" s="4069">
        <f>D206+D207+D209+D210</f>
        <v>693000000</v>
      </c>
      <c r="E211" s="897"/>
      <c r="F211" s="4069">
        <f>SUM(F206:F210)</f>
        <v>40200000</v>
      </c>
      <c r="G211" s="4088"/>
      <c r="H211" s="4089"/>
      <c r="I211" s="4089"/>
      <c r="J211" s="4090"/>
      <c r="K211" s="4055"/>
      <c r="L211" s="180"/>
      <c r="M211" s="366"/>
      <c r="N211" s="366"/>
      <c r="O211" s="366"/>
      <c r="P211" s="366"/>
    </row>
    <row r="212" spans="1:16" ht="30" customHeight="1" x14ac:dyDescent="0.2">
      <c r="A212" s="4459">
        <v>90</v>
      </c>
      <c r="B212" s="4457" t="s">
        <v>220</v>
      </c>
      <c r="C212" s="4537" t="s">
        <v>1172</v>
      </c>
      <c r="D212" s="3493">
        <v>130000000</v>
      </c>
      <c r="E212" s="3535">
        <v>7.0000000000000007E-2</v>
      </c>
      <c r="F212" s="3493">
        <f>D212*E212</f>
        <v>9100000</v>
      </c>
      <c r="G212" s="4413">
        <v>14460000</v>
      </c>
      <c r="H212" s="4413" t="s">
        <v>1649</v>
      </c>
      <c r="I212" s="4478" t="s">
        <v>1808</v>
      </c>
      <c r="J212" s="4413">
        <f>G212</f>
        <v>14460000</v>
      </c>
      <c r="K212" s="4413">
        <f>(F212+F213)-J212</f>
        <v>0</v>
      </c>
      <c r="L212" s="4599"/>
      <c r="M212" s="366"/>
      <c r="N212" s="366"/>
      <c r="O212" s="366"/>
      <c r="P212" s="366"/>
    </row>
    <row r="213" spans="1:16" ht="30" customHeight="1" x14ac:dyDescent="0.2">
      <c r="A213" s="4460"/>
      <c r="B213" s="4458"/>
      <c r="C213" s="4538"/>
      <c r="D213" s="3493">
        <v>100000000</v>
      </c>
      <c r="E213" s="3535">
        <v>5.3999999999999999E-2</v>
      </c>
      <c r="F213" s="3493">
        <v>5360000</v>
      </c>
      <c r="G213" s="4415"/>
      <c r="H213" s="4415"/>
      <c r="I213" s="4479"/>
      <c r="J213" s="4415"/>
      <c r="K213" s="4415"/>
      <c r="L213" s="4607"/>
      <c r="M213" s="366"/>
      <c r="N213" s="366"/>
      <c r="O213" s="366"/>
      <c r="P213" s="366"/>
    </row>
    <row r="214" spans="1:16" ht="30" customHeight="1" x14ac:dyDescent="0.2">
      <c r="A214" s="4459">
        <v>91</v>
      </c>
      <c r="B214" s="4457" t="s">
        <v>4468</v>
      </c>
      <c r="C214" s="4537"/>
      <c r="D214" s="3493">
        <v>50000000</v>
      </c>
      <c r="E214" s="3535">
        <v>0.05</v>
      </c>
      <c r="F214" s="3493">
        <f t="shared" si="12"/>
        <v>2500000</v>
      </c>
      <c r="G214" s="4413">
        <v>14000000</v>
      </c>
      <c r="H214" s="4413" t="s">
        <v>1649</v>
      </c>
      <c r="I214" s="4553" t="s">
        <v>4466</v>
      </c>
      <c r="J214" s="4413">
        <f>G214</f>
        <v>14000000</v>
      </c>
      <c r="K214" s="4413">
        <f>(F214+F215+F216)-J214</f>
        <v>0</v>
      </c>
      <c r="L214" s="4492" t="s">
        <v>5479</v>
      </c>
      <c r="M214" s="366"/>
      <c r="N214" s="366"/>
      <c r="O214" s="366"/>
      <c r="P214" s="366"/>
    </row>
    <row r="215" spans="1:16" ht="30" customHeight="1" x14ac:dyDescent="0.2">
      <c r="A215" s="4464"/>
      <c r="B215" s="4488"/>
      <c r="C215" s="4540"/>
      <c r="D215" s="3493">
        <v>30000000</v>
      </c>
      <c r="E215" s="3535">
        <v>0.05</v>
      </c>
      <c r="F215" s="3493">
        <f>D215*E215</f>
        <v>1500000</v>
      </c>
      <c r="G215" s="4414"/>
      <c r="H215" s="4414"/>
      <c r="I215" s="4950"/>
      <c r="J215" s="4414"/>
      <c r="K215" s="4414"/>
      <c r="L215" s="4684"/>
      <c r="M215" s="366"/>
      <c r="N215" s="366"/>
      <c r="O215" s="366"/>
      <c r="P215" s="366"/>
    </row>
    <row r="216" spans="1:16" ht="30" customHeight="1" x14ac:dyDescent="0.2">
      <c r="A216" s="4460"/>
      <c r="B216" s="4458"/>
      <c r="C216" s="4538"/>
      <c r="D216" s="3493">
        <v>200000000</v>
      </c>
      <c r="E216" s="3535">
        <v>0.05</v>
      </c>
      <c r="F216" s="3493">
        <f>D216*E216</f>
        <v>10000000</v>
      </c>
      <c r="G216" s="4415"/>
      <c r="H216" s="4415"/>
      <c r="I216" s="4554"/>
      <c r="J216" s="4415"/>
      <c r="K216" s="4415"/>
      <c r="L216" s="4493"/>
      <c r="M216" s="366"/>
      <c r="N216" s="366"/>
      <c r="O216" s="366"/>
      <c r="P216" s="366"/>
    </row>
    <row r="217" spans="1:16" ht="30" customHeight="1" x14ac:dyDescent="0.2">
      <c r="A217" s="4614">
        <v>92</v>
      </c>
      <c r="B217" s="4457" t="s">
        <v>749</v>
      </c>
      <c r="C217" s="4537" t="s">
        <v>889</v>
      </c>
      <c r="D217" s="3524">
        <v>320000000</v>
      </c>
      <c r="E217" s="3535">
        <v>5.2999999999999999E-2</v>
      </c>
      <c r="F217" s="3524">
        <v>17000000</v>
      </c>
      <c r="G217" s="3524">
        <v>17000000</v>
      </c>
      <c r="H217" s="3524" t="s">
        <v>5361</v>
      </c>
      <c r="I217" s="3546" t="s">
        <v>3009</v>
      </c>
      <c r="J217" s="3524">
        <f>G217</f>
        <v>17000000</v>
      </c>
      <c r="K217" s="3524">
        <f>F217-J217</f>
        <v>0</v>
      </c>
      <c r="L217" s="3542"/>
      <c r="M217" s="366"/>
      <c r="N217" s="366"/>
      <c r="O217" s="366"/>
      <c r="P217" s="366"/>
    </row>
    <row r="218" spans="1:16" ht="30" customHeight="1" x14ac:dyDescent="0.2">
      <c r="A218" s="4614"/>
      <c r="B218" s="4488"/>
      <c r="C218" s="4538"/>
      <c r="D218" s="4056">
        <v>30000000</v>
      </c>
      <c r="E218" s="4060">
        <v>0.05</v>
      </c>
      <c r="F218" s="4052">
        <f>D218*E218</f>
        <v>1500000</v>
      </c>
      <c r="G218" s="4469" t="s">
        <v>5882</v>
      </c>
      <c r="H218" s="4470"/>
      <c r="I218" s="4470"/>
      <c r="J218" s="4471"/>
      <c r="K218" s="4054"/>
      <c r="L218" s="4064"/>
      <c r="M218" s="366"/>
      <c r="N218" s="366"/>
      <c r="O218" s="366"/>
      <c r="P218" s="366"/>
    </row>
    <row r="219" spans="1:16" ht="30" customHeight="1" x14ac:dyDescent="0.2">
      <c r="A219" s="4614"/>
      <c r="B219" s="4488"/>
      <c r="C219" s="4537" t="s">
        <v>1287</v>
      </c>
      <c r="D219" s="3493">
        <v>273000000</v>
      </c>
      <c r="E219" s="3499">
        <f>F219/D219</f>
        <v>5.4615384615384614E-2</v>
      </c>
      <c r="F219" s="3493">
        <v>14910000</v>
      </c>
      <c r="G219" s="4413">
        <v>19910000</v>
      </c>
      <c r="H219" s="4413" t="s">
        <v>1972</v>
      </c>
      <c r="I219" s="4413" t="s">
        <v>3009</v>
      </c>
      <c r="J219" s="4413">
        <f>G219</f>
        <v>19910000</v>
      </c>
      <c r="K219" s="4413">
        <f>(F219+F220)-J219</f>
        <v>0</v>
      </c>
      <c r="L219" s="180"/>
      <c r="M219" s="366"/>
      <c r="N219" s="366"/>
      <c r="O219" s="366"/>
      <c r="P219" s="366"/>
    </row>
    <row r="220" spans="1:16" ht="30" customHeight="1" x14ac:dyDescent="0.2">
      <c r="A220" s="4614"/>
      <c r="B220" s="4488"/>
      <c r="C220" s="4540"/>
      <c r="D220" s="3537">
        <v>100000000</v>
      </c>
      <c r="E220" s="3498">
        <v>0.05</v>
      </c>
      <c r="F220" s="3491">
        <f>D220*E220</f>
        <v>5000000</v>
      </c>
      <c r="G220" s="4415"/>
      <c r="H220" s="4414"/>
      <c r="I220" s="4414"/>
      <c r="J220" s="4415"/>
      <c r="K220" s="4415"/>
      <c r="L220" s="180"/>
      <c r="M220" s="366"/>
      <c r="N220" s="366"/>
      <c r="O220" s="366"/>
      <c r="P220" s="366"/>
    </row>
    <row r="221" spans="1:16" ht="30" customHeight="1" x14ac:dyDescent="0.2">
      <c r="A221" s="4459"/>
      <c r="B221" s="4457" t="s">
        <v>222</v>
      </c>
      <c r="C221" s="4537" t="s">
        <v>889</v>
      </c>
      <c r="D221" s="3524">
        <v>25000000</v>
      </c>
      <c r="E221" s="3498">
        <v>5.5E-2</v>
      </c>
      <c r="F221" s="3524">
        <f>D221*E221</f>
        <v>1375000</v>
      </c>
      <c r="G221" s="4527" t="s">
        <v>4955</v>
      </c>
      <c r="H221" s="4528"/>
      <c r="I221" s="4528"/>
      <c r="J221" s="4529"/>
      <c r="K221" s="3524"/>
      <c r="L221" s="2015" t="s">
        <v>3916</v>
      </c>
      <c r="M221" s="366"/>
      <c r="N221" s="366"/>
      <c r="O221" s="366"/>
      <c r="P221" s="366"/>
    </row>
    <row r="222" spans="1:16" ht="30" customHeight="1" x14ac:dyDescent="0.2">
      <c r="A222" s="4464"/>
      <c r="B222" s="4488"/>
      <c r="C222" s="4540"/>
      <c r="D222" s="3493">
        <v>15000000</v>
      </c>
      <c r="E222" s="3498">
        <v>5.5E-2</v>
      </c>
      <c r="F222" s="3493">
        <f>D222*E222</f>
        <v>825000</v>
      </c>
      <c r="G222" s="4527" t="s">
        <v>4956</v>
      </c>
      <c r="H222" s="4528"/>
      <c r="I222" s="4528"/>
      <c r="J222" s="4529"/>
      <c r="K222" s="3493"/>
      <c r="L222" s="2015"/>
      <c r="M222" s="366"/>
      <c r="N222" s="366"/>
      <c r="O222" s="366"/>
      <c r="P222" s="366"/>
    </row>
    <row r="223" spans="1:16" ht="30" customHeight="1" x14ac:dyDescent="0.2">
      <c r="A223" s="4464"/>
      <c r="B223" s="4488"/>
      <c r="C223" s="4540"/>
      <c r="D223" s="4413">
        <v>40000000</v>
      </c>
      <c r="E223" s="4476">
        <v>5.5E-2</v>
      </c>
      <c r="F223" s="4413">
        <f>D223*E223</f>
        <v>2200000</v>
      </c>
      <c r="G223" s="4527" t="s">
        <v>4957</v>
      </c>
      <c r="H223" s="4528"/>
      <c r="I223" s="4528"/>
      <c r="J223" s="4529"/>
      <c r="K223" s="3493"/>
      <c r="L223" s="2015"/>
      <c r="M223" s="366"/>
      <c r="N223" s="366"/>
      <c r="O223" s="366"/>
      <c r="P223" s="366"/>
    </row>
    <row r="224" spans="1:16" ht="30" customHeight="1" x14ac:dyDescent="0.2">
      <c r="A224" s="4460"/>
      <c r="B224" s="4458"/>
      <c r="C224" s="4538"/>
      <c r="D224" s="4415"/>
      <c r="E224" s="4477"/>
      <c r="F224" s="4415"/>
      <c r="G224" s="3712">
        <v>2200000</v>
      </c>
      <c r="H224" s="3712" t="s">
        <v>1649</v>
      </c>
      <c r="I224" s="3712" t="s">
        <v>5478</v>
      </c>
      <c r="J224" s="3712">
        <f>G224</f>
        <v>2200000</v>
      </c>
      <c r="K224" s="3699">
        <f>F223-J224</f>
        <v>0</v>
      </c>
      <c r="L224" s="2015"/>
      <c r="M224" s="366"/>
      <c r="N224" s="366"/>
      <c r="O224" s="366"/>
      <c r="P224" s="366"/>
    </row>
    <row r="225" spans="1:16" ht="30" customHeight="1" x14ac:dyDescent="0.2">
      <c r="A225" s="3538">
        <v>94</v>
      </c>
      <c r="B225" s="3539" t="s">
        <v>1144</v>
      </c>
      <c r="C225" s="3515"/>
      <c r="D225" s="3493">
        <v>25000000</v>
      </c>
      <c r="E225" s="3535">
        <v>0.04</v>
      </c>
      <c r="F225" s="3493">
        <f>D225*E225</f>
        <v>1000000</v>
      </c>
      <c r="G225" s="3493">
        <v>1000000</v>
      </c>
      <c r="H225" s="3493" t="s">
        <v>5361</v>
      </c>
      <c r="I225" s="3594" t="s">
        <v>1146</v>
      </c>
      <c r="J225" s="3493">
        <f>G225</f>
        <v>1000000</v>
      </c>
      <c r="K225" s="3493">
        <f t="shared" ref="K225:K230" si="19">F225-J225</f>
        <v>0</v>
      </c>
      <c r="L225" s="3539"/>
      <c r="M225" s="366"/>
      <c r="N225" s="366"/>
      <c r="O225" s="366"/>
      <c r="P225" s="366"/>
    </row>
    <row r="226" spans="1:16" ht="30" customHeight="1" x14ac:dyDescent="0.2">
      <c r="A226" s="3497"/>
      <c r="B226" s="19" t="s">
        <v>223</v>
      </c>
      <c r="C226" s="3541"/>
      <c r="D226" s="3524">
        <v>355000000</v>
      </c>
      <c r="E226" s="3535">
        <v>0.05</v>
      </c>
      <c r="F226" s="3524">
        <v>17800000</v>
      </c>
      <c r="G226" s="3524">
        <v>17800000</v>
      </c>
      <c r="H226" s="3524" t="s">
        <v>1649</v>
      </c>
      <c r="I226" s="3546" t="s">
        <v>3431</v>
      </c>
      <c r="J226" s="3524">
        <f>G226</f>
        <v>17800000</v>
      </c>
      <c r="K226" s="3524">
        <f t="shared" si="19"/>
        <v>0</v>
      </c>
      <c r="L226" s="378"/>
      <c r="M226" s="366"/>
      <c r="N226" s="366"/>
      <c r="O226" s="366"/>
      <c r="P226" s="366"/>
    </row>
    <row r="227" spans="1:16" ht="30" customHeight="1" x14ac:dyDescent="0.2">
      <c r="A227" s="3538">
        <v>96</v>
      </c>
      <c r="B227" s="3539" t="s">
        <v>224</v>
      </c>
      <c r="C227" s="3515"/>
      <c r="D227" s="3493">
        <v>70000000</v>
      </c>
      <c r="E227" s="3535">
        <v>0.05</v>
      </c>
      <c r="F227" s="3493">
        <f>D227*E227</f>
        <v>3500000</v>
      </c>
      <c r="G227" s="3493"/>
      <c r="H227" s="3493"/>
      <c r="I227" s="3524" t="s">
        <v>1440</v>
      </c>
      <c r="J227" s="3493">
        <f>F227</f>
        <v>3500000</v>
      </c>
      <c r="K227" s="3493">
        <f t="shared" si="19"/>
        <v>0</v>
      </c>
      <c r="L227" s="3539"/>
      <c r="M227" s="366"/>
      <c r="N227" s="366"/>
      <c r="O227" s="366"/>
      <c r="P227" s="366"/>
    </row>
    <row r="228" spans="1:16" ht="30" customHeight="1" x14ac:dyDescent="0.2">
      <c r="A228" s="3438">
        <v>98</v>
      </c>
      <c r="B228" s="2553" t="s">
        <v>226</v>
      </c>
      <c r="C228" s="3728"/>
      <c r="D228" s="3729">
        <v>20000000</v>
      </c>
      <c r="E228" s="2551">
        <v>0.05</v>
      </c>
      <c r="F228" s="3729">
        <f t="shared" ref="F228" si="20">D228*E228</f>
        <v>1000000</v>
      </c>
      <c r="G228" s="3729">
        <v>24000000</v>
      </c>
      <c r="H228" s="3729" t="s">
        <v>1649</v>
      </c>
      <c r="I228" s="2550" t="s">
        <v>5484</v>
      </c>
      <c r="J228" s="3729">
        <f>G228</f>
        <v>24000000</v>
      </c>
      <c r="K228" s="3729"/>
      <c r="L228" s="3754" t="s">
        <v>5485</v>
      </c>
      <c r="M228" s="366"/>
      <c r="N228" s="366"/>
      <c r="O228" s="366"/>
      <c r="P228" s="366"/>
    </row>
    <row r="229" spans="1:16" ht="30" customHeight="1" x14ac:dyDescent="0.2">
      <c r="A229" s="3538">
        <v>99</v>
      </c>
      <c r="B229" s="3539" t="s">
        <v>227</v>
      </c>
      <c r="C229" s="3515" t="s">
        <v>1297</v>
      </c>
      <c r="D229" s="3493">
        <v>100000000</v>
      </c>
      <c r="E229" s="3535">
        <v>0.04</v>
      </c>
      <c r="F229" s="3493">
        <f>D229*E229</f>
        <v>4000000</v>
      </c>
      <c r="G229" s="3493">
        <v>4000000</v>
      </c>
      <c r="H229" s="3493" t="s">
        <v>5343</v>
      </c>
      <c r="I229" s="3564" t="s">
        <v>4849</v>
      </c>
      <c r="J229" s="3493">
        <f>G229</f>
        <v>4000000</v>
      </c>
      <c r="K229" s="3493">
        <f t="shared" si="19"/>
        <v>0</v>
      </c>
      <c r="L229" s="3539"/>
      <c r="M229" s="366"/>
      <c r="N229" s="366"/>
      <c r="O229" s="366"/>
      <c r="P229" s="366"/>
    </row>
    <row r="230" spans="1:16" ht="30" customHeight="1" x14ac:dyDescent="0.2">
      <c r="A230" s="3538">
        <v>100</v>
      </c>
      <c r="B230" s="3539" t="s">
        <v>228</v>
      </c>
      <c r="C230" s="3515" t="s">
        <v>392</v>
      </c>
      <c r="D230" s="3493">
        <v>101000000</v>
      </c>
      <c r="E230" s="3535">
        <v>5.0999999999999997E-2</v>
      </c>
      <c r="F230" s="3493">
        <v>5100000</v>
      </c>
      <c r="G230" s="3493">
        <v>5100000</v>
      </c>
      <c r="H230" s="3493" t="s">
        <v>3978</v>
      </c>
      <c r="I230" s="3594" t="s">
        <v>2860</v>
      </c>
      <c r="J230" s="3493">
        <f>G230</f>
        <v>5100000</v>
      </c>
      <c r="K230" s="3493">
        <f t="shared" si="19"/>
        <v>0</v>
      </c>
      <c r="L230" s="3539"/>
      <c r="M230" s="366"/>
      <c r="N230" s="366"/>
      <c r="O230" s="366"/>
      <c r="P230" s="366"/>
    </row>
    <row r="231" spans="1:16" ht="30" customHeight="1" x14ac:dyDescent="0.2">
      <c r="A231" s="4533"/>
      <c r="B231" s="4457" t="s">
        <v>177</v>
      </c>
      <c r="C231" s="4537" t="s">
        <v>1080</v>
      </c>
      <c r="D231" s="4413">
        <v>100000000</v>
      </c>
      <c r="E231" s="4476">
        <v>0.06</v>
      </c>
      <c r="F231" s="4413">
        <f>D231*E231</f>
        <v>6000000</v>
      </c>
      <c r="G231" s="4413">
        <v>6000000</v>
      </c>
      <c r="H231" s="4413" t="s">
        <v>5343</v>
      </c>
      <c r="I231" s="4413" t="s">
        <v>3345</v>
      </c>
      <c r="J231" s="4413">
        <f>G231</f>
        <v>6000000</v>
      </c>
      <c r="K231" s="4413">
        <f>F231-J231</f>
        <v>0</v>
      </c>
      <c r="L231" s="3549" t="s">
        <v>5353</v>
      </c>
      <c r="M231" s="366"/>
      <c r="N231" s="366"/>
      <c r="O231" s="366"/>
      <c r="P231" s="366"/>
    </row>
    <row r="232" spans="1:16" ht="30" customHeight="1" x14ac:dyDescent="0.2">
      <c r="A232" s="4534"/>
      <c r="B232" s="4458"/>
      <c r="C232" s="4538"/>
      <c r="D232" s="4415"/>
      <c r="E232" s="4477"/>
      <c r="F232" s="4415"/>
      <c r="G232" s="4415"/>
      <c r="H232" s="4415"/>
      <c r="I232" s="4415"/>
      <c r="J232" s="4415"/>
      <c r="K232" s="4415"/>
      <c r="L232" s="3549" t="s">
        <v>4907</v>
      </c>
      <c r="M232" s="366"/>
      <c r="N232" s="366"/>
      <c r="O232" s="366"/>
      <c r="P232" s="366"/>
    </row>
    <row r="233" spans="1:16" ht="30" customHeight="1" x14ac:dyDescent="0.2">
      <c r="A233" s="4599"/>
      <c r="B233" s="5092" t="s">
        <v>6079</v>
      </c>
      <c r="C233" s="4537"/>
      <c r="D233" s="4413">
        <v>350000000</v>
      </c>
      <c r="E233" s="4476"/>
      <c r="F233" s="4413"/>
      <c r="G233" s="4263"/>
      <c r="H233" s="4263"/>
      <c r="I233" s="4263"/>
      <c r="J233" s="4263"/>
      <c r="K233" s="4263"/>
      <c r="L233" s="2015" t="s">
        <v>6080</v>
      </c>
      <c r="M233" s="366"/>
      <c r="N233" s="366"/>
      <c r="O233" s="366"/>
      <c r="P233" s="366"/>
    </row>
    <row r="234" spans="1:16" ht="30" customHeight="1" x14ac:dyDescent="0.2">
      <c r="A234" s="4607"/>
      <c r="B234" s="5094"/>
      <c r="C234" s="4538"/>
      <c r="D234" s="4415"/>
      <c r="E234" s="4477"/>
      <c r="F234" s="4415"/>
      <c r="G234" s="4263"/>
      <c r="H234" s="4263"/>
      <c r="I234" s="4263"/>
      <c r="J234" s="4263"/>
      <c r="K234" s="4263"/>
      <c r="L234" s="2015" t="s">
        <v>6081</v>
      </c>
      <c r="M234" s="366"/>
      <c r="N234" s="366"/>
      <c r="O234" s="366"/>
      <c r="P234" s="366"/>
    </row>
    <row r="235" spans="1:16" s="1540" customFormat="1" ht="30" customHeight="1" x14ac:dyDescent="0.2">
      <c r="A235" s="3"/>
      <c r="B235" s="3720" t="s">
        <v>230</v>
      </c>
      <c r="C235" s="3719" t="s">
        <v>1172</v>
      </c>
      <c r="D235" s="3712">
        <v>37000000</v>
      </c>
      <c r="E235" s="3718">
        <v>5.5E-2</v>
      </c>
      <c r="F235" s="3712">
        <v>2000000</v>
      </c>
      <c r="G235" s="3712">
        <v>2000000</v>
      </c>
      <c r="H235" s="3712" t="s">
        <v>1649</v>
      </c>
      <c r="I235" s="3524" t="s">
        <v>4264</v>
      </c>
      <c r="J235" s="3524">
        <f>G235</f>
        <v>2000000</v>
      </c>
      <c r="K235" s="3524">
        <f>F235-J235</f>
        <v>0</v>
      </c>
      <c r="L235" s="2015"/>
      <c r="M235" s="9"/>
      <c r="N235" s="9"/>
      <c r="O235" s="9"/>
      <c r="P235" s="9"/>
    </row>
    <row r="236" spans="1:16" ht="30" customHeight="1" x14ac:dyDescent="0.2">
      <c r="A236" s="3497">
        <v>104</v>
      </c>
      <c r="B236" s="3502" t="s">
        <v>231</v>
      </c>
      <c r="C236" s="3515" t="s">
        <v>1172</v>
      </c>
      <c r="D236" s="3493">
        <v>20000000</v>
      </c>
      <c r="E236" s="3499">
        <v>0.05</v>
      </c>
      <c r="F236" s="3493">
        <f t="shared" si="12"/>
        <v>1000000</v>
      </c>
      <c r="G236" s="3493"/>
      <c r="H236" s="3493"/>
      <c r="I236" s="3594" t="s">
        <v>3437</v>
      </c>
      <c r="J236" s="3493">
        <f>G236</f>
        <v>0</v>
      </c>
      <c r="K236" s="3493">
        <f>F236-J236</f>
        <v>1000000</v>
      </c>
      <c r="L236" s="3502"/>
      <c r="M236" s="366"/>
      <c r="N236" s="366"/>
      <c r="O236" s="366"/>
      <c r="P236" s="366"/>
    </row>
    <row r="237" spans="1:16" ht="30" customHeight="1" x14ac:dyDescent="0.2">
      <c r="A237" s="4459"/>
      <c r="B237" s="4457" t="s">
        <v>4842</v>
      </c>
      <c r="C237" s="4537"/>
      <c r="D237" s="4413">
        <v>10000000</v>
      </c>
      <c r="E237" s="4476">
        <v>0.05</v>
      </c>
      <c r="F237" s="4413">
        <f>D237*E237</f>
        <v>500000</v>
      </c>
      <c r="G237" s="3493">
        <v>500000</v>
      </c>
      <c r="H237" s="3493" t="s">
        <v>5343</v>
      </c>
      <c r="I237" s="3594" t="s">
        <v>5354</v>
      </c>
      <c r="J237" s="3493">
        <f>G237</f>
        <v>500000</v>
      </c>
      <c r="K237" s="3493">
        <f>F237-J237</f>
        <v>0</v>
      </c>
      <c r="L237" s="4172" t="s">
        <v>4907</v>
      </c>
      <c r="M237" s="366"/>
      <c r="N237" s="366"/>
      <c r="O237" s="366"/>
      <c r="P237" s="366"/>
    </row>
    <row r="238" spans="1:16" ht="30" customHeight="1" x14ac:dyDescent="0.2">
      <c r="A238" s="4460"/>
      <c r="B238" s="4458"/>
      <c r="C238" s="4538"/>
      <c r="D238" s="4415"/>
      <c r="E238" s="4477"/>
      <c r="F238" s="4415"/>
      <c r="G238" s="4169">
        <v>500000</v>
      </c>
      <c r="H238" s="4169" t="s">
        <v>6002</v>
      </c>
      <c r="I238" s="4187" t="s">
        <v>5354</v>
      </c>
      <c r="J238" s="4169">
        <f>G238</f>
        <v>500000</v>
      </c>
      <c r="K238" s="4169">
        <f>F237-J238</f>
        <v>0</v>
      </c>
      <c r="L238" s="4172" t="s">
        <v>4908</v>
      </c>
      <c r="M238" s="366"/>
      <c r="N238" s="366"/>
      <c r="O238" s="366"/>
      <c r="P238" s="366"/>
    </row>
    <row r="239" spans="1:16" ht="30" customHeight="1" x14ac:dyDescent="0.2">
      <c r="A239" s="3496">
        <v>105</v>
      </c>
      <c r="B239" s="62" t="s">
        <v>232</v>
      </c>
      <c r="C239" s="3541"/>
      <c r="D239" s="3494"/>
      <c r="E239" s="2521"/>
      <c r="F239" s="3494">
        <f t="shared" ref="F239:F274" si="21">D239*E239</f>
        <v>0</v>
      </c>
      <c r="G239" s="3524">
        <v>2500000</v>
      </c>
      <c r="H239" s="3524" t="s">
        <v>1649</v>
      </c>
      <c r="I239" s="3546" t="s">
        <v>3548</v>
      </c>
      <c r="J239" s="3524">
        <f>G239</f>
        <v>2500000</v>
      </c>
      <c r="K239" s="3494">
        <f>F239-J239</f>
        <v>-2500000</v>
      </c>
      <c r="L239" s="3505" t="s">
        <v>3549</v>
      </c>
    </row>
    <row r="240" spans="1:16" ht="30" customHeight="1" x14ac:dyDescent="0.2">
      <c r="A240" s="4459">
        <v>108</v>
      </c>
      <c r="B240" s="4457" t="s">
        <v>235</v>
      </c>
      <c r="C240" s="4537" t="s">
        <v>1172</v>
      </c>
      <c r="D240" s="3524">
        <v>1430000000</v>
      </c>
      <c r="E240" s="3535">
        <v>5.5E-2</v>
      </c>
      <c r="F240" s="3524">
        <f t="shared" si="21"/>
        <v>78650000</v>
      </c>
      <c r="G240" s="3546"/>
      <c r="H240" s="3546"/>
      <c r="I240" s="3546"/>
      <c r="J240" s="3546"/>
      <c r="K240" s="3524">
        <v>0</v>
      </c>
      <c r="L240" s="3541"/>
    </row>
    <row r="241" spans="1:12" ht="30" customHeight="1" x14ac:dyDescent="0.2">
      <c r="A241" s="4464"/>
      <c r="B241" s="4488"/>
      <c r="C241" s="4540"/>
      <c r="D241" s="3493">
        <v>150000000</v>
      </c>
      <c r="E241" s="3499">
        <v>5.5E-2</v>
      </c>
      <c r="F241" s="3493">
        <f>D241*E241</f>
        <v>8250000</v>
      </c>
      <c r="G241" s="3524"/>
      <c r="H241" s="3524"/>
      <c r="I241" s="3524"/>
      <c r="J241" s="3524"/>
      <c r="K241" s="3493"/>
      <c r="L241" s="3505" t="s">
        <v>4649</v>
      </c>
    </row>
    <row r="242" spans="1:12" ht="30" customHeight="1" x14ac:dyDescent="0.2">
      <c r="A242" s="4464"/>
      <c r="B242" s="4488"/>
      <c r="C242" s="4540"/>
      <c r="D242" s="3524">
        <v>30000000</v>
      </c>
      <c r="E242" s="3535">
        <v>5.5E-2</v>
      </c>
      <c r="F242" s="3524">
        <f>D242*E242</f>
        <v>1650000</v>
      </c>
      <c r="G242" s="3524"/>
      <c r="H242" s="3524"/>
      <c r="I242" s="3524"/>
      <c r="J242" s="3524"/>
      <c r="K242" s="3493"/>
      <c r="L242" s="3505" t="s">
        <v>5043</v>
      </c>
    </row>
    <row r="243" spans="1:12" ht="30" customHeight="1" x14ac:dyDescent="0.2">
      <c r="A243" s="4464"/>
      <c r="B243" s="4488"/>
      <c r="C243" s="4540"/>
      <c r="D243" s="2655">
        <f>SUM(D240:D242)</f>
        <v>1610000000</v>
      </c>
      <c r="E243" s="2654">
        <v>5.5E-2</v>
      </c>
      <c r="F243" s="2655">
        <f>D243*E243</f>
        <v>88550000</v>
      </c>
      <c r="G243" s="3524"/>
      <c r="H243" s="3524"/>
      <c r="I243" s="3524"/>
      <c r="J243" s="3524"/>
      <c r="K243" s="3493"/>
      <c r="L243" s="3505" t="s">
        <v>5136</v>
      </c>
    </row>
    <row r="244" spans="1:12" ht="30" customHeight="1" x14ac:dyDescent="0.2">
      <c r="A244" s="4464"/>
      <c r="B244" s="4488"/>
      <c r="C244" s="4540"/>
      <c r="D244" s="5082" t="s">
        <v>5196</v>
      </c>
      <c r="E244" s="5082"/>
      <c r="F244" s="5082"/>
      <c r="G244" s="3493"/>
      <c r="H244" s="3493"/>
      <c r="I244" s="3520"/>
      <c r="J244" s="3493"/>
      <c r="K244" s="3493"/>
      <c r="L244" s="3505"/>
    </row>
    <row r="245" spans="1:12" ht="30" customHeight="1" x14ac:dyDescent="0.2">
      <c r="A245" s="4460"/>
      <c r="B245" s="4458"/>
      <c r="C245" s="4538"/>
      <c r="D245" s="3582">
        <f>D243-200000000</f>
        <v>1410000000</v>
      </c>
      <c r="E245" s="2654">
        <v>5.5E-2</v>
      </c>
      <c r="F245" s="2655">
        <f>D245*E245</f>
        <v>77550000</v>
      </c>
      <c r="G245" s="3493"/>
      <c r="H245" s="3493"/>
      <c r="I245" s="3520"/>
      <c r="J245" s="3493"/>
      <c r="K245" s="3493"/>
      <c r="L245" s="3505"/>
    </row>
    <row r="246" spans="1:12" ht="30" customHeight="1" x14ac:dyDescent="0.2">
      <c r="A246" s="4459">
        <v>109</v>
      </c>
      <c r="B246" s="4457" t="s">
        <v>236</v>
      </c>
      <c r="C246" s="4537"/>
      <c r="D246" s="4322">
        <v>1000000000</v>
      </c>
      <c r="E246" s="4476">
        <v>0.05</v>
      </c>
      <c r="F246" s="4413">
        <f t="shared" si="21"/>
        <v>50000000</v>
      </c>
      <c r="G246" s="3493">
        <v>50000000</v>
      </c>
      <c r="H246" s="3493" t="s">
        <v>1527</v>
      </c>
      <c r="I246" s="3594" t="s">
        <v>4429</v>
      </c>
      <c r="J246" s="3493">
        <f t="shared" ref="J246:J252" si="22">G246</f>
        <v>50000000</v>
      </c>
      <c r="K246" s="3493">
        <f t="shared" ref="K246:K252" si="23">F246-J246</f>
        <v>0</v>
      </c>
      <c r="L246" s="3505"/>
    </row>
    <row r="247" spans="1:12" ht="30" customHeight="1" x14ac:dyDescent="0.2">
      <c r="A247" s="4460"/>
      <c r="B247" s="4458"/>
      <c r="C247" s="4538"/>
      <c r="D247" s="4322"/>
      <c r="E247" s="4477"/>
      <c r="F247" s="4415"/>
      <c r="G247" s="3493"/>
      <c r="H247" s="3493"/>
      <c r="I247" s="3594"/>
      <c r="J247" s="3493">
        <f>G247</f>
        <v>0</v>
      </c>
      <c r="K247" s="3493"/>
      <c r="L247" s="3505" t="s">
        <v>4819</v>
      </c>
    </row>
    <row r="248" spans="1:12" ht="30" customHeight="1" x14ac:dyDescent="0.2">
      <c r="A248" s="3438">
        <v>110</v>
      </c>
      <c r="B248" s="3849" t="s">
        <v>1842</v>
      </c>
      <c r="C248" s="3832" t="s">
        <v>1292</v>
      </c>
      <c r="D248" s="3833">
        <v>14000000</v>
      </c>
      <c r="E248" s="3365">
        <v>4.2999999999999997E-2</v>
      </c>
      <c r="F248" s="3834">
        <v>600000</v>
      </c>
      <c r="G248" s="3834">
        <v>14600000</v>
      </c>
      <c r="H248" s="3834" t="s">
        <v>1879</v>
      </c>
      <c r="I248" s="287" t="s">
        <v>5584</v>
      </c>
      <c r="J248" s="2550">
        <f t="shared" si="22"/>
        <v>14600000</v>
      </c>
      <c r="K248" s="2550"/>
      <c r="L248" s="3850" t="s">
        <v>5585</v>
      </c>
    </row>
    <row r="249" spans="1:12" ht="30" customHeight="1" x14ac:dyDescent="0.2">
      <c r="A249" s="3497"/>
      <c r="B249" s="19" t="s">
        <v>237</v>
      </c>
      <c r="C249" s="3541" t="s">
        <v>392</v>
      </c>
      <c r="D249" s="3524">
        <v>30000000</v>
      </c>
      <c r="E249" s="3535">
        <v>0.05</v>
      </c>
      <c r="F249" s="3493">
        <f>D249*E249</f>
        <v>1500000</v>
      </c>
      <c r="G249" s="3524">
        <v>1500000</v>
      </c>
      <c r="H249" s="3524" t="s">
        <v>5437</v>
      </c>
      <c r="I249" s="3524" t="s">
        <v>3927</v>
      </c>
      <c r="J249" s="3524">
        <f t="shared" si="22"/>
        <v>1500000</v>
      </c>
      <c r="K249" s="3493">
        <f t="shared" si="23"/>
        <v>0</v>
      </c>
      <c r="L249" s="3505"/>
    </row>
    <row r="250" spans="1:12" ht="30" customHeight="1" x14ac:dyDescent="0.2">
      <c r="A250" s="4459">
        <v>112</v>
      </c>
      <c r="B250" s="4457" t="s">
        <v>238</v>
      </c>
      <c r="C250" s="4537" t="s">
        <v>889</v>
      </c>
      <c r="D250" s="3493">
        <v>40000000</v>
      </c>
      <c r="E250" s="3535">
        <v>0.05</v>
      </c>
      <c r="F250" s="3493">
        <f t="shared" si="21"/>
        <v>2000000</v>
      </c>
      <c r="G250" s="5138" t="s">
        <v>4880</v>
      </c>
      <c r="H250" s="5139"/>
      <c r="I250" s="5139"/>
      <c r="J250" s="5140"/>
      <c r="K250" s="3493">
        <f t="shared" si="23"/>
        <v>2000000</v>
      </c>
      <c r="L250" s="2015" t="s">
        <v>5910</v>
      </c>
    </row>
    <row r="251" spans="1:12" ht="30" customHeight="1" x14ac:dyDescent="0.2">
      <c r="A251" s="4460"/>
      <c r="B251" s="4458"/>
      <c r="C251" s="4538"/>
      <c r="D251" s="3493">
        <v>45000000</v>
      </c>
      <c r="E251" s="3535">
        <v>0.05</v>
      </c>
      <c r="F251" s="3493">
        <f>D251*E251</f>
        <v>2250000</v>
      </c>
      <c r="G251" s="3699">
        <v>2250000</v>
      </c>
      <c r="H251" s="3564" t="s">
        <v>5437</v>
      </c>
      <c r="I251" s="3564" t="s">
        <v>3465</v>
      </c>
      <c r="J251" s="3712">
        <f>G251</f>
        <v>2250000</v>
      </c>
      <c r="K251" s="3493">
        <f>F251-J251</f>
        <v>0</v>
      </c>
      <c r="L251" s="2015" t="s">
        <v>4881</v>
      </c>
    </row>
    <row r="252" spans="1:12" ht="30" customHeight="1" x14ac:dyDescent="0.2">
      <c r="A252" s="3497"/>
      <c r="B252" s="3501" t="s">
        <v>239</v>
      </c>
      <c r="C252" s="3541" t="s">
        <v>402</v>
      </c>
      <c r="D252" s="3493">
        <v>250000000</v>
      </c>
      <c r="E252" s="3535">
        <v>0.05</v>
      </c>
      <c r="F252" s="3493">
        <f>D252*E252</f>
        <v>12500000</v>
      </c>
      <c r="G252" s="3524">
        <v>12500000</v>
      </c>
      <c r="H252" s="3524" t="s">
        <v>1649</v>
      </c>
      <c r="I252" s="3524" t="s">
        <v>3990</v>
      </c>
      <c r="J252" s="3524">
        <f t="shared" si="22"/>
        <v>12500000</v>
      </c>
      <c r="K252" s="3493">
        <f t="shared" si="23"/>
        <v>0</v>
      </c>
      <c r="L252" s="3505" t="s">
        <v>5474</v>
      </c>
    </row>
    <row r="253" spans="1:12" ht="30" customHeight="1" x14ac:dyDescent="0.2">
      <c r="A253" s="4459"/>
      <c r="B253" s="4457" t="s">
        <v>5567</v>
      </c>
      <c r="C253" s="3799" t="s">
        <v>1306</v>
      </c>
      <c r="D253" s="3778">
        <v>120000000</v>
      </c>
      <c r="E253" s="3815">
        <v>0.05</v>
      </c>
      <c r="F253" s="3778">
        <f>D253*E253</f>
        <v>6000000</v>
      </c>
      <c r="G253" s="4469" t="s">
        <v>5811</v>
      </c>
      <c r="H253" s="4470"/>
      <c r="I253" s="4470"/>
      <c r="J253" s="4471"/>
      <c r="K253" s="3778"/>
      <c r="L253" s="3780" t="s">
        <v>5568</v>
      </c>
    </row>
    <row r="254" spans="1:12" ht="30" customHeight="1" x14ac:dyDescent="0.2">
      <c r="A254" s="4464"/>
      <c r="B254" s="4488"/>
      <c r="C254" s="4176"/>
      <c r="D254" s="4169">
        <v>460000000</v>
      </c>
      <c r="E254" s="4182"/>
      <c r="F254" s="4169"/>
      <c r="G254" s="4469" t="s">
        <v>5994</v>
      </c>
      <c r="H254" s="4470"/>
      <c r="I254" s="4470"/>
      <c r="J254" s="4471"/>
      <c r="K254" s="4169"/>
      <c r="L254" s="4172"/>
    </row>
    <row r="255" spans="1:12" ht="30" customHeight="1" x14ac:dyDescent="0.2">
      <c r="A255" s="4460"/>
      <c r="B255" s="4458"/>
      <c r="C255" s="4176"/>
      <c r="D255" s="4169"/>
      <c r="E255" s="4182"/>
      <c r="F255" s="4169"/>
      <c r="G255" s="4303"/>
      <c r="H255" s="4324"/>
      <c r="I255" s="4324"/>
      <c r="J255" s="4355"/>
      <c r="K255" s="4169"/>
      <c r="L255" s="4172"/>
    </row>
    <row r="256" spans="1:12" ht="30" customHeight="1" x14ac:dyDescent="0.2">
      <c r="A256" s="3538">
        <v>114</v>
      </c>
      <c r="B256" s="3539" t="s">
        <v>240</v>
      </c>
      <c r="C256" s="3515"/>
      <c r="D256" s="3493">
        <v>100000000</v>
      </c>
      <c r="E256" s="3535">
        <v>4.4999999999999998E-2</v>
      </c>
      <c r="F256" s="3493">
        <f t="shared" si="21"/>
        <v>4500000</v>
      </c>
      <c r="G256" s="3493"/>
      <c r="H256" s="3493"/>
      <c r="I256" s="84"/>
      <c r="J256" s="3493">
        <f>G256</f>
        <v>0</v>
      </c>
      <c r="K256" s="3493">
        <f>F256-J256</f>
        <v>4500000</v>
      </c>
      <c r="L256" s="3539"/>
    </row>
    <row r="257" spans="1:12" ht="30" customHeight="1" x14ac:dyDescent="0.2">
      <c r="A257" s="1029"/>
      <c r="B257" s="19" t="s">
        <v>243</v>
      </c>
      <c r="C257" s="3541" t="s">
        <v>889</v>
      </c>
      <c r="D257" s="3524">
        <v>445000000</v>
      </c>
      <c r="E257" s="3535">
        <v>4.4999999999999998E-2</v>
      </c>
      <c r="F257" s="3524">
        <v>20000000</v>
      </c>
      <c r="G257" s="3493">
        <v>20000000</v>
      </c>
      <c r="H257" s="3493" t="s">
        <v>5361</v>
      </c>
      <c r="I257" s="84" t="s">
        <v>2646</v>
      </c>
      <c r="J257" s="3493">
        <f>G257</f>
        <v>20000000</v>
      </c>
      <c r="K257" s="3493">
        <f>F257-J257</f>
        <v>0</v>
      </c>
      <c r="L257" s="3573"/>
    </row>
    <row r="258" spans="1:12" ht="30" customHeight="1" x14ac:dyDescent="0.2">
      <c r="A258" s="4459">
        <v>118</v>
      </c>
      <c r="B258" s="4457" t="s">
        <v>244</v>
      </c>
      <c r="C258" s="4537" t="s">
        <v>4225</v>
      </c>
      <c r="D258" s="4413">
        <v>33000000</v>
      </c>
      <c r="E258" s="4476">
        <v>0.05</v>
      </c>
      <c r="F258" s="4413">
        <f>D258*E258</f>
        <v>1650000</v>
      </c>
      <c r="G258" s="4413">
        <v>1650000</v>
      </c>
      <c r="H258" s="4413" t="s">
        <v>3978</v>
      </c>
      <c r="I258" s="5014" t="s">
        <v>611</v>
      </c>
      <c r="J258" s="4413">
        <f>G258</f>
        <v>1650000</v>
      </c>
      <c r="K258" s="4413">
        <f>F258-J258</f>
        <v>0</v>
      </c>
      <c r="L258" s="3573"/>
    </row>
    <row r="259" spans="1:12" ht="30" customHeight="1" x14ac:dyDescent="0.2">
      <c r="A259" s="4464"/>
      <c r="B259" s="4488"/>
      <c r="C259" s="4538"/>
      <c r="D259" s="4415"/>
      <c r="E259" s="4477"/>
      <c r="F259" s="4415"/>
      <c r="G259" s="4415"/>
      <c r="H259" s="4415"/>
      <c r="I259" s="5015"/>
      <c r="J259" s="4415"/>
      <c r="K259" s="4415"/>
      <c r="L259" s="3573"/>
    </row>
    <row r="260" spans="1:12" ht="30" customHeight="1" x14ac:dyDescent="0.2">
      <c r="A260" s="4459">
        <v>120</v>
      </c>
      <c r="B260" s="4457" t="s">
        <v>246</v>
      </c>
      <c r="C260" s="4537" t="s">
        <v>371</v>
      </c>
      <c r="D260" s="3524">
        <v>617000000</v>
      </c>
      <c r="E260" s="3535">
        <v>7.0000000000000007E-2</v>
      </c>
      <c r="F260" s="3524">
        <v>43200000</v>
      </c>
      <c r="G260" s="3524">
        <v>10000000</v>
      </c>
      <c r="H260" s="3524" t="s">
        <v>5361</v>
      </c>
      <c r="I260" s="3546" t="s">
        <v>5362</v>
      </c>
      <c r="J260" s="3524">
        <f>G260</f>
        <v>10000000</v>
      </c>
      <c r="K260" s="3524">
        <f>F260-J260</f>
        <v>33200000</v>
      </c>
      <c r="L260" s="2015" t="s">
        <v>5442</v>
      </c>
    </row>
    <row r="261" spans="1:12" ht="30" customHeight="1" x14ac:dyDescent="0.2">
      <c r="A261" s="4460"/>
      <c r="B261" s="4458"/>
      <c r="C261" s="4538"/>
      <c r="D261" s="3699"/>
      <c r="E261" s="3704"/>
      <c r="F261" s="3699"/>
      <c r="G261" s="3699">
        <v>22900000</v>
      </c>
      <c r="H261" s="3699" t="s">
        <v>5437</v>
      </c>
      <c r="I261" s="3701" t="s">
        <v>2866</v>
      </c>
      <c r="J261" s="3699">
        <f>G261</f>
        <v>22900000</v>
      </c>
      <c r="K261" s="3699"/>
      <c r="L261" s="3717"/>
    </row>
    <row r="262" spans="1:12" ht="30" customHeight="1" x14ac:dyDescent="0.2">
      <c r="A262" s="3538">
        <v>122</v>
      </c>
      <c r="B262" s="3502" t="s">
        <v>248</v>
      </c>
      <c r="C262" s="3515"/>
      <c r="D262" s="3493">
        <v>50000000</v>
      </c>
      <c r="E262" s="3499">
        <v>4.4999999999999998E-2</v>
      </c>
      <c r="F262" s="3493">
        <f t="shared" si="21"/>
        <v>2250000</v>
      </c>
      <c r="G262" s="3493">
        <v>2250000</v>
      </c>
      <c r="H262" s="3493" t="s">
        <v>1649</v>
      </c>
      <c r="I262" s="3527" t="s">
        <v>1568</v>
      </c>
      <c r="J262" s="3493">
        <f>G262</f>
        <v>2250000</v>
      </c>
      <c r="K262" s="3493">
        <f>F262-J262</f>
        <v>0</v>
      </c>
      <c r="L262" s="3539"/>
    </row>
    <row r="263" spans="1:12" ht="30" customHeight="1" x14ac:dyDescent="0.2">
      <c r="A263" s="4459">
        <v>123</v>
      </c>
      <c r="B263" s="4457" t="s">
        <v>1650</v>
      </c>
      <c r="C263" s="4537" t="s">
        <v>1176</v>
      </c>
      <c r="D263" s="3524">
        <v>60000000</v>
      </c>
      <c r="E263" s="3535">
        <v>0.05</v>
      </c>
      <c r="F263" s="3524">
        <f t="shared" si="21"/>
        <v>3000000</v>
      </c>
      <c r="G263" s="4413">
        <v>7000000</v>
      </c>
      <c r="H263" s="4413" t="s">
        <v>5604</v>
      </c>
      <c r="I263" s="4478" t="s">
        <v>2776</v>
      </c>
      <c r="J263" s="4413">
        <f>G263</f>
        <v>7000000</v>
      </c>
      <c r="K263" s="4413">
        <f>(F263+F264+F265)-G263</f>
        <v>0</v>
      </c>
      <c r="L263" s="4599"/>
    </row>
    <row r="264" spans="1:12" ht="30" customHeight="1" x14ac:dyDescent="0.2">
      <c r="A264" s="4464"/>
      <c r="B264" s="4488"/>
      <c r="C264" s="4540"/>
      <c r="D264" s="3524">
        <v>20000000</v>
      </c>
      <c r="E264" s="3535">
        <v>7.0000000000000007E-2</v>
      </c>
      <c r="F264" s="3524">
        <f t="shared" si="21"/>
        <v>1400000.0000000002</v>
      </c>
      <c r="G264" s="4414"/>
      <c r="H264" s="4414"/>
      <c r="I264" s="4520"/>
      <c r="J264" s="4414"/>
      <c r="K264" s="4414"/>
      <c r="L264" s="4600"/>
    </row>
    <row r="265" spans="1:12" ht="30" customHeight="1" x14ac:dyDescent="0.2">
      <c r="A265" s="4464"/>
      <c r="B265" s="4458"/>
      <c r="C265" s="4538"/>
      <c r="D265" s="3524">
        <v>52000000</v>
      </c>
      <c r="E265" s="3535">
        <v>0.05</v>
      </c>
      <c r="F265" s="3524">
        <f>D265*E265</f>
        <v>2600000</v>
      </c>
      <c r="G265" s="4415"/>
      <c r="H265" s="4415"/>
      <c r="I265" s="4479"/>
      <c r="J265" s="4415"/>
      <c r="K265" s="4415"/>
      <c r="L265" s="3505"/>
    </row>
    <row r="266" spans="1:12" ht="30" customHeight="1" x14ac:dyDescent="0.2">
      <c r="A266" s="4459">
        <v>124</v>
      </c>
      <c r="B266" s="4457" t="s">
        <v>250</v>
      </c>
      <c r="C266" s="4537" t="s">
        <v>392</v>
      </c>
      <c r="D266" s="3493">
        <v>200000000</v>
      </c>
      <c r="E266" s="3499">
        <v>0.05</v>
      </c>
      <c r="F266" s="3493">
        <f t="shared" si="21"/>
        <v>10000000</v>
      </c>
      <c r="G266" s="4413">
        <v>50000000</v>
      </c>
      <c r="H266" s="4413" t="s">
        <v>5370</v>
      </c>
      <c r="I266" s="4553" t="s">
        <v>5613</v>
      </c>
      <c r="J266" s="4413">
        <f t="shared" ref="J266:J279" si="24">G266</f>
        <v>50000000</v>
      </c>
      <c r="K266" s="4413">
        <f>(F266+F267)-J266</f>
        <v>-4000000</v>
      </c>
      <c r="L266" s="3928" t="s">
        <v>5668</v>
      </c>
    </row>
    <row r="267" spans="1:12" ht="30" customHeight="1" x14ac:dyDescent="0.2">
      <c r="A267" s="4460"/>
      <c r="B267" s="4458"/>
      <c r="C267" s="4538"/>
      <c r="D267" s="3493">
        <v>600000000</v>
      </c>
      <c r="E267" s="3499">
        <v>0.06</v>
      </c>
      <c r="F267" s="3493">
        <f t="shared" si="21"/>
        <v>36000000</v>
      </c>
      <c r="G267" s="4415"/>
      <c r="H267" s="4415"/>
      <c r="I267" s="4554"/>
      <c r="J267" s="4415"/>
      <c r="K267" s="4415"/>
      <c r="L267" s="3502"/>
    </row>
    <row r="268" spans="1:12" ht="30" customHeight="1" x14ac:dyDescent="0.2">
      <c r="A268" s="4459">
        <v>125</v>
      </c>
      <c r="B268" s="4457" t="s">
        <v>251</v>
      </c>
      <c r="C268" s="378"/>
      <c r="D268" s="3524">
        <v>200000000</v>
      </c>
      <c r="E268" s="3535">
        <v>0.06</v>
      </c>
      <c r="F268" s="3524">
        <f>D268*E268</f>
        <v>12000000</v>
      </c>
      <c r="G268" s="3493">
        <v>12000000</v>
      </c>
      <c r="H268" s="4413" t="s">
        <v>5348</v>
      </c>
      <c r="I268" s="4478" t="s">
        <v>1630</v>
      </c>
      <c r="J268" s="3493">
        <f t="shared" si="24"/>
        <v>12000000</v>
      </c>
      <c r="K268" s="3493">
        <f t="shared" ref="K268:K279" si="25">F268-J268</f>
        <v>0</v>
      </c>
      <c r="L268" s="2015" t="s">
        <v>5958</v>
      </c>
    </row>
    <row r="269" spans="1:12" ht="30" customHeight="1" x14ac:dyDescent="0.2">
      <c r="A269" s="4464"/>
      <c r="B269" s="4488"/>
      <c r="C269" s="4537" t="s">
        <v>1287</v>
      </c>
      <c r="D269" s="4413">
        <v>100000000</v>
      </c>
      <c r="E269" s="4476">
        <v>0.06</v>
      </c>
      <c r="F269" s="4413">
        <f>D269*E269</f>
        <v>6000000</v>
      </c>
      <c r="G269" s="3712">
        <v>3000000</v>
      </c>
      <c r="H269" s="4415"/>
      <c r="I269" s="4479"/>
      <c r="J269" s="4322">
        <f>G269+G270</f>
        <v>6000000</v>
      </c>
      <c r="K269" s="4413">
        <f>F269-J269</f>
        <v>0</v>
      </c>
      <c r="L269" s="3539"/>
    </row>
    <row r="270" spans="1:12" ht="30" customHeight="1" x14ac:dyDescent="0.2">
      <c r="A270" s="4460"/>
      <c r="B270" s="4458"/>
      <c r="C270" s="4538"/>
      <c r="D270" s="4415"/>
      <c r="E270" s="4477"/>
      <c r="F270" s="4415"/>
      <c r="G270" s="3524">
        <v>3000000</v>
      </c>
      <c r="H270" s="3524" t="s">
        <v>5706</v>
      </c>
      <c r="I270" s="3524" t="s">
        <v>1630</v>
      </c>
      <c r="J270" s="4322"/>
      <c r="K270" s="4415"/>
      <c r="L270" s="2015"/>
    </row>
    <row r="271" spans="1:12" ht="30" customHeight="1" x14ac:dyDescent="0.2">
      <c r="A271" s="3586"/>
      <c r="B271" s="19" t="s">
        <v>4855</v>
      </c>
      <c r="C271" s="3541"/>
      <c r="D271" s="3700">
        <v>100000000</v>
      </c>
      <c r="E271" s="2521"/>
      <c r="F271" s="3700"/>
      <c r="G271" s="4469"/>
      <c r="H271" s="4470"/>
      <c r="I271" s="4470"/>
      <c r="J271" s="4471"/>
      <c r="K271" s="3493"/>
      <c r="L271" s="2015"/>
    </row>
    <row r="272" spans="1:12" ht="30" customHeight="1" x14ac:dyDescent="0.2">
      <c r="A272" s="3747"/>
      <c r="B272" s="3743" t="s">
        <v>5499</v>
      </c>
      <c r="C272" s="3742"/>
      <c r="D272" s="3739">
        <v>250000000</v>
      </c>
      <c r="E272" s="3741"/>
      <c r="F272" s="3739"/>
      <c r="G272" s="3746"/>
      <c r="H272" s="3746"/>
      <c r="I272" s="3746"/>
      <c r="J272" s="3746"/>
      <c r="K272" s="3736"/>
      <c r="L272" s="3744" t="s">
        <v>5500</v>
      </c>
    </row>
    <row r="273" spans="1:12" ht="30" customHeight="1" x14ac:dyDescent="0.2">
      <c r="A273" s="3496">
        <v>127</v>
      </c>
      <c r="B273" s="3542" t="s">
        <v>253</v>
      </c>
      <c r="C273" s="3541" t="s">
        <v>889</v>
      </c>
      <c r="D273" s="3524">
        <v>800000000</v>
      </c>
      <c r="E273" s="3535">
        <v>0.05</v>
      </c>
      <c r="F273" s="3524">
        <f t="shared" si="21"/>
        <v>40000000</v>
      </c>
      <c r="G273" s="3524">
        <v>40000000</v>
      </c>
      <c r="H273" s="3524" t="s">
        <v>5350</v>
      </c>
      <c r="I273" s="3546" t="s">
        <v>2540</v>
      </c>
      <c r="J273" s="3524">
        <f t="shared" si="24"/>
        <v>40000000</v>
      </c>
      <c r="K273" s="3524">
        <f t="shared" si="25"/>
        <v>0</v>
      </c>
      <c r="L273" s="3517"/>
    </row>
    <row r="274" spans="1:12" ht="30" customHeight="1" x14ac:dyDescent="0.2">
      <c r="A274" s="3538">
        <v>128</v>
      </c>
      <c r="B274" s="3539" t="s">
        <v>254</v>
      </c>
      <c r="C274" s="3515"/>
      <c r="D274" s="3512"/>
      <c r="E274" s="3513"/>
      <c r="F274" s="3512">
        <f t="shared" si="21"/>
        <v>0</v>
      </c>
      <c r="G274" s="3493"/>
      <c r="H274" s="3493"/>
      <c r="I274" s="3594"/>
      <c r="J274" s="3493">
        <f t="shared" si="24"/>
        <v>0</v>
      </c>
      <c r="K274" s="3512">
        <f t="shared" si="25"/>
        <v>0</v>
      </c>
      <c r="L274" s="3539"/>
    </row>
    <row r="275" spans="1:12" ht="30" customHeight="1" x14ac:dyDescent="0.2">
      <c r="A275" s="4459"/>
      <c r="B275" s="4457" t="s">
        <v>5217</v>
      </c>
      <c r="C275" s="4537"/>
      <c r="D275" s="3524">
        <v>200000000</v>
      </c>
      <c r="E275" s="3535">
        <v>0.06</v>
      </c>
      <c r="F275" s="3524">
        <f>D275*E275</f>
        <v>12000000</v>
      </c>
      <c r="G275" s="4413">
        <v>16000000</v>
      </c>
      <c r="H275" s="4413" t="s">
        <v>6002</v>
      </c>
      <c r="I275" s="4478" t="s">
        <v>5317</v>
      </c>
      <c r="J275" s="4413">
        <f>G275</f>
        <v>16000000</v>
      </c>
      <c r="K275" s="4413">
        <f>F277-J275</f>
        <v>0</v>
      </c>
      <c r="L275" s="3504"/>
    </row>
    <row r="276" spans="1:12" ht="30" customHeight="1" x14ac:dyDescent="0.2">
      <c r="A276" s="4464"/>
      <c r="B276" s="4488"/>
      <c r="C276" s="4540"/>
      <c r="D276" s="3524">
        <v>70000000</v>
      </c>
      <c r="E276" s="3535">
        <v>0.06</v>
      </c>
      <c r="F276" s="3524">
        <f>D276*E276</f>
        <v>4200000</v>
      </c>
      <c r="G276" s="4414"/>
      <c r="H276" s="4414"/>
      <c r="I276" s="4520"/>
      <c r="J276" s="4414"/>
      <c r="K276" s="4414"/>
      <c r="L276" s="3560"/>
    </row>
    <row r="277" spans="1:12" ht="30" customHeight="1" x14ac:dyDescent="0.2">
      <c r="A277" s="4460"/>
      <c r="B277" s="4458"/>
      <c r="C277" s="4538"/>
      <c r="D277" s="3595">
        <v>270000000</v>
      </c>
      <c r="E277" s="897">
        <v>0.06</v>
      </c>
      <c r="F277" s="3595">
        <v>16000000</v>
      </c>
      <c r="G277" s="4415"/>
      <c r="H277" s="4415"/>
      <c r="I277" s="4479"/>
      <c r="J277" s="4415"/>
      <c r="K277" s="4415"/>
      <c r="L277" s="3505"/>
    </row>
    <row r="278" spans="1:12" ht="30" customHeight="1" x14ac:dyDescent="0.2">
      <c r="A278" s="3325"/>
      <c r="B278" s="3539" t="s">
        <v>1171</v>
      </c>
      <c r="C278" s="3541" t="s">
        <v>1299</v>
      </c>
      <c r="D278" s="3524">
        <v>150000000</v>
      </c>
      <c r="E278" s="3535">
        <v>0.05</v>
      </c>
      <c r="F278" s="3524">
        <f>D278*E278</f>
        <v>7500000</v>
      </c>
      <c r="G278" s="3524">
        <v>7500000</v>
      </c>
      <c r="H278" s="3524" t="s">
        <v>5643</v>
      </c>
      <c r="I278" s="3524" t="s">
        <v>1840</v>
      </c>
      <c r="J278" s="3524">
        <f t="shared" si="24"/>
        <v>7500000</v>
      </c>
      <c r="K278" s="3524">
        <f t="shared" si="25"/>
        <v>0</v>
      </c>
      <c r="L278" s="3590"/>
    </row>
    <row r="279" spans="1:12" ht="30" customHeight="1" x14ac:dyDescent="0.2">
      <c r="A279" s="4459">
        <v>131</v>
      </c>
      <c r="B279" s="4457" t="s">
        <v>256</v>
      </c>
      <c r="C279" s="4537"/>
      <c r="D279" s="4413">
        <v>400000000</v>
      </c>
      <c r="E279" s="4476">
        <v>0.05</v>
      </c>
      <c r="F279" s="4413">
        <f>D279*E279</f>
        <v>20000000</v>
      </c>
      <c r="G279" s="4413">
        <v>20000000</v>
      </c>
      <c r="H279" s="4413" t="s">
        <v>5348</v>
      </c>
      <c r="I279" s="4413" t="s">
        <v>3436</v>
      </c>
      <c r="J279" s="4413">
        <f t="shared" si="24"/>
        <v>20000000</v>
      </c>
      <c r="K279" s="4413">
        <f t="shared" si="25"/>
        <v>0</v>
      </c>
      <c r="L279" s="3504"/>
    </row>
    <row r="280" spans="1:12" ht="30" customHeight="1" x14ac:dyDescent="0.2">
      <c r="A280" s="4460"/>
      <c r="B280" s="4458"/>
      <c r="C280" s="4538"/>
      <c r="D280" s="4415"/>
      <c r="E280" s="4477"/>
      <c r="F280" s="4415"/>
      <c r="G280" s="4415"/>
      <c r="H280" s="4415"/>
      <c r="I280" s="4415"/>
      <c r="J280" s="4415"/>
      <c r="K280" s="4415"/>
      <c r="L280" s="3560" t="s">
        <v>4014</v>
      </c>
    </row>
    <row r="281" spans="1:12" ht="30" customHeight="1" x14ac:dyDescent="0.2">
      <c r="A281" s="1029"/>
      <c r="B281" s="19" t="s">
        <v>1218</v>
      </c>
      <c r="C281" s="3541" t="s">
        <v>1652</v>
      </c>
      <c r="D281" s="3524">
        <v>490000000</v>
      </c>
      <c r="E281" s="3535">
        <v>0.06</v>
      </c>
      <c r="F281" s="3524">
        <f>D281*E281</f>
        <v>29400000</v>
      </c>
      <c r="G281" s="3524">
        <v>29500000</v>
      </c>
      <c r="H281" s="3524" t="s">
        <v>1649</v>
      </c>
      <c r="I281" s="3524" t="s">
        <v>4899</v>
      </c>
      <c r="J281" s="3524">
        <f>G281</f>
        <v>29500000</v>
      </c>
      <c r="K281" s="3524">
        <f>F281-J281</f>
        <v>-100000</v>
      </c>
      <c r="L281" s="3504" t="s">
        <v>4900</v>
      </c>
    </row>
    <row r="282" spans="1:12" ht="30" customHeight="1" x14ac:dyDescent="0.2">
      <c r="A282" s="3538">
        <v>133</v>
      </c>
      <c r="B282" s="3502" t="s">
        <v>175</v>
      </c>
      <c r="C282" s="3515" t="s">
        <v>1718</v>
      </c>
      <c r="D282" s="3493">
        <v>100000000</v>
      </c>
      <c r="E282" s="3499">
        <v>0.05</v>
      </c>
      <c r="F282" s="3493">
        <f t="shared" ref="F282:F368" si="26">D282*E282</f>
        <v>5000000</v>
      </c>
      <c r="G282" s="3493">
        <v>5000000</v>
      </c>
      <c r="H282" s="3493" t="s">
        <v>2019</v>
      </c>
      <c r="I282" s="3594" t="s">
        <v>4414</v>
      </c>
      <c r="J282" s="3493">
        <f>G282</f>
        <v>5000000</v>
      </c>
      <c r="K282" s="3493">
        <f>F282-J282</f>
        <v>0</v>
      </c>
      <c r="L282" s="3504"/>
    </row>
    <row r="283" spans="1:12" ht="30" customHeight="1" x14ac:dyDescent="0.2">
      <c r="A283" s="3496">
        <v>134</v>
      </c>
      <c r="B283" s="3542" t="s">
        <v>166</v>
      </c>
      <c r="C283" s="3541" t="s">
        <v>1652</v>
      </c>
      <c r="D283" s="3524">
        <v>110000000</v>
      </c>
      <c r="E283" s="3535">
        <v>0.04</v>
      </c>
      <c r="F283" s="3524">
        <f t="shared" si="26"/>
        <v>4400000</v>
      </c>
      <c r="G283" s="3493">
        <v>4400000</v>
      </c>
      <c r="H283" s="3493" t="s">
        <v>2019</v>
      </c>
      <c r="I283" s="3594" t="s">
        <v>4101</v>
      </c>
      <c r="J283" s="3491">
        <f>G283</f>
        <v>4400000</v>
      </c>
      <c r="K283" s="3491">
        <f>F283-J283</f>
        <v>0</v>
      </c>
      <c r="L283" s="3517"/>
    </row>
    <row r="284" spans="1:12" ht="30" customHeight="1" x14ac:dyDescent="0.2">
      <c r="A284" s="4459">
        <v>135</v>
      </c>
      <c r="B284" s="4457" t="s">
        <v>4365</v>
      </c>
      <c r="C284" s="3719" t="s">
        <v>1299</v>
      </c>
      <c r="D284" s="3493">
        <v>124000000</v>
      </c>
      <c r="E284" s="3535">
        <v>4.9000000000000002E-2</v>
      </c>
      <c r="F284" s="3493">
        <v>6000000</v>
      </c>
      <c r="G284" s="3493">
        <v>6000000</v>
      </c>
      <c r="H284" s="3493" t="s">
        <v>5744</v>
      </c>
      <c r="I284" s="26" t="s">
        <v>1549</v>
      </c>
      <c r="J284" s="3999">
        <f>G284</f>
        <v>6000000</v>
      </c>
      <c r="K284" s="3712">
        <f>F284-J284</f>
        <v>0</v>
      </c>
      <c r="L284" s="4599"/>
    </row>
    <row r="285" spans="1:12" ht="30" customHeight="1" x14ac:dyDescent="0.2">
      <c r="A285" s="4464"/>
      <c r="B285" s="4488"/>
      <c r="C285" s="3719" t="s">
        <v>392</v>
      </c>
      <c r="D285" s="3712">
        <v>100000000</v>
      </c>
      <c r="E285" s="3718">
        <v>0.05</v>
      </c>
      <c r="F285" s="3712">
        <f>D285*E285</f>
        <v>5000000</v>
      </c>
      <c r="G285" s="4413">
        <v>10000000</v>
      </c>
      <c r="H285" s="4413" t="s">
        <v>5437</v>
      </c>
      <c r="I285" s="4898" t="s">
        <v>1549</v>
      </c>
      <c r="J285" s="4413">
        <f>G285</f>
        <v>10000000</v>
      </c>
      <c r="K285" s="4413">
        <f>(F285+F286)-J285</f>
        <v>0</v>
      </c>
      <c r="L285" s="4607"/>
    </row>
    <row r="286" spans="1:12" ht="30" customHeight="1" x14ac:dyDescent="0.2">
      <c r="A286" s="4460"/>
      <c r="B286" s="4458"/>
      <c r="C286" s="3541" t="s">
        <v>392</v>
      </c>
      <c r="D286" s="3712">
        <v>100000000</v>
      </c>
      <c r="E286" s="3718">
        <v>0.05</v>
      </c>
      <c r="F286" s="3712">
        <f>D286*E286</f>
        <v>5000000</v>
      </c>
      <c r="G286" s="4415"/>
      <c r="H286" s="4415"/>
      <c r="I286" s="4899"/>
      <c r="J286" s="4415"/>
      <c r="K286" s="4415"/>
      <c r="L286" s="3504" t="s">
        <v>4968</v>
      </c>
    </row>
    <row r="287" spans="1:12" ht="30" customHeight="1" x14ac:dyDescent="0.2">
      <c r="A287" s="4459">
        <v>136</v>
      </c>
      <c r="B287" s="4457" t="s">
        <v>4003</v>
      </c>
      <c r="C287" s="4620"/>
      <c r="D287" s="4506"/>
      <c r="E287" s="4512"/>
      <c r="F287" s="4506">
        <f t="shared" si="26"/>
        <v>0</v>
      </c>
      <c r="G287" s="3493"/>
      <c r="H287" s="3493"/>
      <c r="I287" s="24" t="s">
        <v>3969</v>
      </c>
      <c r="J287" s="3493">
        <f>G287</f>
        <v>0</v>
      </c>
      <c r="K287" s="3512">
        <f>F287-J287</f>
        <v>0</v>
      </c>
      <c r="L287" s="3504"/>
    </row>
    <row r="288" spans="1:12" ht="30" customHeight="1" x14ac:dyDescent="0.2">
      <c r="A288" s="4464"/>
      <c r="B288" s="4488"/>
      <c r="C288" s="4620"/>
      <c r="D288" s="4507"/>
      <c r="E288" s="4513"/>
      <c r="F288" s="4507"/>
      <c r="G288" s="3524"/>
      <c r="H288" s="3524"/>
      <c r="I288" s="234" t="s">
        <v>3969</v>
      </c>
      <c r="J288" s="3524">
        <f>G288</f>
        <v>0</v>
      </c>
      <c r="K288" s="3494"/>
      <c r="L288" s="3573"/>
    </row>
    <row r="289" spans="1:12" ht="30" customHeight="1" x14ac:dyDescent="0.2">
      <c r="A289" s="4460"/>
      <c r="B289" s="4458"/>
      <c r="C289" s="4620"/>
      <c r="D289" s="4508"/>
      <c r="E289" s="4514"/>
      <c r="F289" s="4508"/>
      <c r="G289" s="3524"/>
      <c r="H289" s="3524"/>
      <c r="I289" s="3524"/>
      <c r="J289" s="3524"/>
      <c r="K289" s="3494"/>
      <c r="L289" s="3573"/>
    </row>
    <row r="290" spans="1:12" ht="30" customHeight="1" x14ac:dyDescent="0.2">
      <c r="A290" s="3496"/>
      <c r="B290" s="3501" t="s">
        <v>257</v>
      </c>
      <c r="C290" s="3525" t="s">
        <v>1652</v>
      </c>
      <c r="D290" s="3493">
        <v>100000000</v>
      </c>
      <c r="E290" s="3535">
        <v>0.05</v>
      </c>
      <c r="F290" s="3493">
        <f>D290*E290</f>
        <v>5000000</v>
      </c>
      <c r="G290" s="3492">
        <v>5000000</v>
      </c>
      <c r="H290" s="3492" t="s">
        <v>2019</v>
      </c>
      <c r="I290" s="1611" t="s">
        <v>4004</v>
      </c>
      <c r="J290" s="3492">
        <f>G290</f>
        <v>5000000</v>
      </c>
      <c r="K290" s="3492">
        <f>F290-J290</f>
        <v>0</v>
      </c>
      <c r="L290" s="3560"/>
    </row>
    <row r="291" spans="1:12" ht="30" customHeight="1" x14ac:dyDescent="0.2">
      <c r="A291" s="4459"/>
      <c r="B291" s="4457" t="s">
        <v>179</v>
      </c>
      <c r="C291" s="4537" t="s">
        <v>1176</v>
      </c>
      <c r="D291" s="3524">
        <v>80000000</v>
      </c>
      <c r="E291" s="3535">
        <v>0.05</v>
      </c>
      <c r="F291" s="3524">
        <f>D291*E291</f>
        <v>4000000</v>
      </c>
      <c r="G291" s="4413">
        <v>6100000</v>
      </c>
      <c r="H291" s="4413" t="s">
        <v>2019</v>
      </c>
      <c r="I291" s="4413" t="s">
        <v>1711</v>
      </c>
      <c r="J291" s="4413">
        <f>G291</f>
        <v>6100000</v>
      </c>
      <c r="K291" s="4413">
        <f>(F291+F292)-J291</f>
        <v>0</v>
      </c>
      <c r="L291" s="4492"/>
    </row>
    <row r="292" spans="1:12" ht="30" customHeight="1" x14ac:dyDescent="0.2">
      <c r="A292" s="4460"/>
      <c r="B292" s="4458"/>
      <c r="C292" s="4538"/>
      <c r="D292" s="3491">
        <v>30000000</v>
      </c>
      <c r="E292" s="3498">
        <v>7.0000000000000007E-2</v>
      </c>
      <c r="F292" s="3491">
        <f>D292*E292</f>
        <v>2100000</v>
      </c>
      <c r="G292" s="4415"/>
      <c r="H292" s="4415"/>
      <c r="I292" s="4415"/>
      <c r="J292" s="4415"/>
      <c r="K292" s="4415"/>
      <c r="L292" s="4493"/>
    </row>
    <row r="293" spans="1:12" ht="30" customHeight="1" x14ac:dyDescent="0.2">
      <c r="A293" s="4614">
        <v>138</v>
      </c>
      <c r="B293" s="4615" t="s">
        <v>259</v>
      </c>
      <c r="C293" s="4620" t="s">
        <v>1172</v>
      </c>
      <c r="D293" s="4322">
        <v>1500000000</v>
      </c>
      <c r="E293" s="4476">
        <v>7.0000000000000007E-2</v>
      </c>
      <c r="F293" s="4413">
        <f>D293*E293</f>
        <v>105000000.00000001</v>
      </c>
      <c r="G293" s="3853">
        <v>50000000</v>
      </c>
      <c r="H293" s="3853" t="s">
        <v>5370</v>
      </c>
      <c r="I293" s="3853" t="s">
        <v>529</v>
      </c>
      <c r="J293" s="4413">
        <f>G293+G294</f>
        <v>105000000</v>
      </c>
      <c r="K293" s="4413">
        <f>F293-J293</f>
        <v>0</v>
      </c>
      <c r="L293" s="180" t="s">
        <v>4812</v>
      </c>
    </row>
    <row r="294" spans="1:12" ht="30" customHeight="1" x14ac:dyDescent="0.2">
      <c r="A294" s="4614"/>
      <c r="B294" s="4615"/>
      <c r="C294" s="4620"/>
      <c r="D294" s="4322"/>
      <c r="E294" s="4477"/>
      <c r="F294" s="4415"/>
      <c r="G294" s="3853">
        <v>55000000</v>
      </c>
      <c r="H294" s="3853" t="s">
        <v>5593</v>
      </c>
      <c r="I294" s="3853" t="s">
        <v>529</v>
      </c>
      <c r="J294" s="4415"/>
      <c r="K294" s="4415"/>
      <c r="L294" s="180" t="s">
        <v>4813</v>
      </c>
    </row>
    <row r="295" spans="1:12" ht="30" customHeight="1" x14ac:dyDescent="0.2">
      <c r="A295" s="3538">
        <v>139</v>
      </c>
      <c r="B295" s="19" t="s">
        <v>160</v>
      </c>
      <c r="C295" s="3515" t="s">
        <v>1718</v>
      </c>
      <c r="D295" s="3524">
        <v>110000000</v>
      </c>
      <c r="E295" s="3535">
        <v>0.05</v>
      </c>
      <c r="F295" s="3524">
        <f t="shared" si="26"/>
        <v>5500000</v>
      </c>
      <c r="G295" s="3493">
        <v>5500000</v>
      </c>
      <c r="H295" s="3493" t="s">
        <v>2019</v>
      </c>
      <c r="I295" s="26" t="s">
        <v>2757</v>
      </c>
      <c r="J295" s="3524">
        <f>G295</f>
        <v>5500000</v>
      </c>
      <c r="K295" s="3524">
        <f>F295-J295</f>
        <v>0</v>
      </c>
      <c r="L295" s="19"/>
    </row>
    <row r="296" spans="1:12" ht="30" customHeight="1" x14ac:dyDescent="0.2">
      <c r="A296" s="3538"/>
      <c r="B296" s="19" t="s">
        <v>2270</v>
      </c>
      <c r="C296" s="3515" t="s">
        <v>262</v>
      </c>
      <c r="D296" s="3524">
        <v>50000000</v>
      </c>
      <c r="E296" s="3535">
        <v>0.05</v>
      </c>
      <c r="F296" s="3524">
        <f>D296*E296</f>
        <v>2500000</v>
      </c>
      <c r="G296" s="3493">
        <v>2500000</v>
      </c>
      <c r="H296" s="3493" t="s">
        <v>5593</v>
      </c>
      <c r="I296" s="26" t="s">
        <v>2757</v>
      </c>
      <c r="J296" s="3524">
        <f>G296</f>
        <v>2500000</v>
      </c>
      <c r="K296" s="3524">
        <f>F296-J296</f>
        <v>0</v>
      </c>
      <c r="L296" s="19"/>
    </row>
    <row r="297" spans="1:12" ht="30" customHeight="1" x14ac:dyDescent="0.2">
      <c r="A297" s="4459">
        <v>140</v>
      </c>
      <c r="B297" s="4457" t="s">
        <v>533</v>
      </c>
      <c r="C297" s="4537" t="s">
        <v>372</v>
      </c>
      <c r="D297" s="4413">
        <v>150000000</v>
      </c>
      <c r="E297" s="4476">
        <v>0.04</v>
      </c>
      <c r="F297" s="4413">
        <f t="shared" si="26"/>
        <v>6000000</v>
      </c>
      <c r="G297" s="3493">
        <v>6000000</v>
      </c>
      <c r="H297" s="3493" t="s">
        <v>3978</v>
      </c>
      <c r="I297" s="18" t="s">
        <v>2682</v>
      </c>
      <c r="J297" s="3493">
        <f>G297</f>
        <v>6000000</v>
      </c>
      <c r="K297" s="3493">
        <f>F297-J297</f>
        <v>0</v>
      </c>
      <c r="L297" s="3539"/>
    </row>
    <row r="298" spans="1:12" ht="30" customHeight="1" x14ac:dyDescent="0.2">
      <c r="A298" s="4460"/>
      <c r="B298" s="4458"/>
      <c r="C298" s="4538"/>
      <c r="D298" s="4415"/>
      <c r="E298" s="4477"/>
      <c r="F298" s="4415"/>
      <c r="G298" s="4198">
        <v>1000000</v>
      </c>
      <c r="H298" s="4198" t="s">
        <v>6002</v>
      </c>
      <c r="I298" s="96" t="s">
        <v>6011</v>
      </c>
      <c r="J298" s="4198">
        <f>G298</f>
        <v>1000000</v>
      </c>
      <c r="K298" s="4198"/>
      <c r="L298" s="4211" t="s">
        <v>6012</v>
      </c>
    </row>
    <row r="299" spans="1:12" ht="30" customHeight="1" x14ac:dyDescent="0.2">
      <c r="A299" s="1029">
        <v>141</v>
      </c>
      <c r="B299" s="19" t="s">
        <v>7</v>
      </c>
      <c r="C299" s="3541"/>
      <c r="D299" s="3524">
        <v>30000000</v>
      </c>
      <c r="E299" s="3535">
        <v>0.05</v>
      </c>
      <c r="F299" s="3524">
        <f t="shared" si="26"/>
        <v>1500000</v>
      </c>
      <c r="G299" s="3493"/>
      <c r="H299" s="3493"/>
      <c r="I299" s="3594" t="s">
        <v>535</v>
      </c>
      <c r="J299" s="3493">
        <f>G299</f>
        <v>0</v>
      </c>
      <c r="K299" s="3493">
        <f>F299-J299</f>
        <v>1500000</v>
      </c>
      <c r="L299" s="3504"/>
    </row>
    <row r="300" spans="1:12" ht="30" customHeight="1" x14ac:dyDescent="0.2">
      <c r="A300" s="4459">
        <v>142</v>
      </c>
      <c r="B300" s="4461" t="s">
        <v>8</v>
      </c>
      <c r="C300" s="4677"/>
      <c r="D300" s="4506">
        <v>2000000000</v>
      </c>
      <c r="E300" s="4512">
        <v>0.08</v>
      </c>
      <c r="F300" s="4506">
        <f>D300*E300</f>
        <v>160000000</v>
      </c>
      <c r="G300" s="4221">
        <v>100000000</v>
      </c>
      <c r="H300" s="4221"/>
      <c r="I300" s="4221" t="s">
        <v>5563</v>
      </c>
      <c r="J300" s="4442">
        <f>G300+G301</f>
        <v>140000000</v>
      </c>
      <c r="K300" s="4442">
        <f>F300-J300</f>
        <v>20000000</v>
      </c>
      <c r="L300" s="5128"/>
    </row>
    <row r="301" spans="1:12" ht="30" customHeight="1" x14ac:dyDescent="0.2">
      <c r="A301" s="4464"/>
      <c r="B301" s="4462"/>
      <c r="C301" s="4678"/>
      <c r="D301" s="4507"/>
      <c r="E301" s="4513"/>
      <c r="F301" s="4507"/>
      <c r="G301" s="4221">
        <v>40000000</v>
      </c>
      <c r="H301" s="4221" t="s">
        <v>5370</v>
      </c>
      <c r="I301" s="4221" t="s">
        <v>1937</v>
      </c>
      <c r="J301" s="4442"/>
      <c r="K301" s="4442"/>
      <c r="L301" s="4485"/>
    </row>
    <row r="302" spans="1:12" ht="30" customHeight="1" x14ac:dyDescent="0.2">
      <c r="A302" s="4464"/>
      <c r="B302" s="4462"/>
      <c r="C302" s="4678"/>
      <c r="D302" s="4507"/>
      <c r="E302" s="4513"/>
      <c r="F302" s="4507"/>
      <c r="G302" s="298">
        <v>50000000</v>
      </c>
      <c r="H302" s="298" t="s">
        <v>5056</v>
      </c>
      <c r="I302" s="4279" t="s">
        <v>1937</v>
      </c>
      <c r="J302" s="4506"/>
      <c r="K302" s="4506"/>
      <c r="L302" s="4485"/>
    </row>
    <row r="303" spans="1:12" ht="30" customHeight="1" x14ac:dyDescent="0.2">
      <c r="A303" s="4464"/>
      <c r="B303" s="4462"/>
      <c r="C303" s="4678"/>
      <c r="D303" s="4507"/>
      <c r="E303" s="4513"/>
      <c r="F303" s="4507"/>
      <c r="G303" s="298">
        <v>50000000</v>
      </c>
      <c r="H303" s="298" t="s">
        <v>5056</v>
      </c>
      <c r="I303" s="4280" t="s">
        <v>1937</v>
      </c>
      <c r="J303" s="4507"/>
      <c r="K303" s="4507"/>
      <c r="L303" s="4485"/>
    </row>
    <row r="304" spans="1:12" ht="30" customHeight="1" x14ac:dyDescent="0.2">
      <c r="A304" s="4460"/>
      <c r="B304" s="4463"/>
      <c r="C304" s="4679"/>
      <c r="D304" s="4508"/>
      <c r="E304" s="4514"/>
      <c r="F304" s="4508"/>
      <c r="G304" s="298">
        <v>10000000</v>
      </c>
      <c r="H304" s="298" t="s">
        <v>5056</v>
      </c>
      <c r="I304" s="4280" t="s">
        <v>1937</v>
      </c>
      <c r="J304" s="4508"/>
      <c r="K304" s="4508"/>
      <c r="L304" s="4229"/>
    </row>
    <row r="305" spans="1:12" ht="30" customHeight="1" x14ac:dyDescent="0.2">
      <c r="A305" s="3538">
        <v>143</v>
      </c>
      <c r="B305" s="3539" t="s">
        <v>4148</v>
      </c>
      <c r="C305" s="3541"/>
      <c r="D305" s="3524">
        <v>50000000</v>
      </c>
      <c r="E305" s="3535">
        <v>0.04</v>
      </c>
      <c r="F305" s="3524">
        <f t="shared" si="26"/>
        <v>2000000</v>
      </c>
      <c r="G305" s="3524">
        <v>2000000</v>
      </c>
      <c r="H305" s="3524" t="s">
        <v>5437</v>
      </c>
      <c r="I305" s="26" t="s">
        <v>4926</v>
      </c>
      <c r="J305" s="3524">
        <f>G305</f>
        <v>2000000</v>
      </c>
      <c r="K305" s="3524">
        <f t="shared" ref="K305:K320" si="27">F305-J305</f>
        <v>0</v>
      </c>
      <c r="L305" s="3573" t="s">
        <v>4927</v>
      </c>
    </row>
    <row r="306" spans="1:12" ht="30" customHeight="1" x14ac:dyDescent="0.2">
      <c r="A306" s="3538">
        <v>144</v>
      </c>
      <c r="B306" s="3539" t="s">
        <v>514</v>
      </c>
      <c r="C306" s="3515"/>
      <c r="D306" s="3493">
        <v>5000000</v>
      </c>
      <c r="E306" s="3535">
        <v>0.05</v>
      </c>
      <c r="F306" s="3493">
        <f t="shared" si="26"/>
        <v>250000</v>
      </c>
      <c r="G306" s="3493">
        <v>250000</v>
      </c>
      <c r="H306" s="3493" t="s">
        <v>5350</v>
      </c>
      <c r="I306" s="3594" t="s">
        <v>516</v>
      </c>
      <c r="J306" s="3493">
        <f>G306</f>
        <v>250000</v>
      </c>
      <c r="K306" s="3493">
        <f t="shared" si="27"/>
        <v>0</v>
      </c>
      <c r="L306" s="3539"/>
    </row>
    <row r="307" spans="1:12" ht="30" customHeight="1" x14ac:dyDescent="0.2">
      <c r="A307" s="3538">
        <v>145</v>
      </c>
      <c r="B307" s="3539" t="s">
        <v>10</v>
      </c>
      <c r="C307" s="3515" t="s">
        <v>1172</v>
      </c>
      <c r="D307" s="3493">
        <v>100000000</v>
      </c>
      <c r="E307" s="3535">
        <v>0.05</v>
      </c>
      <c r="F307" s="3493">
        <f t="shared" si="26"/>
        <v>5000000</v>
      </c>
      <c r="G307" s="3493">
        <v>5000000</v>
      </c>
      <c r="H307" s="3493" t="s">
        <v>2019</v>
      </c>
      <c r="I307" s="18" t="s">
        <v>3525</v>
      </c>
      <c r="J307" s="3493">
        <f>G307</f>
        <v>5000000</v>
      </c>
      <c r="K307" s="3493">
        <f t="shared" si="27"/>
        <v>0</v>
      </c>
      <c r="L307" s="3539"/>
    </row>
    <row r="308" spans="1:12" ht="30" customHeight="1" x14ac:dyDescent="0.2">
      <c r="A308" s="3538">
        <v>146</v>
      </c>
      <c r="B308" s="3539" t="s">
        <v>11</v>
      </c>
      <c r="C308" s="3515"/>
      <c r="D308" s="3493">
        <v>50000000</v>
      </c>
      <c r="E308" s="3535">
        <v>4.4999999999999998E-2</v>
      </c>
      <c r="F308" s="3493">
        <f t="shared" si="26"/>
        <v>2250000</v>
      </c>
      <c r="G308" s="3493"/>
      <c r="H308" s="3493"/>
      <c r="I308" s="3594"/>
      <c r="J308" s="3493"/>
      <c r="K308" s="3493">
        <f t="shared" si="27"/>
        <v>2250000</v>
      </c>
      <c r="L308" s="3539"/>
    </row>
    <row r="309" spans="1:12" ht="30" customHeight="1" x14ac:dyDescent="0.2">
      <c r="A309" s="4459">
        <v>147</v>
      </c>
      <c r="B309" s="4457" t="s">
        <v>12</v>
      </c>
      <c r="C309" s="4537" t="s">
        <v>1295</v>
      </c>
      <c r="D309" s="3493">
        <v>60000000</v>
      </c>
      <c r="E309" s="3535">
        <v>0.05</v>
      </c>
      <c r="F309" s="3493">
        <f t="shared" si="26"/>
        <v>3000000</v>
      </c>
      <c r="G309" s="4413">
        <v>6500000</v>
      </c>
      <c r="H309" s="4413" t="s">
        <v>5343</v>
      </c>
      <c r="I309" s="4898" t="s">
        <v>4845</v>
      </c>
      <c r="J309" s="4413">
        <f>G309</f>
        <v>6500000</v>
      </c>
      <c r="K309" s="4413">
        <f>(F309+F310)-G309</f>
        <v>0</v>
      </c>
      <c r="L309" s="3572"/>
    </row>
    <row r="310" spans="1:12" ht="30" customHeight="1" x14ac:dyDescent="0.2">
      <c r="A310" s="4460"/>
      <c r="B310" s="4458"/>
      <c r="C310" s="4538"/>
      <c r="D310" s="3493">
        <v>70000000</v>
      </c>
      <c r="E310" s="3535">
        <v>0.05</v>
      </c>
      <c r="F310" s="3493">
        <f t="shared" si="26"/>
        <v>3500000</v>
      </c>
      <c r="G310" s="4415"/>
      <c r="H310" s="4415"/>
      <c r="I310" s="4899"/>
      <c r="J310" s="4415"/>
      <c r="K310" s="4415"/>
      <c r="L310" s="2015" t="s">
        <v>4673</v>
      </c>
    </row>
    <row r="311" spans="1:12" ht="30" customHeight="1" x14ac:dyDescent="0.2">
      <c r="A311" s="3496">
        <v>148</v>
      </c>
      <c r="B311" s="3542" t="s">
        <v>13</v>
      </c>
      <c r="C311" s="3541" t="s">
        <v>371</v>
      </c>
      <c r="D311" s="3524">
        <v>50000000</v>
      </c>
      <c r="E311" s="3535">
        <v>0.05</v>
      </c>
      <c r="F311" s="3524">
        <f t="shared" si="26"/>
        <v>2500000</v>
      </c>
      <c r="G311" s="3524">
        <v>2500000</v>
      </c>
      <c r="H311" s="3524" t="s">
        <v>5593</v>
      </c>
      <c r="I311" s="3546" t="s">
        <v>1401</v>
      </c>
      <c r="J311" s="3524">
        <f t="shared" ref="J311:J319" si="28">G311</f>
        <v>2500000</v>
      </c>
      <c r="K311" s="3524">
        <f t="shared" si="27"/>
        <v>0</v>
      </c>
      <c r="L311" s="2015"/>
    </row>
    <row r="312" spans="1:12" ht="30" customHeight="1" x14ac:dyDescent="0.2">
      <c r="A312" s="4459">
        <v>149</v>
      </c>
      <c r="B312" s="4457" t="s">
        <v>14</v>
      </c>
      <c r="C312" s="4537" t="s">
        <v>1291</v>
      </c>
      <c r="D312" s="4413">
        <v>80000000</v>
      </c>
      <c r="E312" s="4476">
        <v>0.05</v>
      </c>
      <c r="F312" s="4413">
        <f t="shared" si="26"/>
        <v>4000000</v>
      </c>
      <c r="G312" s="3493">
        <v>4000000</v>
      </c>
      <c r="H312" s="3493" t="s">
        <v>1013</v>
      </c>
      <c r="I312" s="3587" t="s">
        <v>5704</v>
      </c>
      <c r="J312" s="3493">
        <f t="shared" si="28"/>
        <v>4000000</v>
      </c>
      <c r="K312" s="3493">
        <f t="shared" si="27"/>
        <v>0</v>
      </c>
      <c r="L312" s="2015" t="s">
        <v>5703</v>
      </c>
    </row>
    <row r="313" spans="1:12" ht="30" customHeight="1" x14ac:dyDescent="0.2">
      <c r="A313" s="4464"/>
      <c r="B313" s="4488"/>
      <c r="C313" s="4540"/>
      <c r="D313" s="4414"/>
      <c r="E313" s="4516"/>
      <c r="F313" s="4414"/>
      <c r="G313" s="3954">
        <v>4000000</v>
      </c>
      <c r="H313" s="3954" t="s">
        <v>5706</v>
      </c>
      <c r="I313" s="52" t="s">
        <v>2580</v>
      </c>
      <c r="J313" s="3954">
        <f>G313</f>
        <v>4000000</v>
      </c>
      <c r="K313" s="3954">
        <f>F312-J313</f>
        <v>0</v>
      </c>
      <c r="L313" s="3964" t="s">
        <v>5709</v>
      </c>
    </row>
    <row r="314" spans="1:12" ht="30" customHeight="1" x14ac:dyDescent="0.2">
      <c r="A314" s="4460"/>
      <c r="B314" s="4458"/>
      <c r="C314" s="4538"/>
      <c r="D314" s="4415"/>
      <c r="E314" s="4477"/>
      <c r="F314" s="4415"/>
      <c r="G314" s="3954"/>
      <c r="H314" s="3954"/>
      <c r="I314" s="52"/>
      <c r="J314" s="3954"/>
      <c r="K314" s="3954"/>
      <c r="L314" s="3964"/>
    </row>
    <row r="315" spans="1:12" ht="30" customHeight="1" x14ac:dyDescent="0.2">
      <c r="A315" s="3538">
        <v>150</v>
      </c>
      <c r="B315" s="3539" t="s">
        <v>15</v>
      </c>
      <c r="C315" s="3515" t="s">
        <v>1294</v>
      </c>
      <c r="D315" s="3493">
        <v>160000000</v>
      </c>
      <c r="E315" s="3535">
        <v>0.04</v>
      </c>
      <c r="F315" s="3493">
        <f t="shared" si="26"/>
        <v>6400000</v>
      </c>
      <c r="G315" s="3493">
        <v>6400000</v>
      </c>
      <c r="H315" s="3493" t="s">
        <v>5706</v>
      </c>
      <c r="I315" s="3594" t="s">
        <v>2986</v>
      </c>
      <c r="J315" s="3493">
        <f t="shared" si="28"/>
        <v>6400000</v>
      </c>
      <c r="K315" s="3493">
        <f t="shared" si="27"/>
        <v>0</v>
      </c>
      <c r="L315" s="3504"/>
    </row>
    <row r="316" spans="1:12" ht="30" customHeight="1" x14ac:dyDescent="0.2">
      <c r="A316" s="4459">
        <v>151</v>
      </c>
      <c r="B316" s="4457" t="s">
        <v>16</v>
      </c>
      <c r="C316" s="4537" t="s">
        <v>3390</v>
      </c>
      <c r="D316" s="3493">
        <v>180000000</v>
      </c>
      <c r="E316" s="3535">
        <v>0.05</v>
      </c>
      <c r="F316" s="3493">
        <f t="shared" si="26"/>
        <v>9000000</v>
      </c>
      <c r="G316" s="3493">
        <v>9000000</v>
      </c>
      <c r="H316" s="3493" t="s">
        <v>5744</v>
      </c>
      <c r="I316" s="3594" t="s">
        <v>2149</v>
      </c>
      <c r="J316" s="3493">
        <f t="shared" si="28"/>
        <v>9000000</v>
      </c>
      <c r="K316" s="3493">
        <f t="shared" si="27"/>
        <v>0</v>
      </c>
      <c r="L316" s="3539"/>
    </row>
    <row r="317" spans="1:12" ht="30" customHeight="1" x14ac:dyDescent="0.2">
      <c r="A317" s="4460"/>
      <c r="B317" s="4458"/>
      <c r="C317" s="4538"/>
      <c r="D317" s="3778">
        <v>200000000</v>
      </c>
      <c r="E317" s="3815"/>
      <c r="F317" s="3778"/>
      <c r="G317" s="3778"/>
      <c r="H317" s="3778"/>
      <c r="I317" s="3838"/>
      <c r="J317" s="3778"/>
      <c r="K317" s="3778"/>
      <c r="L317" s="2015" t="s">
        <v>5603</v>
      </c>
    </row>
    <row r="318" spans="1:12" ht="30" customHeight="1" x14ac:dyDescent="0.2">
      <c r="A318" s="3538">
        <v>153</v>
      </c>
      <c r="B318" s="3539" t="s">
        <v>17</v>
      </c>
      <c r="C318" s="3515" t="s">
        <v>1299</v>
      </c>
      <c r="D318" s="3493">
        <v>30000000</v>
      </c>
      <c r="E318" s="3535">
        <v>0.05</v>
      </c>
      <c r="F318" s="3493">
        <f t="shared" si="26"/>
        <v>1500000</v>
      </c>
      <c r="G318" s="3493">
        <v>1500000</v>
      </c>
      <c r="H318" s="3493" t="s">
        <v>5744</v>
      </c>
      <c r="I318" s="3594" t="s">
        <v>1143</v>
      </c>
      <c r="J318" s="3493">
        <f t="shared" si="28"/>
        <v>1500000</v>
      </c>
      <c r="K318" s="3493">
        <f t="shared" si="27"/>
        <v>0</v>
      </c>
      <c r="L318" s="3539"/>
    </row>
    <row r="319" spans="1:12" ht="30" customHeight="1" x14ac:dyDescent="0.2">
      <c r="A319" s="3538">
        <v>154</v>
      </c>
      <c r="B319" s="3539" t="s">
        <v>18</v>
      </c>
      <c r="C319" s="3515" t="s">
        <v>1796</v>
      </c>
      <c r="D319" s="3493">
        <v>15000000</v>
      </c>
      <c r="E319" s="3535">
        <v>7.0000000000000007E-2</v>
      </c>
      <c r="F319" s="3493">
        <f t="shared" si="26"/>
        <v>1050000</v>
      </c>
      <c r="G319" s="3493">
        <v>1050000</v>
      </c>
      <c r="H319" s="3493" t="s">
        <v>6002</v>
      </c>
      <c r="I319" s="3594" t="s">
        <v>1278</v>
      </c>
      <c r="J319" s="3493">
        <f t="shared" si="28"/>
        <v>1050000</v>
      </c>
      <c r="K319" s="3493">
        <f t="shared" si="27"/>
        <v>0</v>
      </c>
      <c r="L319" s="3539"/>
    </row>
    <row r="320" spans="1:12" ht="30" customHeight="1" x14ac:dyDescent="0.2">
      <c r="A320" s="3538">
        <v>155</v>
      </c>
      <c r="B320" s="3539" t="s">
        <v>19</v>
      </c>
      <c r="C320" s="3515"/>
      <c r="D320" s="3512"/>
      <c r="E320" s="2521"/>
      <c r="F320" s="3512">
        <f t="shared" si="26"/>
        <v>0</v>
      </c>
      <c r="G320" s="3493"/>
      <c r="H320" s="3493"/>
      <c r="I320" s="3594"/>
      <c r="J320" s="3493"/>
      <c r="K320" s="3512">
        <f t="shared" si="27"/>
        <v>0</v>
      </c>
      <c r="L320" s="3539"/>
    </row>
    <row r="321" spans="1:16" ht="30" customHeight="1" x14ac:dyDescent="0.2">
      <c r="A321" s="3496">
        <v>156</v>
      </c>
      <c r="B321" s="3542" t="s">
        <v>20</v>
      </c>
      <c r="C321" s="378"/>
      <c r="D321" s="3524">
        <v>50000000</v>
      </c>
      <c r="E321" s="3535">
        <v>0.04</v>
      </c>
      <c r="F321" s="3524">
        <f t="shared" si="26"/>
        <v>2000000</v>
      </c>
      <c r="G321" s="3493">
        <v>2000000</v>
      </c>
      <c r="H321" s="3493" t="s">
        <v>5706</v>
      </c>
      <c r="I321" s="18" t="s">
        <v>5122</v>
      </c>
      <c r="J321" s="3524">
        <f>G321</f>
        <v>2000000</v>
      </c>
      <c r="K321" s="3524">
        <f>F321-J321</f>
        <v>0</v>
      </c>
      <c r="L321" s="3504"/>
      <c r="M321" s="366"/>
      <c r="N321" s="366"/>
      <c r="O321" s="366"/>
      <c r="P321" s="366"/>
    </row>
    <row r="322" spans="1:16" ht="30" customHeight="1" x14ac:dyDescent="0.2">
      <c r="A322" s="3538">
        <v>157</v>
      </c>
      <c r="B322" s="3539" t="s">
        <v>21</v>
      </c>
      <c r="C322" s="3515" t="s">
        <v>1294</v>
      </c>
      <c r="D322" s="3493">
        <v>20000000</v>
      </c>
      <c r="E322" s="3499">
        <v>0.05</v>
      </c>
      <c r="F322" s="3493">
        <f t="shared" si="26"/>
        <v>1000000</v>
      </c>
      <c r="G322" s="3493">
        <v>1000000</v>
      </c>
      <c r="H322" s="3493" t="s">
        <v>5643</v>
      </c>
      <c r="I322" s="3594" t="s">
        <v>4525</v>
      </c>
      <c r="J322" s="3493">
        <f>G322</f>
        <v>1000000</v>
      </c>
      <c r="K322" s="3493">
        <f>F322-J322</f>
        <v>0</v>
      </c>
      <c r="L322" s="3539"/>
      <c r="M322" s="366"/>
      <c r="N322" s="366"/>
      <c r="O322" s="366"/>
      <c r="P322" s="366"/>
    </row>
    <row r="323" spans="1:16" ht="30" customHeight="1" x14ac:dyDescent="0.2">
      <c r="A323" s="4459"/>
      <c r="B323" s="4457" t="s">
        <v>822</v>
      </c>
      <c r="C323" s="4537" t="s">
        <v>1306</v>
      </c>
      <c r="D323" s="3582">
        <v>160000000</v>
      </c>
      <c r="E323" s="897">
        <v>0.05</v>
      </c>
      <c r="F323" s="3582">
        <f>D323*E323</f>
        <v>8000000</v>
      </c>
      <c r="G323" s="4413">
        <v>10700000</v>
      </c>
      <c r="H323" s="4413" t="s">
        <v>5848</v>
      </c>
      <c r="I323" s="4413" t="s">
        <v>3129</v>
      </c>
      <c r="J323" s="4413">
        <f>G323</f>
        <v>10700000</v>
      </c>
      <c r="K323" s="4413">
        <f>(F323+F324)-J323</f>
        <v>0</v>
      </c>
      <c r="L323" s="233"/>
      <c r="M323" s="233"/>
      <c r="N323" s="233"/>
      <c r="O323" s="233"/>
      <c r="P323" s="233"/>
    </row>
    <row r="324" spans="1:16" ht="30" customHeight="1" x14ac:dyDescent="0.2">
      <c r="A324" s="4464"/>
      <c r="B324" s="4458"/>
      <c r="C324" s="4538"/>
      <c r="D324" s="3582">
        <f>22000000+9200000+13800000</f>
        <v>45000000</v>
      </c>
      <c r="E324" s="897">
        <v>0.06</v>
      </c>
      <c r="F324" s="3582">
        <f>D324*E324</f>
        <v>2700000</v>
      </c>
      <c r="G324" s="4415"/>
      <c r="H324" s="4415"/>
      <c r="I324" s="4415"/>
      <c r="J324" s="4415"/>
      <c r="K324" s="4415"/>
      <c r="L324" s="3539"/>
      <c r="M324" s="366"/>
      <c r="N324" s="366"/>
      <c r="O324" s="366"/>
      <c r="P324" s="366"/>
    </row>
    <row r="325" spans="1:16" ht="30" customHeight="1" x14ac:dyDescent="0.2">
      <c r="A325" s="3538">
        <v>159</v>
      </c>
      <c r="B325" s="3539" t="s">
        <v>22</v>
      </c>
      <c r="C325" s="3515" t="s">
        <v>1300</v>
      </c>
      <c r="D325" s="3493">
        <v>25000000</v>
      </c>
      <c r="E325" s="3535">
        <v>0.05</v>
      </c>
      <c r="F325" s="3493">
        <f t="shared" si="26"/>
        <v>1250000</v>
      </c>
      <c r="G325" s="3493"/>
      <c r="H325" s="3493"/>
      <c r="I325" s="3594" t="s">
        <v>2192</v>
      </c>
      <c r="J325" s="3493">
        <f t="shared" ref="J325:J327" si="29">G325</f>
        <v>0</v>
      </c>
      <c r="K325" s="3493">
        <f t="shared" ref="K325:K339" si="30">F325-J325</f>
        <v>1250000</v>
      </c>
      <c r="L325" s="388" t="s">
        <v>5262</v>
      </c>
      <c r="M325" s="366"/>
      <c r="N325" s="366"/>
      <c r="O325" s="366"/>
      <c r="P325" s="366"/>
    </row>
    <row r="326" spans="1:16" ht="30" customHeight="1" x14ac:dyDescent="0.2">
      <c r="A326" s="3538">
        <v>160</v>
      </c>
      <c r="B326" s="3539" t="s">
        <v>23</v>
      </c>
      <c r="C326" s="3515"/>
      <c r="D326" s="3493">
        <v>55000000</v>
      </c>
      <c r="E326" s="3535">
        <v>0.05</v>
      </c>
      <c r="F326" s="3493">
        <f t="shared" si="26"/>
        <v>2750000</v>
      </c>
      <c r="G326" s="3493"/>
      <c r="H326" s="3493"/>
      <c r="I326" s="3594"/>
      <c r="J326" s="3493">
        <f t="shared" si="29"/>
        <v>0</v>
      </c>
      <c r="K326" s="3493">
        <f t="shared" si="30"/>
        <v>2750000</v>
      </c>
      <c r="L326" s="3539"/>
      <c r="M326" s="366"/>
      <c r="N326" s="366"/>
      <c r="O326" s="366"/>
      <c r="P326" s="366"/>
    </row>
    <row r="327" spans="1:16" ht="30" customHeight="1" x14ac:dyDescent="0.2">
      <c r="A327" s="3538">
        <v>161</v>
      </c>
      <c r="B327" s="3542" t="s">
        <v>24</v>
      </c>
      <c r="C327" s="3541" t="s">
        <v>1306</v>
      </c>
      <c r="D327" s="3493">
        <v>20000000</v>
      </c>
      <c r="E327" s="3535">
        <v>4.4999999999999998E-2</v>
      </c>
      <c r="F327" s="3493">
        <f t="shared" si="26"/>
        <v>900000</v>
      </c>
      <c r="G327" s="3493">
        <v>900000</v>
      </c>
      <c r="H327" s="3493" t="s">
        <v>5848</v>
      </c>
      <c r="I327" s="3594" t="s">
        <v>721</v>
      </c>
      <c r="J327" s="3493">
        <f t="shared" si="29"/>
        <v>900000</v>
      </c>
      <c r="K327" s="3493">
        <f t="shared" si="30"/>
        <v>0</v>
      </c>
      <c r="L327" s="3539"/>
      <c r="M327" s="366"/>
      <c r="N327" s="366"/>
      <c r="O327" s="366"/>
      <c r="P327" s="366"/>
    </row>
    <row r="328" spans="1:16" ht="30" customHeight="1" x14ac:dyDescent="0.2">
      <c r="A328" s="4459">
        <v>162</v>
      </c>
      <c r="B328" s="4457" t="s">
        <v>25</v>
      </c>
      <c r="C328" s="4537" t="s">
        <v>1306</v>
      </c>
      <c r="D328" s="3493">
        <v>180000000</v>
      </c>
      <c r="E328" s="3535">
        <v>0.05</v>
      </c>
      <c r="F328" s="3493">
        <f t="shared" si="26"/>
        <v>9000000</v>
      </c>
      <c r="G328" s="4725" t="s">
        <v>5280</v>
      </c>
      <c r="H328" s="4726"/>
      <c r="I328" s="4726"/>
      <c r="J328" s="4727"/>
      <c r="K328" s="3493">
        <f t="shared" si="30"/>
        <v>9000000</v>
      </c>
      <c r="L328" s="388" t="s">
        <v>5507</v>
      </c>
      <c r="M328" s="366"/>
      <c r="N328" s="366"/>
      <c r="O328" s="366"/>
      <c r="P328" s="366"/>
    </row>
    <row r="329" spans="1:16" ht="30" customHeight="1" x14ac:dyDescent="0.2">
      <c r="A329" s="4460"/>
      <c r="B329" s="4458"/>
      <c r="C329" s="4538"/>
      <c r="D329" s="3736">
        <v>90000000</v>
      </c>
      <c r="E329" s="3741">
        <v>0.05</v>
      </c>
      <c r="F329" s="3736">
        <f t="shared" si="26"/>
        <v>4500000</v>
      </c>
      <c r="G329" s="4469" t="s">
        <v>5661</v>
      </c>
      <c r="H329" s="4470"/>
      <c r="I329" s="4470"/>
      <c r="J329" s="4471"/>
      <c r="K329" s="3735"/>
      <c r="L329" s="388" t="s">
        <v>5508</v>
      </c>
      <c r="M329" s="366"/>
      <c r="N329" s="366"/>
      <c r="O329" s="366"/>
      <c r="P329" s="366"/>
    </row>
    <row r="330" spans="1:16" ht="30" customHeight="1" x14ac:dyDescent="0.2">
      <c r="A330" s="4459">
        <v>163</v>
      </c>
      <c r="B330" s="4457" t="s">
        <v>828</v>
      </c>
      <c r="C330" s="4537" t="s">
        <v>1306</v>
      </c>
      <c r="D330" s="3510">
        <v>200000000</v>
      </c>
      <c r="E330" s="436">
        <v>0.06</v>
      </c>
      <c r="F330" s="3510">
        <f t="shared" si="26"/>
        <v>12000000</v>
      </c>
      <c r="G330" s="4413">
        <v>22500000</v>
      </c>
      <c r="H330" s="4413" t="s">
        <v>5848</v>
      </c>
      <c r="I330" s="4478" t="s">
        <v>3732</v>
      </c>
      <c r="J330" s="4413">
        <f>G330</f>
        <v>22500000</v>
      </c>
      <c r="K330" s="4413">
        <f>(F330+F331+F332)-J330</f>
        <v>0</v>
      </c>
      <c r="L330" s="388" t="s">
        <v>4625</v>
      </c>
      <c r="M330" s="366"/>
      <c r="N330" s="366"/>
      <c r="O330" s="366"/>
      <c r="P330" s="366"/>
    </row>
    <row r="331" spans="1:16" ht="30" customHeight="1" x14ac:dyDescent="0.2">
      <c r="A331" s="4464"/>
      <c r="B331" s="4488"/>
      <c r="C331" s="4540"/>
      <c r="D331" s="3510">
        <v>50000000</v>
      </c>
      <c r="E331" s="436">
        <v>7.0000000000000007E-2</v>
      </c>
      <c r="F331" s="3510">
        <f t="shared" si="26"/>
        <v>3500000.0000000005</v>
      </c>
      <c r="G331" s="4414"/>
      <c r="H331" s="4414"/>
      <c r="I331" s="4520"/>
      <c r="J331" s="4414"/>
      <c r="K331" s="4414"/>
      <c r="L331" s="388" t="s">
        <v>4626</v>
      </c>
      <c r="M331" s="366"/>
      <c r="N331" s="366"/>
      <c r="O331" s="366"/>
      <c r="P331" s="366"/>
    </row>
    <row r="332" spans="1:16" ht="30" customHeight="1" x14ac:dyDescent="0.2">
      <c r="A332" s="4460"/>
      <c r="B332" s="4458"/>
      <c r="C332" s="4538"/>
      <c r="D332" s="3510">
        <v>100000000</v>
      </c>
      <c r="E332" s="436">
        <v>7.0000000000000007E-2</v>
      </c>
      <c r="F332" s="3510">
        <f t="shared" si="26"/>
        <v>7000000.0000000009</v>
      </c>
      <c r="G332" s="4415"/>
      <c r="H332" s="4415"/>
      <c r="I332" s="4479"/>
      <c r="J332" s="4415"/>
      <c r="K332" s="4415"/>
      <c r="L332" s="388" t="s">
        <v>5001</v>
      </c>
      <c r="M332" s="366"/>
      <c r="N332" s="366"/>
      <c r="O332" s="366"/>
      <c r="P332" s="366"/>
    </row>
    <row r="333" spans="1:16" ht="30" customHeight="1" x14ac:dyDescent="0.2">
      <c r="A333" s="3538">
        <v>164</v>
      </c>
      <c r="B333" s="3539" t="s">
        <v>26</v>
      </c>
      <c r="C333" s="3515" t="s">
        <v>1306</v>
      </c>
      <c r="D333" s="3493">
        <v>50000000</v>
      </c>
      <c r="E333" s="3535">
        <v>0.05</v>
      </c>
      <c r="F333" s="3493">
        <f t="shared" si="26"/>
        <v>2500000</v>
      </c>
      <c r="G333" s="3493">
        <v>2500000</v>
      </c>
      <c r="H333" s="3493" t="s">
        <v>5859</v>
      </c>
      <c r="I333" s="3594" t="s">
        <v>741</v>
      </c>
      <c r="J333" s="3493">
        <f t="shared" ref="J333:J342" si="31">G333</f>
        <v>2500000</v>
      </c>
      <c r="K333" s="3493">
        <f t="shared" si="30"/>
        <v>0</v>
      </c>
      <c r="L333" s="3539"/>
      <c r="M333" s="366"/>
      <c r="N333" s="366"/>
      <c r="O333" s="366"/>
      <c r="P333" s="366"/>
    </row>
    <row r="334" spans="1:16" ht="30" customHeight="1" x14ac:dyDescent="0.2">
      <c r="A334" s="3538">
        <v>166</v>
      </c>
      <c r="B334" s="3539" t="s">
        <v>28</v>
      </c>
      <c r="C334" s="3515" t="s">
        <v>551</v>
      </c>
      <c r="D334" s="3493">
        <v>100000000</v>
      </c>
      <c r="E334" s="3535">
        <v>0.05</v>
      </c>
      <c r="F334" s="3493">
        <f t="shared" si="26"/>
        <v>5000000</v>
      </c>
      <c r="G334" s="3493">
        <v>5000000</v>
      </c>
      <c r="H334" s="3493" t="s">
        <v>5744</v>
      </c>
      <c r="I334" s="26" t="s">
        <v>4125</v>
      </c>
      <c r="J334" s="3493">
        <f t="shared" si="31"/>
        <v>5000000</v>
      </c>
      <c r="K334" s="3493">
        <f t="shared" si="30"/>
        <v>0</v>
      </c>
      <c r="L334" s="3539"/>
      <c r="M334" s="366"/>
      <c r="N334" s="366"/>
      <c r="O334" s="366"/>
      <c r="P334" s="366"/>
    </row>
    <row r="335" spans="1:16" ht="30" customHeight="1" x14ac:dyDescent="0.2">
      <c r="A335" s="3538">
        <v>167</v>
      </c>
      <c r="B335" s="3539" t="s">
        <v>737</v>
      </c>
      <c r="C335" s="3515" t="s">
        <v>1306</v>
      </c>
      <c r="D335" s="3493">
        <v>50000000</v>
      </c>
      <c r="E335" s="3535">
        <v>0.05</v>
      </c>
      <c r="F335" s="3493">
        <f t="shared" si="26"/>
        <v>2500000</v>
      </c>
      <c r="G335" s="3493">
        <v>2500000</v>
      </c>
      <c r="H335" s="3493" t="s">
        <v>5848</v>
      </c>
      <c r="I335" s="3594" t="s">
        <v>739</v>
      </c>
      <c r="J335" s="3493">
        <f t="shared" si="31"/>
        <v>2500000</v>
      </c>
      <c r="K335" s="3493">
        <f t="shared" si="30"/>
        <v>0</v>
      </c>
      <c r="L335" s="3539"/>
      <c r="M335" s="366"/>
      <c r="N335" s="366"/>
      <c r="O335" s="366"/>
      <c r="P335" s="366"/>
    </row>
    <row r="336" spans="1:16" ht="30" customHeight="1" x14ac:dyDescent="0.2">
      <c r="A336" s="4459">
        <v>168</v>
      </c>
      <c r="B336" s="4457" t="s">
        <v>818</v>
      </c>
      <c r="C336" s="4537" t="s">
        <v>1306</v>
      </c>
      <c r="D336" s="3493">
        <v>50000000</v>
      </c>
      <c r="E336" s="3535">
        <v>7.0000000000000007E-2</v>
      </c>
      <c r="F336" s="3493">
        <f t="shared" si="26"/>
        <v>3500000.0000000005</v>
      </c>
      <c r="G336" s="3512"/>
      <c r="H336" s="3512"/>
      <c r="I336" s="56" t="s">
        <v>4910</v>
      </c>
      <c r="J336" s="3512">
        <f>G336</f>
        <v>0</v>
      </c>
      <c r="K336" s="910">
        <f t="shared" si="30"/>
        <v>3500000.0000000005</v>
      </c>
      <c r="L336" s="388" t="s">
        <v>5218</v>
      </c>
      <c r="M336" s="366"/>
      <c r="N336" s="366"/>
      <c r="O336" s="366"/>
      <c r="P336" s="366"/>
    </row>
    <row r="337" spans="1:16" ht="30" customHeight="1" x14ac:dyDescent="0.2">
      <c r="A337" s="4464"/>
      <c r="B337" s="4488"/>
      <c r="C337" s="4540"/>
      <c r="D337" s="3582">
        <v>48000000</v>
      </c>
      <c r="E337" s="3535"/>
      <c r="F337" s="3493"/>
      <c r="G337" s="4301" t="s">
        <v>4858</v>
      </c>
      <c r="H337" s="4328"/>
      <c r="I337" s="4328"/>
      <c r="J337" s="4328"/>
      <c r="K337" s="4345"/>
      <c r="L337" s="4195" t="s">
        <v>6000</v>
      </c>
      <c r="M337" s="366"/>
      <c r="N337" s="366"/>
      <c r="O337" s="366"/>
      <c r="P337" s="366"/>
    </row>
    <row r="338" spans="1:16" ht="30" customHeight="1" x14ac:dyDescent="0.2">
      <c r="A338" s="4460"/>
      <c r="B338" s="4458"/>
      <c r="C338" s="4538"/>
      <c r="D338" s="4185">
        <v>70000000</v>
      </c>
      <c r="E338" s="4182"/>
      <c r="F338" s="4169"/>
      <c r="G338" s="4181"/>
      <c r="H338" s="4181"/>
      <c r="I338" s="4181"/>
      <c r="J338" s="4181"/>
      <c r="K338" s="4188"/>
      <c r="L338" s="4196" t="s">
        <v>6001</v>
      </c>
      <c r="M338" s="366"/>
      <c r="N338" s="366"/>
      <c r="O338" s="366"/>
      <c r="P338" s="366"/>
    </row>
    <row r="339" spans="1:16" ht="30" customHeight="1" x14ac:dyDescent="0.2">
      <c r="A339" s="3586"/>
      <c r="B339" s="3542" t="s">
        <v>29</v>
      </c>
      <c r="C339" s="3515" t="s">
        <v>1107</v>
      </c>
      <c r="D339" s="3493">
        <v>20000000</v>
      </c>
      <c r="E339" s="3535">
        <v>0.05</v>
      </c>
      <c r="F339" s="3493">
        <f>D339*E339</f>
        <v>1000000</v>
      </c>
      <c r="G339" s="3493">
        <v>1000000</v>
      </c>
      <c r="H339" s="3493" t="s">
        <v>5848</v>
      </c>
      <c r="I339" s="3493" t="s">
        <v>848</v>
      </c>
      <c r="J339" s="3493">
        <f t="shared" si="31"/>
        <v>1000000</v>
      </c>
      <c r="K339" s="3493">
        <f t="shared" si="30"/>
        <v>0</v>
      </c>
      <c r="L339" s="4469"/>
      <c r="M339" s="4470"/>
      <c r="N339" s="4470"/>
      <c r="O339" s="4470"/>
      <c r="P339" s="4471"/>
    </row>
    <row r="340" spans="1:16" ht="30" customHeight="1" x14ac:dyDescent="0.2">
      <c r="A340" s="3538">
        <v>170</v>
      </c>
      <c r="B340" s="3539" t="s">
        <v>30</v>
      </c>
      <c r="C340" s="3515" t="s">
        <v>1107</v>
      </c>
      <c r="D340" s="3493">
        <v>70000000</v>
      </c>
      <c r="E340" s="3535">
        <v>5.2999999999999999E-2</v>
      </c>
      <c r="F340" s="3493">
        <v>3700000</v>
      </c>
      <c r="G340" s="3493">
        <v>3700000</v>
      </c>
      <c r="H340" s="3493" t="s">
        <v>2341</v>
      </c>
      <c r="I340" s="3594" t="s">
        <v>4140</v>
      </c>
      <c r="J340" s="3493">
        <f t="shared" si="31"/>
        <v>3700000</v>
      </c>
      <c r="K340" s="3493">
        <f>F340-J340</f>
        <v>0</v>
      </c>
      <c r="L340" s="3539"/>
      <c r="M340" s="366"/>
      <c r="N340" s="366"/>
      <c r="O340" s="366"/>
      <c r="P340" s="366"/>
    </row>
    <row r="341" spans="1:16" ht="30" customHeight="1" x14ac:dyDescent="0.2">
      <c r="A341" s="3538">
        <v>171</v>
      </c>
      <c r="B341" s="3539" t="s">
        <v>31</v>
      </c>
      <c r="C341" s="3515" t="s">
        <v>1293</v>
      </c>
      <c r="D341" s="3493">
        <v>10000000</v>
      </c>
      <c r="E341" s="3535">
        <v>0.04</v>
      </c>
      <c r="F341" s="3493">
        <f>D341*E341</f>
        <v>400000</v>
      </c>
      <c r="G341" s="3493">
        <v>400000</v>
      </c>
      <c r="H341" s="3493" t="s">
        <v>1527</v>
      </c>
      <c r="I341" s="3594" t="s">
        <v>670</v>
      </c>
      <c r="J341" s="3493">
        <f t="shared" si="31"/>
        <v>400000</v>
      </c>
      <c r="K341" s="3493">
        <f>F341-J341</f>
        <v>0</v>
      </c>
      <c r="L341" s="3573"/>
    </row>
    <row r="342" spans="1:16" ht="30" customHeight="1" x14ac:dyDescent="0.2">
      <c r="A342" s="3496">
        <v>172</v>
      </c>
      <c r="B342" s="3542" t="s">
        <v>32</v>
      </c>
      <c r="C342" s="3541" t="s">
        <v>989</v>
      </c>
      <c r="D342" s="3493">
        <v>5000000</v>
      </c>
      <c r="E342" s="3535">
        <v>0.06</v>
      </c>
      <c r="F342" s="3493">
        <f t="shared" si="26"/>
        <v>300000</v>
      </c>
      <c r="G342" s="3493">
        <v>300000</v>
      </c>
      <c r="H342" s="3493" t="s">
        <v>5859</v>
      </c>
      <c r="I342" s="3594" t="s">
        <v>632</v>
      </c>
      <c r="J342" s="3493">
        <f t="shared" si="31"/>
        <v>300000</v>
      </c>
      <c r="K342" s="3493">
        <f>F342-J342</f>
        <v>0</v>
      </c>
      <c r="L342" s="388"/>
    </row>
    <row r="343" spans="1:16" ht="30" customHeight="1" x14ac:dyDescent="0.2">
      <c r="A343" s="4459">
        <v>173</v>
      </c>
      <c r="B343" s="4457" t="s">
        <v>33</v>
      </c>
      <c r="C343" s="4537" t="s">
        <v>1306</v>
      </c>
      <c r="D343" s="4413">
        <v>50000000</v>
      </c>
      <c r="E343" s="4476">
        <v>0.05</v>
      </c>
      <c r="F343" s="4413">
        <f t="shared" si="26"/>
        <v>2500000</v>
      </c>
      <c r="G343" s="4413">
        <v>2000000</v>
      </c>
      <c r="H343" s="4413" t="s">
        <v>5859</v>
      </c>
      <c r="I343" s="4478" t="s">
        <v>838</v>
      </c>
      <c r="J343" s="4413">
        <f>G343+G344</f>
        <v>2000000</v>
      </c>
      <c r="K343" s="4413">
        <f>F343-J343</f>
        <v>500000</v>
      </c>
      <c r="L343" s="4652" t="s">
        <v>5862</v>
      </c>
    </row>
    <row r="344" spans="1:16" ht="30" customHeight="1" x14ac:dyDescent="0.2">
      <c r="A344" s="4464"/>
      <c r="B344" s="4488"/>
      <c r="C344" s="4540"/>
      <c r="D344" s="4414"/>
      <c r="E344" s="4516"/>
      <c r="F344" s="4414"/>
      <c r="G344" s="4414"/>
      <c r="H344" s="4414"/>
      <c r="I344" s="4520"/>
      <c r="J344" s="4414"/>
      <c r="K344" s="4414"/>
      <c r="L344" s="4685"/>
    </row>
    <row r="345" spans="1:16" ht="30" customHeight="1" x14ac:dyDescent="0.2">
      <c r="A345" s="4460"/>
      <c r="B345" s="4458"/>
      <c r="C345" s="4538"/>
      <c r="D345" s="4415"/>
      <c r="E345" s="4477"/>
      <c r="F345" s="4415"/>
      <c r="G345" s="4415"/>
      <c r="H345" s="4415"/>
      <c r="I345" s="4479"/>
      <c r="J345" s="4415"/>
      <c r="K345" s="4415"/>
      <c r="L345" s="4653"/>
    </row>
    <row r="346" spans="1:16" ht="30" customHeight="1" x14ac:dyDescent="0.2">
      <c r="A346" s="4459"/>
      <c r="B346" s="4457" t="s">
        <v>4268</v>
      </c>
      <c r="C346" s="4537" t="s">
        <v>1287</v>
      </c>
      <c r="D346" s="3524">
        <v>5730000000</v>
      </c>
      <c r="E346" s="3535">
        <v>0.08</v>
      </c>
      <c r="F346" s="3524">
        <f>D346*E346</f>
        <v>458400000</v>
      </c>
      <c r="G346" s="4469" t="s">
        <v>4892</v>
      </c>
      <c r="H346" s="4470"/>
      <c r="I346" s="4470"/>
      <c r="J346" s="4471"/>
      <c r="K346" s="233"/>
      <c r="L346" s="1662" t="s">
        <v>5121</v>
      </c>
    </row>
    <row r="347" spans="1:16" ht="30" customHeight="1" x14ac:dyDescent="0.2">
      <c r="A347" s="4460"/>
      <c r="B347" s="4458"/>
      <c r="C347" s="4538"/>
      <c r="D347" s="3512"/>
      <c r="E347" s="3513"/>
      <c r="F347" s="3512"/>
      <c r="G347" s="3435"/>
      <c r="H347" s="3436"/>
      <c r="I347" s="3544"/>
      <c r="J347" s="3437"/>
      <c r="K347" s="178"/>
      <c r="L347" s="1662" t="s">
        <v>5267</v>
      </c>
    </row>
    <row r="348" spans="1:16" ht="30" customHeight="1" x14ac:dyDescent="0.2">
      <c r="A348" s="3538">
        <v>175</v>
      </c>
      <c r="B348" s="3539" t="s">
        <v>36</v>
      </c>
      <c r="C348" s="3515" t="s">
        <v>1306</v>
      </c>
      <c r="D348" s="3493">
        <v>200000000</v>
      </c>
      <c r="E348" s="3499">
        <v>0.05</v>
      </c>
      <c r="F348" s="3493">
        <f t="shared" si="26"/>
        <v>10000000</v>
      </c>
      <c r="G348" s="3493">
        <v>10000000</v>
      </c>
      <c r="H348" s="3493" t="s">
        <v>5848</v>
      </c>
      <c r="I348" s="18" t="s">
        <v>3738</v>
      </c>
      <c r="J348" s="3493">
        <f>G348</f>
        <v>10000000</v>
      </c>
      <c r="K348" s="3524">
        <f t="shared" ref="K348:K353" si="32">F348-J348</f>
        <v>0</v>
      </c>
      <c r="L348" s="3539"/>
    </row>
    <row r="349" spans="1:16" ht="30" customHeight="1" x14ac:dyDescent="0.2">
      <c r="A349" s="3538">
        <v>176</v>
      </c>
      <c r="B349" s="3539" t="s">
        <v>37</v>
      </c>
      <c r="C349" s="3515" t="s">
        <v>1107</v>
      </c>
      <c r="D349" s="3493">
        <v>150000000</v>
      </c>
      <c r="E349" s="3535">
        <v>7.0000000000000007E-2</v>
      </c>
      <c r="F349" s="3493">
        <f t="shared" si="26"/>
        <v>10500000.000000002</v>
      </c>
      <c r="G349" s="3493">
        <v>10500000</v>
      </c>
      <c r="H349" s="3493" t="s">
        <v>5960</v>
      </c>
      <c r="I349" s="3594" t="s">
        <v>3223</v>
      </c>
      <c r="J349" s="3493">
        <f t="shared" ref="J349:J355" si="33">G349</f>
        <v>10500000</v>
      </c>
      <c r="K349" s="3493">
        <f t="shared" si="32"/>
        <v>0</v>
      </c>
      <c r="L349" s="3539"/>
    </row>
    <row r="350" spans="1:16" ht="30" customHeight="1" x14ac:dyDescent="0.2">
      <c r="A350" s="3538">
        <v>177</v>
      </c>
      <c r="B350" s="3539" t="s">
        <v>5179</v>
      </c>
      <c r="C350" s="3515" t="s">
        <v>1299</v>
      </c>
      <c r="D350" s="3493">
        <v>25000000</v>
      </c>
      <c r="E350" s="3535">
        <v>0.04</v>
      </c>
      <c r="F350" s="3493">
        <f t="shared" si="26"/>
        <v>1000000</v>
      </c>
      <c r="G350" s="3493">
        <v>1000000</v>
      </c>
      <c r="H350" s="3493" t="s">
        <v>5744</v>
      </c>
      <c r="I350" s="18" t="s">
        <v>746</v>
      </c>
      <c r="J350" s="3493">
        <f t="shared" si="33"/>
        <v>1000000</v>
      </c>
      <c r="K350" s="3493">
        <f t="shared" si="32"/>
        <v>0</v>
      </c>
      <c r="L350" s="3539"/>
    </row>
    <row r="351" spans="1:16" ht="30" customHeight="1" x14ac:dyDescent="0.2">
      <c r="A351" s="3538">
        <v>178</v>
      </c>
      <c r="B351" s="3539" t="s">
        <v>39</v>
      </c>
      <c r="C351" s="3515" t="s">
        <v>1299</v>
      </c>
      <c r="D351" s="3493">
        <v>90000000</v>
      </c>
      <c r="E351" s="3535">
        <v>0.05</v>
      </c>
      <c r="F351" s="3493">
        <f>D351*E351</f>
        <v>4500000</v>
      </c>
      <c r="G351" s="3493">
        <v>4500000</v>
      </c>
      <c r="H351" s="3493" t="s">
        <v>5859</v>
      </c>
      <c r="I351" s="3594" t="s">
        <v>2164</v>
      </c>
      <c r="J351" s="3493">
        <f t="shared" si="33"/>
        <v>4500000</v>
      </c>
      <c r="K351" s="3493">
        <f t="shared" si="32"/>
        <v>0</v>
      </c>
      <c r="L351" s="3539"/>
    </row>
    <row r="352" spans="1:16" ht="30" customHeight="1" x14ac:dyDescent="0.2">
      <c r="A352" s="3585">
        <v>179</v>
      </c>
      <c r="B352" s="3542" t="s">
        <v>40</v>
      </c>
      <c r="C352" s="3514" t="s">
        <v>1306</v>
      </c>
      <c r="D352" s="3491">
        <v>320000000</v>
      </c>
      <c r="E352" s="3498">
        <v>0.06</v>
      </c>
      <c r="F352" s="3491">
        <f t="shared" si="26"/>
        <v>19200000</v>
      </c>
      <c r="G352" s="3493">
        <v>19200000</v>
      </c>
      <c r="H352" s="3493" t="s">
        <v>1012</v>
      </c>
      <c r="I352" s="3594" t="s">
        <v>1090</v>
      </c>
      <c r="J352" s="3491">
        <f t="shared" si="33"/>
        <v>19200000</v>
      </c>
      <c r="K352" s="3491">
        <f t="shared" si="32"/>
        <v>0</v>
      </c>
      <c r="L352" s="3517"/>
    </row>
    <row r="353" spans="1:12" ht="30" customHeight="1" x14ac:dyDescent="0.2">
      <c r="A353" s="3496">
        <v>180</v>
      </c>
      <c r="B353" s="19" t="s">
        <v>41</v>
      </c>
      <c r="C353" s="3590" t="s">
        <v>2403</v>
      </c>
      <c r="D353" s="3524">
        <v>300000000</v>
      </c>
      <c r="E353" s="3535">
        <v>5.7000000000000002E-2</v>
      </c>
      <c r="F353" s="3524">
        <v>17000000</v>
      </c>
      <c r="G353" s="3524">
        <v>17000000</v>
      </c>
      <c r="H353" s="3524" t="s">
        <v>5859</v>
      </c>
      <c r="I353" s="3546" t="s">
        <v>2260</v>
      </c>
      <c r="J353" s="3524">
        <f t="shared" si="33"/>
        <v>17000000</v>
      </c>
      <c r="K353" s="3524">
        <f t="shared" si="32"/>
        <v>0</v>
      </c>
      <c r="L353" s="3562"/>
    </row>
    <row r="354" spans="1:12" ht="30" customHeight="1" x14ac:dyDescent="0.2">
      <c r="A354" s="3538">
        <v>181</v>
      </c>
      <c r="B354" s="3502" t="s">
        <v>42</v>
      </c>
      <c r="C354" s="3515" t="s">
        <v>989</v>
      </c>
      <c r="D354" s="3493">
        <v>50000000</v>
      </c>
      <c r="E354" s="3499">
        <v>0.05</v>
      </c>
      <c r="F354" s="3493">
        <f t="shared" si="26"/>
        <v>2500000</v>
      </c>
      <c r="G354" s="3493">
        <v>2500000</v>
      </c>
      <c r="H354" s="3493" t="s">
        <v>5960</v>
      </c>
      <c r="I354" s="3594" t="s">
        <v>1076</v>
      </c>
      <c r="J354" s="3493">
        <f t="shared" si="33"/>
        <v>2500000</v>
      </c>
      <c r="K354" s="3493">
        <f>F354-J354</f>
        <v>0</v>
      </c>
      <c r="L354" s="3502"/>
    </row>
    <row r="355" spans="1:12" ht="30" customHeight="1" x14ac:dyDescent="0.2">
      <c r="A355" s="4459"/>
      <c r="B355" s="4457" t="s">
        <v>43</v>
      </c>
      <c r="C355" s="4537" t="s">
        <v>989</v>
      </c>
      <c r="D355" s="4413">
        <v>125000000</v>
      </c>
      <c r="E355" s="4476">
        <v>0.05</v>
      </c>
      <c r="F355" s="4413">
        <f>D355*E355</f>
        <v>6250000</v>
      </c>
      <c r="G355" s="4413">
        <v>6310000</v>
      </c>
      <c r="H355" s="4413" t="s">
        <v>5744</v>
      </c>
      <c r="I355" s="4413" t="s">
        <v>3716</v>
      </c>
      <c r="J355" s="4413">
        <f t="shared" si="33"/>
        <v>6310000</v>
      </c>
      <c r="K355" s="4413">
        <f>F357-J355</f>
        <v>0</v>
      </c>
      <c r="L355" s="3550"/>
    </row>
    <row r="356" spans="1:12" ht="30" customHeight="1" x14ac:dyDescent="0.2">
      <c r="A356" s="4464"/>
      <c r="B356" s="4488"/>
      <c r="C356" s="4540"/>
      <c r="D356" s="4415"/>
      <c r="E356" s="4477"/>
      <c r="F356" s="4415"/>
      <c r="G356" s="4414"/>
      <c r="H356" s="4414"/>
      <c r="I356" s="4414"/>
      <c r="J356" s="4414"/>
      <c r="K356" s="4414"/>
      <c r="L356" s="3804" t="s">
        <v>5600</v>
      </c>
    </row>
    <row r="357" spans="1:12" ht="30" customHeight="1" x14ac:dyDescent="0.2">
      <c r="A357" s="4460"/>
      <c r="B357" s="4458"/>
      <c r="C357" s="4538"/>
      <c r="D357" s="3792">
        <v>126200000</v>
      </c>
      <c r="E357" s="3794">
        <v>0.05</v>
      </c>
      <c r="F357" s="3792">
        <f>D357*E357</f>
        <v>6310000</v>
      </c>
      <c r="G357" s="4415"/>
      <c r="H357" s="4415"/>
      <c r="I357" s="4415"/>
      <c r="J357" s="4415"/>
      <c r="K357" s="4415"/>
      <c r="L357" s="3805" t="s">
        <v>5601</v>
      </c>
    </row>
    <row r="358" spans="1:12" ht="30" customHeight="1" x14ac:dyDescent="0.2">
      <c r="A358" s="4139">
        <v>183</v>
      </c>
      <c r="B358" s="4158" t="s">
        <v>4150</v>
      </c>
      <c r="C358" s="378" t="s">
        <v>1100</v>
      </c>
      <c r="D358" s="3524">
        <v>50000000</v>
      </c>
      <c r="E358" s="3535">
        <v>0.05</v>
      </c>
      <c r="F358" s="3524">
        <f t="shared" si="26"/>
        <v>2500000</v>
      </c>
      <c r="G358" s="3524">
        <v>2500000</v>
      </c>
      <c r="H358" s="3524" t="s">
        <v>5960</v>
      </c>
      <c r="I358" s="3594" t="s">
        <v>5963</v>
      </c>
      <c r="J358" s="3493">
        <f t="shared" ref="J358:J366" si="34">G358</f>
        <v>2500000</v>
      </c>
      <c r="K358" s="3493">
        <f t="shared" ref="K358:K361" si="35">F358-J358</f>
        <v>0</v>
      </c>
      <c r="L358" s="2015" t="s">
        <v>5238</v>
      </c>
    </row>
    <row r="359" spans="1:12" ht="30" customHeight="1" x14ac:dyDescent="0.2">
      <c r="A359" s="3538">
        <v>184</v>
      </c>
      <c r="B359" s="3539" t="s">
        <v>45</v>
      </c>
      <c r="C359" s="3515" t="s">
        <v>989</v>
      </c>
      <c r="D359" s="3493">
        <v>20000000</v>
      </c>
      <c r="E359" s="3499">
        <v>0.05</v>
      </c>
      <c r="F359" s="3493">
        <f t="shared" si="26"/>
        <v>1000000</v>
      </c>
      <c r="G359" s="3493">
        <v>1000000</v>
      </c>
      <c r="H359" s="3493" t="s">
        <v>5859</v>
      </c>
      <c r="I359" s="3594" t="s">
        <v>4507</v>
      </c>
      <c r="J359" s="3493">
        <f t="shared" si="34"/>
        <v>1000000</v>
      </c>
      <c r="K359" s="3493">
        <f t="shared" si="35"/>
        <v>0</v>
      </c>
      <c r="L359" s="3970" t="s">
        <v>5702</v>
      </c>
    </row>
    <row r="360" spans="1:12" ht="30" customHeight="1" x14ac:dyDescent="0.2">
      <c r="A360" s="3538">
        <v>186</v>
      </c>
      <c r="B360" s="3539" t="s">
        <v>47</v>
      </c>
      <c r="C360" s="3515" t="s">
        <v>1107</v>
      </c>
      <c r="D360" s="3493">
        <v>8000000</v>
      </c>
      <c r="E360" s="3535">
        <v>0.04</v>
      </c>
      <c r="F360" s="3493">
        <f t="shared" si="26"/>
        <v>320000</v>
      </c>
      <c r="G360" s="3493">
        <v>320000</v>
      </c>
      <c r="H360" s="3493" t="s">
        <v>5859</v>
      </c>
      <c r="I360" s="3594" t="s">
        <v>5278</v>
      </c>
      <c r="J360" s="3493">
        <f t="shared" si="34"/>
        <v>320000</v>
      </c>
      <c r="K360" s="3493">
        <f t="shared" si="35"/>
        <v>0</v>
      </c>
      <c r="L360" s="3539"/>
    </row>
    <row r="361" spans="1:12" ht="30" customHeight="1" x14ac:dyDescent="0.2">
      <c r="A361" s="4459">
        <v>187</v>
      </c>
      <c r="B361" s="4457" t="s">
        <v>2470</v>
      </c>
      <c r="C361" s="4537" t="s">
        <v>1138</v>
      </c>
      <c r="D361" s="4413">
        <v>200000000</v>
      </c>
      <c r="E361" s="4476">
        <v>0.05</v>
      </c>
      <c r="F361" s="4413">
        <f t="shared" si="26"/>
        <v>10000000</v>
      </c>
      <c r="G361" s="3493"/>
      <c r="H361" s="3493"/>
      <c r="I361" s="3594" t="s">
        <v>3331</v>
      </c>
      <c r="J361" s="3493">
        <f t="shared" si="34"/>
        <v>0</v>
      </c>
      <c r="K361" s="3493">
        <f t="shared" si="35"/>
        <v>10000000</v>
      </c>
      <c r="L361" s="3573" t="s">
        <v>4782</v>
      </c>
    </row>
    <row r="362" spans="1:12" ht="30" customHeight="1" x14ac:dyDescent="0.2">
      <c r="A362" s="4460"/>
      <c r="B362" s="4458"/>
      <c r="C362" s="4538"/>
      <c r="D362" s="4415"/>
      <c r="E362" s="4477"/>
      <c r="F362" s="4415"/>
      <c r="G362" s="3492"/>
      <c r="H362" s="3492"/>
      <c r="I362" s="3593" t="s">
        <v>3331</v>
      </c>
      <c r="J362" s="3492">
        <f t="shared" si="34"/>
        <v>0</v>
      </c>
      <c r="K362" s="3493">
        <f>F361-J362</f>
        <v>10000000</v>
      </c>
      <c r="L362" s="3573" t="s">
        <v>5318</v>
      </c>
    </row>
    <row r="363" spans="1:12" ht="30" customHeight="1" x14ac:dyDescent="0.2">
      <c r="A363" s="4459">
        <v>188</v>
      </c>
      <c r="B363" s="4457" t="s">
        <v>49</v>
      </c>
      <c r="C363" s="4537" t="s">
        <v>1107</v>
      </c>
      <c r="D363" s="3493">
        <v>200000000</v>
      </c>
      <c r="E363" s="3499">
        <v>0.05</v>
      </c>
      <c r="F363" s="3493">
        <f t="shared" si="26"/>
        <v>10000000</v>
      </c>
      <c r="G363" s="4413">
        <v>25000000</v>
      </c>
      <c r="H363" s="4413" t="s">
        <v>2341</v>
      </c>
      <c r="I363" s="4478" t="s">
        <v>5933</v>
      </c>
      <c r="J363" s="4413">
        <f t="shared" si="34"/>
        <v>25000000</v>
      </c>
      <c r="K363" s="4413">
        <f>F364-J363</f>
        <v>0</v>
      </c>
      <c r="L363" s="1662" t="s">
        <v>5227</v>
      </c>
    </row>
    <row r="364" spans="1:12" ht="30" customHeight="1" x14ac:dyDescent="0.2">
      <c r="A364" s="4464"/>
      <c r="B364" s="4488"/>
      <c r="C364" s="4540"/>
      <c r="D364" s="4872">
        <v>500000000</v>
      </c>
      <c r="E364" s="4874">
        <v>0.05</v>
      </c>
      <c r="F364" s="4872">
        <f>D364*E364</f>
        <v>25000000</v>
      </c>
      <c r="G364" s="4414"/>
      <c r="H364" s="4414"/>
      <c r="I364" s="4520"/>
      <c r="J364" s="4414"/>
      <c r="K364" s="4414"/>
      <c r="L364" s="764" t="s">
        <v>5250</v>
      </c>
    </row>
    <row r="365" spans="1:12" ht="30" customHeight="1" x14ac:dyDescent="0.2">
      <c r="A365" s="4460"/>
      <c r="B365" s="4458"/>
      <c r="C365" s="4538"/>
      <c r="D365" s="4873"/>
      <c r="E365" s="4875"/>
      <c r="F365" s="4873"/>
      <c r="G365" s="4415"/>
      <c r="H365" s="4415"/>
      <c r="I365" s="4479"/>
      <c r="J365" s="4415"/>
      <c r="K365" s="4415"/>
      <c r="L365" s="523" t="s">
        <v>5251</v>
      </c>
    </row>
    <row r="366" spans="1:12" ht="30" customHeight="1" x14ac:dyDescent="0.2">
      <c r="A366" s="4459">
        <v>190</v>
      </c>
      <c r="B366" s="4457" t="s">
        <v>51</v>
      </c>
      <c r="C366" s="3515" t="s">
        <v>1100</v>
      </c>
      <c r="D366" s="3493">
        <v>80000000</v>
      </c>
      <c r="E366" s="3535">
        <v>0.05</v>
      </c>
      <c r="F366" s="3493">
        <f t="shared" si="26"/>
        <v>4000000</v>
      </c>
      <c r="G366" s="4413">
        <v>14000000</v>
      </c>
      <c r="H366" s="4413" t="s">
        <v>6002</v>
      </c>
      <c r="I366" s="4478" t="s">
        <v>2967</v>
      </c>
      <c r="J366" s="4413">
        <f t="shared" si="34"/>
        <v>14000000</v>
      </c>
      <c r="K366" s="4413">
        <f>(F366+F367)-J366</f>
        <v>0</v>
      </c>
      <c r="L366" s="4599"/>
    </row>
    <row r="367" spans="1:12" ht="30" customHeight="1" x14ac:dyDescent="0.2">
      <c r="A367" s="4464"/>
      <c r="B367" s="4488"/>
      <c r="C367" s="3515" t="s">
        <v>1100</v>
      </c>
      <c r="D367" s="3493">
        <v>200000000</v>
      </c>
      <c r="E367" s="3535">
        <v>0.05</v>
      </c>
      <c r="F367" s="3493">
        <f t="shared" si="26"/>
        <v>10000000</v>
      </c>
      <c r="G367" s="4415"/>
      <c r="H367" s="4415"/>
      <c r="I367" s="4479"/>
      <c r="J367" s="4415"/>
      <c r="K367" s="4415"/>
      <c r="L367" s="4607"/>
    </row>
    <row r="368" spans="1:12" ht="30" customHeight="1" x14ac:dyDescent="0.2">
      <c r="A368" s="4460"/>
      <c r="B368" s="4458"/>
      <c r="C368" s="3525" t="s">
        <v>262</v>
      </c>
      <c r="D368" s="3492">
        <v>220000000</v>
      </c>
      <c r="E368" s="3498">
        <v>0.05</v>
      </c>
      <c r="F368" s="3492">
        <f t="shared" si="26"/>
        <v>11000000</v>
      </c>
      <c r="G368" s="3493">
        <v>11000000</v>
      </c>
      <c r="H368" s="3493" t="s">
        <v>5370</v>
      </c>
      <c r="I368" s="3594" t="s">
        <v>2967</v>
      </c>
      <c r="J368" s="3492">
        <f>G368</f>
        <v>11000000</v>
      </c>
      <c r="K368" s="3492">
        <f>F368-J368</f>
        <v>0</v>
      </c>
      <c r="L368" s="3531"/>
    </row>
    <row r="369" spans="1:12" ht="30" customHeight="1" x14ac:dyDescent="0.2">
      <c r="A369" s="1029">
        <v>191</v>
      </c>
      <c r="B369" s="3539" t="s">
        <v>52</v>
      </c>
      <c r="C369" s="3541" t="s">
        <v>262</v>
      </c>
      <c r="D369" s="3524">
        <v>700000000</v>
      </c>
      <c r="E369" s="3535">
        <v>7.6999999999999999E-2</v>
      </c>
      <c r="F369" s="3524">
        <v>54000000</v>
      </c>
      <c r="G369" s="3524">
        <v>54000000</v>
      </c>
      <c r="H369" s="3524" t="s">
        <v>1879</v>
      </c>
      <c r="I369" s="3546" t="s">
        <v>678</v>
      </c>
      <c r="J369" s="3524">
        <f>G369</f>
        <v>54000000</v>
      </c>
      <c r="K369" s="3524">
        <f>F369-J369</f>
        <v>0</v>
      </c>
      <c r="L369" s="3547"/>
    </row>
    <row r="370" spans="1:12" ht="30" customHeight="1" x14ac:dyDescent="0.2">
      <c r="A370" s="4459">
        <v>192</v>
      </c>
      <c r="B370" s="4457" t="s">
        <v>53</v>
      </c>
      <c r="C370" s="4620" t="s">
        <v>1287</v>
      </c>
      <c r="D370" s="4322">
        <v>1400000000</v>
      </c>
      <c r="E370" s="4608">
        <v>7.0000000000000007E-2</v>
      </c>
      <c r="F370" s="4322">
        <f>D370*E370</f>
        <v>98000000.000000015</v>
      </c>
      <c r="G370" s="4413">
        <v>98000000</v>
      </c>
      <c r="H370" s="4413"/>
      <c r="I370" s="4413"/>
      <c r="J370" s="4322">
        <f>G370+G371+G372</f>
        <v>98000000</v>
      </c>
      <c r="K370" s="4322">
        <f>F370-J370</f>
        <v>0</v>
      </c>
      <c r="L370" s="3549"/>
    </row>
    <row r="371" spans="1:12" ht="30" customHeight="1" x14ac:dyDescent="0.2">
      <c r="A371" s="4464"/>
      <c r="B371" s="4488"/>
      <c r="C371" s="4620"/>
      <c r="D371" s="4322"/>
      <c r="E371" s="4608"/>
      <c r="F371" s="4322"/>
      <c r="G371" s="4415"/>
      <c r="H371" s="4415"/>
      <c r="I371" s="4415"/>
      <c r="J371" s="4322"/>
      <c r="K371" s="4322"/>
      <c r="L371" s="180"/>
    </row>
    <row r="372" spans="1:12" ht="30" customHeight="1" x14ac:dyDescent="0.2">
      <c r="A372" s="4464"/>
      <c r="B372" s="4488"/>
      <c r="C372" s="5119" t="s">
        <v>5853</v>
      </c>
      <c r="D372" s="5120"/>
      <c r="E372" s="5120"/>
      <c r="F372" s="5121"/>
      <c r="G372" s="3524"/>
      <c r="H372" s="233"/>
      <c r="I372" s="3997"/>
      <c r="J372" s="7"/>
      <c r="K372" s="7"/>
      <c r="L372" s="180"/>
    </row>
    <row r="373" spans="1:12" ht="30" customHeight="1" x14ac:dyDescent="0.2">
      <c r="A373" s="4464"/>
      <c r="B373" s="4488"/>
      <c r="C373" s="5122"/>
      <c r="D373" s="5123"/>
      <c r="E373" s="5123"/>
      <c r="F373" s="5124"/>
      <c r="G373" s="3524"/>
      <c r="H373" s="233"/>
      <c r="I373" s="3997"/>
      <c r="J373" s="3997"/>
      <c r="K373" s="3997"/>
      <c r="L373" s="180"/>
    </row>
    <row r="374" spans="1:12" ht="30" customHeight="1" x14ac:dyDescent="0.2">
      <c r="A374" s="4464"/>
      <c r="B374" s="4488"/>
      <c r="C374" s="5122"/>
      <c r="D374" s="5123"/>
      <c r="E374" s="5123"/>
      <c r="F374" s="5124"/>
      <c r="G374" s="3524"/>
      <c r="H374" s="3493"/>
      <c r="I374" s="3493"/>
      <c r="J374" s="3997"/>
      <c r="K374" s="3997"/>
      <c r="L374" s="180"/>
    </row>
    <row r="375" spans="1:12" ht="30" customHeight="1" x14ac:dyDescent="0.2">
      <c r="A375" s="4460"/>
      <c r="B375" s="4458"/>
      <c r="C375" s="5125"/>
      <c r="D375" s="5126"/>
      <c r="E375" s="5126"/>
      <c r="F375" s="5127"/>
      <c r="G375" s="3524"/>
      <c r="H375" s="3524"/>
      <c r="I375" s="3524"/>
      <c r="J375" s="3997"/>
      <c r="K375" s="3997"/>
      <c r="L375" s="180"/>
    </row>
    <row r="376" spans="1:12" ht="30" customHeight="1" x14ac:dyDescent="0.2">
      <c r="A376" s="4459">
        <v>193</v>
      </c>
      <c r="B376" s="4457" t="s">
        <v>54</v>
      </c>
      <c r="C376" s="4537" t="s">
        <v>1306</v>
      </c>
      <c r="D376" s="3493">
        <v>45000000</v>
      </c>
      <c r="E376" s="3499">
        <v>0.04</v>
      </c>
      <c r="F376" s="3493">
        <f t="shared" ref="F376:F490" si="36">D376*E376</f>
        <v>1800000</v>
      </c>
      <c r="G376" s="3997">
        <v>1800000</v>
      </c>
      <c r="H376" s="3997" t="s">
        <v>5848</v>
      </c>
      <c r="I376" s="3524" t="s">
        <v>4138</v>
      </c>
      <c r="J376" s="4413">
        <f>G376+G377</f>
        <v>3750000</v>
      </c>
      <c r="K376" s="4413">
        <f>F378-J376</f>
        <v>0</v>
      </c>
      <c r="L376" s="3539"/>
    </row>
    <row r="377" spans="1:12" ht="30" customHeight="1" x14ac:dyDescent="0.2">
      <c r="A377" s="4464"/>
      <c r="B377" s="4488"/>
      <c r="C377" s="4540"/>
      <c r="D377" s="3999">
        <v>30000000</v>
      </c>
      <c r="E377" s="4004"/>
      <c r="F377" s="3999"/>
      <c r="G377" s="4413">
        <v>1950000</v>
      </c>
      <c r="H377" s="4612" t="s">
        <v>5859</v>
      </c>
      <c r="I377" s="4322" t="s">
        <v>4138</v>
      </c>
      <c r="J377" s="4414"/>
      <c r="K377" s="4414"/>
      <c r="L377" s="4030" t="s">
        <v>5852</v>
      </c>
    </row>
    <row r="378" spans="1:12" ht="30" customHeight="1" x14ac:dyDescent="0.2">
      <c r="A378" s="4460"/>
      <c r="B378" s="4458"/>
      <c r="C378" s="4538"/>
      <c r="D378" s="4010">
        <f>D376+D377</f>
        <v>75000000</v>
      </c>
      <c r="E378" s="4011">
        <v>0.05</v>
      </c>
      <c r="F378" s="4010">
        <f>D378*E378</f>
        <v>3750000</v>
      </c>
      <c r="G378" s="4415"/>
      <c r="H378" s="4564"/>
      <c r="I378" s="4322"/>
      <c r="J378" s="4415"/>
      <c r="K378" s="4415"/>
      <c r="L378" s="4016"/>
    </row>
    <row r="379" spans="1:12" ht="30" customHeight="1" x14ac:dyDescent="0.2">
      <c r="A379" s="4459">
        <v>194</v>
      </c>
      <c r="B379" s="4457" t="s">
        <v>55</v>
      </c>
      <c r="C379" s="4537" t="s">
        <v>1287</v>
      </c>
      <c r="D379" s="3524">
        <v>130000000</v>
      </c>
      <c r="E379" s="1028">
        <v>0.05</v>
      </c>
      <c r="F379" s="3524">
        <f t="shared" si="36"/>
        <v>6500000</v>
      </c>
      <c r="G379" s="4413">
        <v>8000000</v>
      </c>
      <c r="H379" s="4478" t="s">
        <v>5859</v>
      </c>
      <c r="I379" s="4478" t="s">
        <v>3184</v>
      </c>
      <c r="J379" s="4413">
        <f>G379</f>
        <v>8000000</v>
      </c>
      <c r="K379" s="4413">
        <f>J379-J379</f>
        <v>0</v>
      </c>
      <c r="L379" s="3573" t="s">
        <v>4960</v>
      </c>
    </row>
    <row r="380" spans="1:12" ht="30" customHeight="1" x14ac:dyDescent="0.2">
      <c r="A380" s="4464"/>
      <c r="B380" s="4488"/>
      <c r="C380" s="4540"/>
      <c r="D380" s="3493">
        <v>6500000</v>
      </c>
      <c r="E380" s="3083">
        <v>0.05</v>
      </c>
      <c r="F380" s="3493">
        <f>D380*E380</f>
        <v>325000</v>
      </c>
      <c r="G380" s="4414"/>
      <c r="H380" s="4520"/>
      <c r="I380" s="4520"/>
      <c r="J380" s="4414"/>
      <c r="K380" s="4414"/>
      <c r="L380" s="3517"/>
    </row>
    <row r="381" spans="1:12" ht="30" customHeight="1" x14ac:dyDescent="0.2">
      <c r="A381" s="4464"/>
      <c r="B381" s="4488"/>
      <c r="C381" s="4540"/>
      <c r="D381" s="3493">
        <v>10000000</v>
      </c>
      <c r="E381" s="3083">
        <v>0.05</v>
      </c>
      <c r="F381" s="3493">
        <f>D381*E381</f>
        <v>500000</v>
      </c>
      <c r="G381" s="4414"/>
      <c r="H381" s="4520"/>
      <c r="I381" s="4520"/>
      <c r="J381" s="4414"/>
      <c r="K381" s="4414"/>
      <c r="L381" s="3517"/>
    </row>
    <row r="382" spans="1:12" ht="30" customHeight="1" x14ac:dyDescent="0.2">
      <c r="A382" s="4464"/>
      <c r="B382" s="4488"/>
      <c r="C382" s="4540"/>
      <c r="D382" s="3493">
        <v>13500000</v>
      </c>
      <c r="E382" s="3083">
        <v>0.05</v>
      </c>
      <c r="F382" s="3493">
        <f>D382*E382</f>
        <v>675000</v>
      </c>
      <c r="G382" s="4414"/>
      <c r="H382" s="4520"/>
      <c r="I382" s="4520"/>
      <c r="J382" s="4414"/>
      <c r="K382" s="4414"/>
      <c r="L382" s="3517"/>
    </row>
    <row r="383" spans="1:12" ht="30" customHeight="1" x14ac:dyDescent="0.2">
      <c r="A383" s="4460"/>
      <c r="B383" s="4458"/>
      <c r="C383" s="4538"/>
      <c r="D383" s="1543">
        <f>SUM(D379:D382)</f>
        <v>160000000</v>
      </c>
      <c r="E383" s="3084">
        <v>0.05</v>
      </c>
      <c r="F383" s="1543">
        <f>D383*E383</f>
        <v>8000000</v>
      </c>
      <c r="G383" s="4415"/>
      <c r="H383" s="4479"/>
      <c r="I383" s="4479"/>
      <c r="J383" s="4415"/>
      <c r="K383" s="4415"/>
      <c r="L383" s="3573"/>
    </row>
    <row r="384" spans="1:12" ht="30" customHeight="1" x14ac:dyDescent="0.2">
      <c r="A384" s="3538">
        <v>195</v>
      </c>
      <c r="B384" s="3502" t="s">
        <v>56</v>
      </c>
      <c r="C384" s="3515" t="s">
        <v>990</v>
      </c>
      <c r="D384" s="3493">
        <v>10000000</v>
      </c>
      <c r="E384" s="3499">
        <v>0.05</v>
      </c>
      <c r="F384" s="3493">
        <f t="shared" si="36"/>
        <v>500000</v>
      </c>
      <c r="G384" s="3493">
        <v>500000</v>
      </c>
      <c r="H384" s="3493" t="s">
        <v>5960</v>
      </c>
      <c r="I384" s="3594" t="s">
        <v>1121</v>
      </c>
      <c r="J384" s="3493">
        <f t="shared" ref="J384:J400" si="37">G384</f>
        <v>500000</v>
      </c>
      <c r="K384" s="3493">
        <f t="shared" ref="K384:K399" si="38">F384-J384</f>
        <v>0</v>
      </c>
      <c r="L384" s="3539"/>
    </row>
    <row r="385" spans="1:16" ht="30" customHeight="1" x14ac:dyDescent="0.2">
      <c r="A385" s="4459">
        <v>196</v>
      </c>
      <c r="B385" s="4457" t="s">
        <v>57</v>
      </c>
      <c r="C385" s="4537" t="s">
        <v>1107</v>
      </c>
      <c r="D385" s="3493">
        <v>20000000</v>
      </c>
      <c r="E385" s="3535">
        <v>0.04</v>
      </c>
      <c r="F385" s="3493">
        <f t="shared" si="36"/>
        <v>800000</v>
      </c>
      <c r="G385" s="4413">
        <v>2300000</v>
      </c>
      <c r="H385" s="4413" t="s">
        <v>2341</v>
      </c>
      <c r="I385" s="4478" t="s">
        <v>3761</v>
      </c>
      <c r="J385" s="4413">
        <f t="shared" si="37"/>
        <v>2300000</v>
      </c>
      <c r="K385" s="4413">
        <f>(F385+F386)-J385</f>
        <v>0</v>
      </c>
      <c r="L385" s="737" t="s">
        <v>5969</v>
      </c>
    </row>
    <row r="386" spans="1:16" ht="30" customHeight="1" x14ac:dyDescent="0.2">
      <c r="A386" s="4464"/>
      <c r="B386" s="4488"/>
      <c r="C386" s="4540"/>
      <c r="D386" s="3493">
        <v>30000000</v>
      </c>
      <c r="E386" s="3535">
        <v>0.05</v>
      </c>
      <c r="F386" s="3493">
        <f t="shared" si="36"/>
        <v>1500000</v>
      </c>
      <c r="G386" s="4415"/>
      <c r="H386" s="4415"/>
      <c r="I386" s="4479"/>
      <c r="J386" s="4415"/>
      <c r="K386" s="4415"/>
      <c r="L386" s="4294" t="s">
        <v>6119</v>
      </c>
    </row>
    <row r="387" spans="1:16" ht="30" customHeight="1" x14ac:dyDescent="0.2">
      <c r="A387" s="4464"/>
      <c r="B387" s="4488"/>
      <c r="C387" s="4540"/>
      <c r="D387" s="4135">
        <v>10000000</v>
      </c>
      <c r="E387" s="4155">
        <v>0.05</v>
      </c>
      <c r="F387" s="4135">
        <f t="shared" si="36"/>
        <v>500000</v>
      </c>
      <c r="G387" s="4303" t="s">
        <v>5967</v>
      </c>
      <c r="H387" s="4324"/>
      <c r="I387" s="4324"/>
      <c r="J387" s="4355"/>
      <c r="K387" s="4134"/>
      <c r="L387" s="4165" t="s">
        <v>5968</v>
      </c>
    </row>
    <row r="388" spans="1:16" ht="30" customHeight="1" x14ac:dyDescent="0.2">
      <c r="A388" s="4460"/>
      <c r="B388" s="4458"/>
      <c r="C388" s="4538"/>
      <c r="D388" s="4148">
        <v>60000000</v>
      </c>
      <c r="E388" s="4167">
        <v>0.05</v>
      </c>
      <c r="F388" s="4148">
        <f t="shared" si="36"/>
        <v>3000000</v>
      </c>
      <c r="G388" s="4469"/>
      <c r="H388" s="4470"/>
      <c r="I388" s="4470"/>
      <c r="J388" s="4471"/>
      <c r="K388" s="4134"/>
      <c r="L388" s="4294" t="s">
        <v>6120</v>
      </c>
    </row>
    <row r="389" spans="1:16" ht="30" customHeight="1" x14ac:dyDescent="0.2">
      <c r="A389" s="4459">
        <v>197</v>
      </c>
      <c r="B389" s="4615" t="s">
        <v>4153</v>
      </c>
      <c r="C389" s="4537" t="s">
        <v>1134</v>
      </c>
      <c r="D389" s="3524">
        <v>100000000</v>
      </c>
      <c r="E389" s="3535">
        <v>0.05</v>
      </c>
      <c r="F389" s="3524">
        <f t="shared" si="36"/>
        <v>5000000</v>
      </c>
      <c r="G389" s="4413">
        <v>12000000</v>
      </c>
      <c r="H389" s="4413" t="s">
        <v>5848</v>
      </c>
      <c r="I389" s="4413" t="s">
        <v>4154</v>
      </c>
      <c r="J389" s="4413">
        <f t="shared" si="37"/>
        <v>12000000</v>
      </c>
      <c r="K389" s="4413">
        <f>(F389+F390)-J389</f>
        <v>0</v>
      </c>
      <c r="L389" s="737"/>
      <c r="M389" s="366"/>
      <c r="N389" s="366"/>
      <c r="O389" s="366"/>
      <c r="P389" s="366"/>
    </row>
    <row r="390" spans="1:16" ht="30" customHeight="1" x14ac:dyDescent="0.2">
      <c r="A390" s="4460"/>
      <c r="B390" s="4615"/>
      <c r="C390" s="4538"/>
      <c r="D390" s="3493">
        <v>100000000</v>
      </c>
      <c r="E390" s="3499">
        <v>7.0000000000000007E-2</v>
      </c>
      <c r="F390" s="3493">
        <f t="shared" si="36"/>
        <v>7000000.0000000009</v>
      </c>
      <c r="G390" s="4415"/>
      <c r="H390" s="4415"/>
      <c r="I390" s="4415"/>
      <c r="J390" s="4415"/>
      <c r="K390" s="4415"/>
      <c r="L390" s="638" t="s">
        <v>5163</v>
      </c>
      <c r="M390" s="366"/>
      <c r="N390" s="366"/>
      <c r="O390" s="366"/>
      <c r="P390" s="366"/>
    </row>
    <row r="391" spans="1:16" ht="30" customHeight="1" x14ac:dyDescent="0.2">
      <c r="A391" s="4459">
        <v>198</v>
      </c>
      <c r="B391" s="4488" t="s">
        <v>59</v>
      </c>
      <c r="C391" s="3541" t="s">
        <v>1134</v>
      </c>
      <c r="D391" s="3493">
        <v>30000000</v>
      </c>
      <c r="E391" s="3499">
        <v>8.5000000000000006E-2</v>
      </c>
      <c r="F391" s="3493">
        <v>2500000</v>
      </c>
      <c r="G391" s="233">
        <v>2500000</v>
      </c>
      <c r="H391" s="3493" t="s">
        <v>6035</v>
      </c>
      <c r="I391" s="3493" t="s">
        <v>4139</v>
      </c>
      <c r="J391" s="3493">
        <f t="shared" si="37"/>
        <v>2500000</v>
      </c>
      <c r="K391" s="3493">
        <f t="shared" si="38"/>
        <v>0</v>
      </c>
      <c r="L391" s="4492" t="s">
        <v>4609</v>
      </c>
      <c r="M391" s="366"/>
      <c r="N391" s="366"/>
      <c r="O391" s="366"/>
      <c r="P391" s="366"/>
    </row>
    <row r="392" spans="1:16" ht="30" customHeight="1" x14ac:dyDescent="0.2">
      <c r="A392" s="4460"/>
      <c r="B392" s="4458"/>
      <c r="C392" s="3541" t="s">
        <v>1718</v>
      </c>
      <c r="D392" s="3493">
        <v>100000000</v>
      </c>
      <c r="E392" s="3535">
        <v>7.0000000000000007E-2</v>
      </c>
      <c r="F392" s="3493">
        <f>D392*E392</f>
        <v>7000000.0000000009</v>
      </c>
      <c r="G392" s="3800">
        <v>7000000</v>
      </c>
      <c r="H392" s="3493" t="s">
        <v>3978</v>
      </c>
      <c r="I392" s="3493" t="s">
        <v>4139</v>
      </c>
      <c r="J392" s="3493">
        <f>G392</f>
        <v>7000000</v>
      </c>
      <c r="K392" s="3493">
        <f>F392-J392</f>
        <v>0</v>
      </c>
      <c r="L392" s="4493"/>
      <c r="M392" s="366"/>
      <c r="N392" s="366"/>
      <c r="O392" s="366"/>
      <c r="P392" s="366"/>
    </row>
    <row r="393" spans="1:16" ht="30" customHeight="1" x14ac:dyDescent="0.2">
      <c r="A393" s="3538">
        <v>199</v>
      </c>
      <c r="B393" s="3539" t="s">
        <v>60</v>
      </c>
      <c r="C393" s="3515" t="s">
        <v>1100</v>
      </c>
      <c r="D393" s="3493">
        <v>50000000</v>
      </c>
      <c r="E393" s="3535">
        <v>0.05</v>
      </c>
      <c r="F393" s="3493">
        <f t="shared" si="36"/>
        <v>2500000</v>
      </c>
      <c r="G393" s="3493">
        <v>2500000</v>
      </c>
      <c r="H393" s="3493" t="s">
        <v>6002</v>
      </c>
      <c r="I393" s="3524" t="s">
        <v>4778</v>
      </c>
      <c r="J393" s="3493">
        <f t="shared" si="37"/>
        <v>2500000</v>
      </c>
      <c r="K393" s="3493">
        <f t="shared" si="38"/>
        <v>0</v>
      </c>
      <c r="L393" s="3539"/>
      <c r="M393" s="366"/>
      <c r="N393" s="366"/>
      <c r="O393" s="366"/>
      <c r="P393" s="366"/>
    </row>
    <row r="394" spans="1:16" ht="30" customHeight="1" x14ac:dyDescent="0.2">
      <c r="A394" s="4459">
        <v>200</v>
      </c>
      <c r="B394" s="4457" t="s">
        <v>61</v>
      </c>
      <c r="C394" s="4537" t="s">
        <v>1081</v>
      </c>
      <c r="D394" s="4413">
        <v>350000000</v>
      </c>
      <c r="E394" s="4476">
        <v>7.0000000000000007E-2</v>
      </c>
      <c r="F394" s="4413">
        <f t="shared" si="36"/>
        <v>24500000.000000004</v>
      </c>
      <c r="G394" s="3493">
        <v>24500000</v>
      </c>
      <c r="H394" s="3493" t="s">
        <v>5343</v>
      </c>
      <c r="I394" s="3594" t="s">
        <v>1574</v>
      </c>
      <c r="J394" s="3493">
        <f>G394</f>
        <v>24500000</v>
      </c>
      <c r="K394" s="3493">
        <f t="shared" si="38"/>
        <v>0</v>
      </c>
      <c r="L394" s="2015" t="s">
        <v>4907</v>
      </c>
      <c r="M394" s="366"/>
      <c r="N394" s="366"/>
      <c r="O394" s="366"/>
      <c r="P394" s="366"/>
    </row>
    <row r="395" spans="1:16" ht="30" customHeight="1" x14ac:dyDescent="0.2">
      <c r="A395" s="4460"/>
      <c r="B395" s="4458"/>
      <c r="C395" s="4538"/>
      <c r="D395" s="4415"/>
      <c r="E395" s="4477"/>
      <c r="F395" s="4415"/>
      <c r="G395" s="4169">
        <v>24500000</v>
      </c>
      <c r="H395" s="4169" t="s">
        <v>6002</v>
      </c>
      <c r="I395" s="4187" t="s">
        <v>1574</v>
      </c>
      <c r="J395" s="4169">
        <f>G395</f>
        <v>24500000</v>
      </c>
      <c r="K395" s="4169">
        <f>F394-J395</f>
        <v>0</v>
      </c>
      <c r="L395" s="2015" t="s">
        <v>4908</v>
      </c>
      <c r="M395" s="366"/>
      <c r="N395" s="366"/>
      <c r="O395" s="366"/>
      <c r="P395" s="366"/>
    </row>
    <row r="396" spans="1:16" ht="30" customHeight="1" x14ac:dyDescent="0.2">
      <c r="A396" s="3538">
        <v>201</v>
      </c>
      <c r="B396" s="3539" t="s">
        <v>62</v>
      </c>
      <c r="C396" s="3515"/>
      <c r="D396" s="3493">
        <v>60000000</v>
      </c>
      <c r="E396" s="3535">
        <v>7.0000000000000007E-2</v>
      </c>
      <c r="F396" s="3493">
        <v>4500000</v>
      </c>
      <c r="G396" s="3493">
        <v>4500000</v>
      </c>
      <c r="H396" s="3493" t="s">
        <v>6002</v>
      </c>
      <c r="I396" s="3564" t="s">
        <v>3900</v>
      </c>
      <c r="J396" s="3493">
        <f t="shared" si="37"/>
        <v>4500000</v>
      </c>
      <c r="K396" s="3493">
        <f t="shared" si="38"/>
        <v>0</v>
      </c>
      <c r="L396" s="3539"/>
      <c r="M396" s="366"/>
      <c r="N396" s="366"/>
      <c r="O396" s="366"/>
      <c r="P396" s="366"/>
    </row>
    <row r="397" spans="1:16" ht="30" customHeight="1" x14ac:dyDescent="0.2">
      <c r="A397" s="3325">
        <v>202</v>
      </c>
      <c r="B397" s="4191" t="s">
        <v>63</v>
      </c>
      <c r="C397" s="4192" t="s">
        <v>1081</v>
      </c>
      <c r="D397" s="3524">
        <v>100000000</v>
      </c>
      <c r="E397" s="3535">
        <v>0.05</v>
      </c>
      <c r="F397" s="3524">
        <f t="shared" si="36"/>
        <v>5000000</v>
      </c>
      <c r="G397" s="3524">
        <v>5000000</v>
      </c>
      <c r="H397" s="3493" t="s">
        <v>6007</v>
      </c>
      <c r="I397" s="3594" t="s">
        <v>3889</v>
      </c>
      <c r="J397" s="3493">
        <f t="shared" si="37"/>
        <v>5000000</v>
      </c>
      <c r="K397" s="3493">
        <f t="shared" si="38"/>
        <v>0</v>
      </c>
      <c r="L397" s="4193" t="s">
        <v>5483</v>
      </c>
      <c r="M397" s="366"/>
      <c r="N397" s="366"/>
      <c r="O397" s="366"/>
      <c r="P397" s="366"/>
    </row>
    <row r="398" spans="1:16" ht="30" customHeight="1" x14ac:dyDescent="0.2">
      <c r="A398" s="3538">
        <v>203</v>
      </c>
      <c r="B398" s="3502" t="s">
        <v>1244</v>
      </c>
      <c r="C398" s="3515" t="s">
        <v>1081</v>
      </c>
      <c r="D398" s="3493">
        <v>60000000</v>
      </c>
      <c r="E398" s="3499">
        <v>0.05</v>
      </c>
      <c r="F398" s="3493">
        <f t="shared" si="36"/>
        <v>3000000</v>
      </c>
      <c r="G398" s="3493">
        <v>3000000</v>
      </c>
      <c r="H398" s="3493" t="s">
        <v>6007</v>
      </c>
      <c r="I398" s="3594" t="s">
        <v>1154</v>
      </c>
      <c r="J398" s="3493">
        <f t="shared" si="37"/>
        <v>3000000</v>
      </c>
      <c r="K398" s="3493">
        <f t="shared" si="38"/>
        <v>0</v>
      </c>
      <c r="L398" s="3539"/>
    </row>
    <row r="399" spans="1:16" ht="30" customHeight="1" x14ac:dyDescent="0.2">
      <c r="A399" s="3538">
        <v>205</v>
      </c>
      <c r="B399" s="3539" t="s">
        <v>65</v>
      </c>
      <c r="C399" s="3515" t="s">
        <v>3245</v>
      </c>
      <c r="D399" s="3493">
        <v>15000000</v>
      </c>
      <c r="E399" s="3535">
        <v>0.04</v>
      </c>
      <c r="F399" s="3493">
        <f t="shared" si="36"/>
        <v>600000</v>
      </c>
      <c r="G399" s="3493">
        <v>600000</v>
      </c>
      <c r="H399" s="3493" t="s">
        <v>5960</v>
      </c>
      <c r="I399" s="3594" t="s">
        <v>3244</v>
      </c>
      <c r="J399" s="3493">
        <f t="shared" si="37"/>
        <v>600000</v>
      </c>
      <c r="K399" s="3493">
        <f t="shared" si="38"/>
        <v>0</v>
      </c>
      <c r="L399" s="3539"/>
    </row>
    <row r="400" spans="1:16" ht="30" customHeight="1" x14ac:dyDescent="0.2">
      <c r="A400" s="4474">
        <v>207</v>
      </c>
      <c r="B400" s="4457" t="s">
        <v>2676</v>
      </c>
      <c r="C400" s="4537" t="s">
        <v>681</v>
      </c>
      <c r="D400" s="3493">
        <v>45000000</v>
      </c>
      <c r="E400" s="3535">
        <v>0.04</v>
      </c>
      <c r="F400" s="3493">
        <f t="shared" si="36"/>
        <v>1800000</v>
      </c>
      <c r="G400" s="4413">
        <v>6000000</v>
      </c>
      <c r="H400" s="4413" t="s">
        <v>5848</v>
      </c>
      <c r="I400" s="4478" t="s">
        <v>3739</v>
      </c>
      <c r="J400" s="4413">
        <f t="shared" si="37"/>
        <v>6000000</v>
      </c>
      <c r="K400" s="4413">
        <f>F403-J400</f>
        <v>0</v>
      </c>
      <c r="L400" s="4492"/>
    </row>
    <row r="401" spans="1:12" ht="30" customHeight="1" x14ac:dyDescent="0.2">
      <c r="A401" s="4487"/>
      <c r="B401" s="4488"/>
      <c r="C401" s="4540"/>
      <c r="D401" s="3493">
        <v>50000000</v>
      </c>
      <c r="E401" s="3535">
        <v>0.04</v>
      </c>
      <c r="F401" s="3493">
        <f t="shared" si="36"/>
        <v>2000000</v>
      </c>
      <c r="G401" s="4414"/>
      <c r="H401" s="4414"/>
      <c r="I401" s="4520"/>
      <c r="J401" s="4414"/>
      <c r="K401" s="4414"/>
      <c r="L401" s="4493"/>
    </row>
    <row r="402" spans="1:12" ht="30" customHeight="1" x14ac:dyDescent="0.2">
      <c r="A402" s="4487"/>
      <c r="B402" s="4488"/>
      <c r="C402" s="4540"/>
      <c r="D402" s="3493">
        <v>55000000</v>
      </c>
      <c r="E402" s="3535">
        <v>0.04</v>
      </c>
      <c r="F402" s="3493">
        <f t="shared" si="36"/>
        <v>2200000</v>
      </c>
      <c r="G402" s="4414"/>
      <c r="H402" s="4414"/>
      <c r="I402" s="4520"/>
      <c r="J402" s="4414"/>
      <c r="K402" s="4414"/>
      <c r="L402" s="3505" t="s">
        <v>5242</v>
      </c>
    </row>
    <row r="403" spans="1:12" ht="30" customHeight="1" x14ac:dyDescent="0.2">
      <c r="A403" s="4475"/>
      <c r="B403" s="4458"/>
      <c r="C403" s="4538"/>
      <c r="D403" s="3582">
        <v>150000000</v>
      </c>
      <c r="E403" s="897">
        <v>0.04</v>
      </c>
      <c r="F403" s="3582">
        <f>D403*E403</f>
        <v>6000000</v>
      </c>
      <c r="G403" s="4415"/>
      <c r="H403" s="4415"/>
      <c r="I403" s="4479"/>
      <c r="J403" s="4415"/>
      <c r="K403" s="4415"/>
      <c r="L403" s="3505"/>
    </row>
    <row r="404" spans="1:12" ht="30" customHeight="1" x14ac:dyDescent="0.2">
      <c r="A404" s="3496">
        <v>208</v>
      </c>
      <c r="B404" s="19" t="s">
        <v>69</v>
      </c>
      <c r="C404" s="378" t="s">
        <v>1100</v>
      </c>
      <c r="D404" s="3524">
        <v>15000000</v>
      </c>
      <c r="E404" s="3535">
        <v>0.04</v>
      </c>
      <c r="F404" s="3524">
        <f t="shared" si="36"/>
        <v>600000</v>
      </c>
      <c r="G404" s="3524">
        <v>600000</v>
      </c>
      <c r="H404" s="3524" t="s">
        <v>6002</v>
      </c>
      <c r="I404" s="3546" t="s">
        <v>1099</v>
      </c>
      <c r="J404" s="3524">
        <f t="shared" ref="J404:J419" si="39">G404</f>
        <v>600000</v>
      </c>
      <c r="K404" s="3524">
        <f t="shared" ref="K404:K422" si="40">F404-J404</f>
        <v>0</v>
      </c>
      <c r="L404" s="2015"/>
    </row>
    <row r="405" spans="1:12" ht="30" customHeight="1" x14ac:dyDescent="0.2">
      <c r="A405" s="3538">
        <v>210</v>
      </c>
      <c r="B405" s="3539" t="s">
        <v>72</v>
      </c>
      <c r="C405" s="4537" t="s">
        <v>392</v>
      </c>
      <c r="D405" s="3493">
        <v>50000000</v>
      </c>
      <c r="E405" s="3535">
        <v>7.0000000000000007E-2</v>
      </c>
      <c r="F405" s="3493">
        <f t="shared" si="36"/>
        <v>3500000.0000000005</v>
      </c>
      <c r="G405" s="4413">
        <v>7000000</v>
      </c>
      <c r="H405" s="4413" t="s">
        <v>5437</v>
      </c>
      <c r="I405" s="4478" t="s">
        <v>4894</v>
      </c>
      <c r="J405" s="4413">
        <f t="shared" si="39"/>
        <v>7000000</v>
      </c>
      <c r="K405" s="4413">
        <f>(F405+F406)-J405</f>
        <v>0</v>
      </c>
      <c r="L405" s="3539"/>
    </row>
    <row r="406" spans="1:12" ht="30" customHeight="1" x14ac:dyDescent="0.2">
      <c r="A406" s="3538"/>
      <c r="B406" s="3539" t="s">
        <v>4823</v>
      </c>
      <c r="C406" s="4538"/>
      <c r="D406" s="3493">
        <v>50000000</v>
      </c>
      <c r="E406" s="3535">
        <v>7.0000000000000007E-2</v>
      </c>
      <c r="F406" s="3493">
        <f t="shared" si="36"/>
        <v>3500000.0000000005</v>
      </c>
      <c r="G406" s="4415"/>
      <c r="H406" s="4415"/>
      <c r="I406" s="4479"/>
      <c r="J406" s="4415"/>
      <c r="K406" s="4415"/>
      <c r="L406" s="3539"/>
    </row>
    <row r="407" spans="1:12" ht="30" customHeight="1" x14ac:dyDescent="0.2">
      <c r="A407" s="4459">
        <v>211</v>
      </c>
      <c r="B407" s="4457" t="s">
        <v>73</v>
      </c>
      <c r="C407" s="4537" t="s">
        <v>1295</v>
      </c>
      <c r="D407" s="3493">
        <v>100000000</v>
      </c>
      <c r="E407" s="3535">
        <v>0.05</v>
      </c>
      <c r="F407" s="3493">
        <f t="shared" si="36"/>
        <v>5000000</v>
      </c>
      <c r="G407" s="3493">
        <v>5000000</v>
      </c>
      <c r="H407" s="3493" t="s">
        <v>5361</v>
      </c>
      <c r="I407" s="3594" t="s">
        <v>4002</v>
      </c>
      <c r="J407" s="3493">
        <f t="shared" si="39"/>
        <v>5000000</v>
      </c>
      <c r="K407" s="3493">
        <f t="shared" si="40"/>
        <v>0</v>
      </c>
      <c r="L407" s="4248" t="s">
        <v>6024</v>
      </c>
    </row>
    <row r="408" spans="1:12" ht="30" customHeight="1" x14ac:dyDescent="0.2">
      <c r="A408" s="4460"/>
      <c r="B408" s="4458"/>
      <c r="C408" s="4538"/>
      <c r="D408" s="4220">
        <v>100000000</v>
      </c>
      <c r="E408" s="4241"/>
      <c r="F408" s="4220"/>
      <c r="G408" s="4469" t="s">
        <v>6022</v>
      </c>
      <c r="H408" s="4470"/>
      <c r="I408" s="4470"/>
      <c r="J408" s="4471"/>
      <c r="K408" s="4219"/>
      <c r="L408" s="4248" t="s">
        <v>6023</v>
      </c>
    </row>
    <row r="409" spans="1:12" ht="30" customHeight="1" x14ac:dyDescent="0.2">
      <c r="A409" s="4459">
        <v>212</v>
      </c>
      <c r="B409" s="4457" t="s">
        <v>74</v>
      </c>
      <c r="C409" s="4537" t="s">
        <v>889</v>
      </c>
      <c r="D409" s="3493">
        <v>30000000</v>
      </c>
      <c r="E409" s="3535">
        <v>0.05</v>
      </c>
      <c r="F409" s="3493">
        <f t="shared" si="36"/>
        <v>1500000</v>
      </c>
      <c r="G409" s="4413">
        <v>2000000</v>
      </c>
      <c r="H409" s="4413" t="s">
        <v>5343</v>
      </c>
      <c r="I409" s="4478" t="s">
        <v>1275</v>
      </c>
      <c r="J409" s="4413">
        <f t="shared" si="39"/>
        <v>2000000</v>
      </c>
      <c r="K409" s="4413">
        <f>(F409+F410)-J409</f>
        <v>0</v>
      </c>
      <c r="L409" s="3539"/>
    </row>
    <row r="410" spans="1:12" ht="30" customHeight="1" x14ac:dyDescent="0.2">
      <c r="A410" s="4460"/>
      <c r="B410" s="4458"/>
      <c r="C410" s="4538"/>
      <c r="D410" s="3493">
        <v>10000000</v>
      </c>
      <c r="E410" s="3535">
        <v>0.05</v>
      </c>
      <c r="F410" s="3493">
        <f t="shared" si="36"/>
        <v>500000</v>
      </c>
      <c r="G410" s="4415"/>
      <c r="H410" s="4415"/>
      <c r="I410" s="4479"/>
      <c r="J410" s="4415"/>
      <c r="K410" s="4415"/>
      <c r="L410" s="3539"/>
    </row>
    <row r="411" spans="1:12" ht="30" customHeight="1" x14ac:dyDescent="0.2">
      <c r="A411" s="3538">
        <v>213</v>
      </c>
      <c r="B411" s="3539" t="s">
        <v>5117</v>
      </c>
      <c r="C411" s="3515" t="s">
        <v>889</v>
      </c>
      <c r="D411" s="3493">
        <v>15000000</v>
      </c>
      <c r="E411" s="3535">
        <v>4.7E-2</v>
      </c>
      <c r="F411" s="3493">
        <v>700000</v>
      </c>
      <c r="G411" s="3493">
        <v>700000</v>
      </c>
      <c r="H411" s="3493" t="s">
        <v>1527</v>
      </c>
      <c r="I411" s="3594" t="s">
        <v>325</v>
      </c>
      <c r="J411" s="3493">
        <f t="shared" si="39"/>
        <v>700000</v>
      </c>
      <c r="K411" s="3493">
        <f t="shared" si="40"/>
        <v>0</v>
      </c>
      <c r="L411" s="3539"/>
    </row>
    <row r="412" spans="1:12" ht="30" customHeight="1" x14ac:dyDescent="0.2">
      <c r="A412" s="3538">
        <v>214</v>
      </c>
      <c r="B412" s="3539" t="s">
        <v>937</v>
      </c>
      <c r="C412" s="3515"/>
      <c r="D412" s="3493">
        <v>200000000</v>
      </c>
      <c r="E412" s="3535">
        <v>5.5E-2</v>
      </c>
      <c r="F412" s="3493">
        <f t="shared" si="36"/>
        <v>11000000</v>
      </c>
      <c r="G412" s="3493">
        <v>11000000</v>
      </c>
      <c r="H412" s="3493" t="s">
        <v>5350</v>
      </c>
      <c r="I412" s="3594" t="s">
        <v>5505</v>
      </c>
      <c r="J412" s="3493">
        <f t="shared" si="39"/>
        <v>11000000</v>
      </c>
      <c r="K412" s="3493">
        <f t="shared" si="40"/>
        <v>0</v>
      </c>
      <c r="L412" s="3539"/>
    </row>
    <row r="413" spans="1:12" ht="30" customHeight="1" x14ac:dyDescent="0.2">
      <c r="A413" s="4459">
        <v>216</v>
      </c>
      <c r="B413" s="4457" t="s">
        <v>77</v>
      </c>
      <c r="C413" s="4537" t="s">
        <v>889</v>
      </c>
      <c r="D413" s="3493">
        <v>400000000</v>
      </c>
      <c r="E413" s="3535">
        <v>0.05</v>
      </c>
      <c r="F413" s="3493">
        <f t="shared" si="36"/>
        <v>20000000</v>
      </c>
      <c r="G413" s="4919" t="s">
        <v>5645</v>
      </c>
      <c r="H413" s="4920"/>
      <c r="I413" s="4920"/>
      <c r="J413" s="4921"/>
      <c r="K413" s="3493">
        <f t="shared" si="40"/>
        <v>20000000</v>
      </c>
      <c r="L413" s="3539"/>
    </row>
    <row r="414" spans="1:12" ht="30" customHeight="1" x14ac:dyDescent="0.2">
      <c r="A414" s="4464"/>
      <c r="B414" s="4488"/>
      <c r="C414" s="4540"/>
      <c r="D414" s="3493">
        <v>20000000</v>
      </c>
      <c r="E414" s="3535">
        <v>0.05</v>
      </c>
      <c r="F414" s="3493">
        <f t="shared" si="36"/>
        <v>1000000</v>
      </c>
      <c r="G414" s="4469" t="s">
        <v>5005</v>
      </c>
      <c r="H414" s="4470"/>
      <c r="I414" s="4470"/>
      <c r="J414" s="4471"/>
      <c r="K414" s="3493">
        <f t="shared" si="40"/>
        <v>1000000</v>
      </c>
      <c r="L414" s="3501"/>
    </row>
    <row r="415" spans="1:12" ht="30" customHeight="1" x14ac:dyDescent="0.2">
      <c r="A415" s="4464"/>
      <c r="B415" s="4488"/>
      <c r="C415" s="4540"/>
      <c r="D415" s="4094">
        <v>40000000</v>
      </c>
      <c r="E415" s="4103">
        <v>0.05</v>
      </c>
      <c r="F415" s="4094">
        <f t="shared" si="36"/>
        <v>2000000</v>
      </c>
      <c r="G415" s="4469" t="s">
        <v>5914</v>
      </c>
      <c r="H415" s="4470"/>
      <c r="I415" s="4470"/>
      <c r="J415" s="4471"/>
      <c r="K415" s="4094">
        <f t="shared" si="40"/>
        <v>2000000</v>
      </c>
      <c r="L415" s="4097"/>
    </row>
    <row r="416" spans="1:12" ht="30" customHeight="1" x14ac:dyDescent="0.2">
      <c r="A416" s="4460"/>
      <c r="B416" s="4458"/>
      <c r="C416" s="4538"/>
      <c r="D416" s="4094">
        <f>SUM(D413:D415)</f>
        <v>460000000</v>
      </c>
      <c r="E416" s="4103">
        <v>0.05</v>
      </c>
      <c r="F416" s="4094">
        <f>D416*E416</f>
        <v>23000000</v>
      </c>
      <c r="G416" s="4469" t="s">
        <v>5876</v>
      </c>
      <c r="H416" s="4470"/>
      <c r="I416" s="4470"/>
      <c r="J416" s="4471"/>
      <c r="K416" s="4094">
        <f t="shared" si="40"/>
        <v>23000000</v>
      </c>
      <c r="L416" s="4097"/>
    </row>
    <row r="417" spans="1:12" ht="30" customHeight="1" x14ac:dyDescent="0.2">
      <c r="A417" s="3496">
        <v>217</v>
      </c>
      <c r="B417" s="3539" t="s">
        <v>79</v>
      </c>
      <c r="C417" s="3541"/>
      <c r="D417" s="3524">
        <v>160000000</v>
      </c>
      <c r="E417" s="3535">
        <v>0.05</v>
      </c>
      <c r="F417" s="3524">
        <f t="shared" si="36"/>
        <v>8000000</v>
      </c>
      <c r="G417" s="3524"/>
      <c r="H417" s="3524"/>
      <c r="I417" s="3564"/>
      <c r="J417" s="3524">
        <f t="shared" si="39"/>
        <v>0</v>
      </c>
      <c r="K417" s="3524">
        <f t="shared" si="40"/>
        <v>8000000</v>
      </c>
      <c r="L417" s="3504"/>
    </row>
    <row r="418" spans="1:12" ht="30" customHeight="1" x14ac:dyDescent="0.2">
      <c r="A418" s="4459">
        <v>218</v>
      </c>
      <c r="B418" s="4461" t="s">
        <v>80</v>
      </c>
      <c r="C418" s="4677"/>
      <c r="D418" s="4506">
        <v>45000000</v>
      </c>
      <c r="E418" s="4512">
        <v>0.04</v>
      </c>
      <c r="F418" s="4506">
        <f t="shared" si="36"/>
        <v>1800000</v>
      </c>
      <c r="G418" s="3512"/>
      <c r="H418" s="3512"/>
      <c r="I418" s="3035" t="s">
        <v>1695</v>
      </c>
      <c r="J418" s="3512">
        <f t="shared" si="39"/>
        <v>0</v>
      </c>
      <c r="K418" s="3512">
        <f t="shared" si="40"/>
        <v>1800000</v>
      </c>
      <c r="L418" s="3539"/>
    </row>
    <row r="419" spans="1:12" ht="30" customHeight="1" x14ac:dyDescent="0.2">
      <c r="A419" s="4460"/>
      <c r="B419" s="4463"/>
      <c r="C419" s="4679"/>
      <c r="D419" s="4508"/>
      <c r="E419" s="4514"/>
      <c r="F419" s="4508"/>
      <c r="G419" s="3512"/>
      <c r="H419" s="3512"/>
      <c r="I419" s="3035" t="s">
        <v>3561</v>
      </c>
      <c r="J419" s="3512">
        <f t="shared" si="39"/>
        <v>0</v>
      </c>
      <c r="K419" s="3512"/>
      <c r="L419" s="2015"/>
    </row>
    <row r="420" spans="1:12" ht="30" customHeight="1" x14ac:dyDescent="0.2">
      <c r="A420" s="3538">
        <v>219</v>
      </c>
      <c r="B420" s="3539" t="s">
        <v>1791</v>
      </c>
      <c r="C420" s="3515"/>
      <c r="D420" s="3512"/>
      <c r="E420" s="2521"/>
      <c r="F420" s="3512">
        <f t="shared" si="36"/>
        <v>0</v>
      </c>
      <c r="G420" s="3493"/>
      <c r="H420" s="3493"/>
      <c r="I420" s="3594"/>
      <c r="J420" s="3493"/>
      <c r="K420" s="3512">
        <f t="shared" si="40"/>
        <v>0</v>
      </c>
      <c r="L420" s="3539"/>
    </row>
    <row r="421" spans="1:12" ht="30" customHeight="1" x14ac:dyDescent="0.2">
      <c r="A421" s="3538">
        <v>220</v>
      </c>
      <c r="B421" s="3542" t="s">
        <v>81</v>
      </c>
      <c r="C421" s="3514" t="s">
        <v>889</v>
      </c>
      <c r="D421" s="3491">
        <v>203000000</v>
      </c>
      <c r="E421" s="3498">
        <v>0.05</v>
      </c>
      <c r="F421" s="3491">
        <f t="shared" si="36"/>
        <v>10150000</v>
      </c>
      <c r="G421" s="3493">
        <v>10150000</v>
      </c>
      <c r="H421" s="3493" t="s">
        <v>5401</v>
      </c>
      <c r="I421" s="3594" t="s">
        <v>3409</v>
      </c>
      <c r="J421" s="3491">
        <f>G421</f>
        <v>10150000</v>
      </c>
      <c r="K421" s="3491">
        <f t="shared" si="40"/>
        <v>0</v>
      </c>
      <c r="L421" s="3539"/>
    </row>
    <row r="422" spans="1:12" ht="30" customHeight="1" x14ac:dyDescent="0.2">
      <c r="A422" s="3538">
        <v>221</v>
      </c>
      <c r="B422" s="3542" t="s">
        <v>326</v>
      </c>
      <c r="C422" s="3514" t="s">
        <v>1652</v>
      </c>
      <c r="D422" s="3491">
        <v>275000000</v>
      </c>
      <c r="E422" s="3498">
        <v>4.2000000000000003E-2</v>
      </c>
      <c r="F422" s="3491">
        <f>D422*E422</f>
        <v>11550000</v>
      </c>
      <c r="G422" s="3492">
        <v>11550000</v>
      </c>
      <c r="H422" s="3492" t="s">
        <v>1649</v>
      </c>
      <c r="I422" s="3593" t="s">
        <v>1654</v>
      </c>
      <c r="J422" s="3491">
        <f>G422</f>
        <v>11550000</v>
      </c>
      <c r="K422" s="3491">
        <f t="shared" si="40"/>
        <v>0</v>
      </c>
      <c r="L422" s="3517"/>
    </row>
    <row r="423" spans="1:12" ht="30" customHeight="1" x14ac:dyDescent="0.2">
      <c r="A423" s="4614">
        <v>222</v>
      </c>
      <c r="B423" s="4457" t="s">
        <v>1818</v>
      </c>
      <c r="C423" s="4537" t="s">
        <v>1287</v>
      </c>
      <c r="D423" s="4413">
        <v>700000000</v>
      </c>
      <c r="E423" s="4476">
        <v>0.06</v>
      </c>
      <c r="F423" s="4413">
        <f>D423*E423</f>
        <v>42000000</v>
      </c>
      <c r="G423" s="4413"/>
      <c r="H423" s="4413"/>
      <c r="I423" s="4478" t="s">
        <v>3724</v>
      </c>
      <c r="J423" s="4413">
        <f>G423</f>
        <v>0</v>
      </c>
      <c r="K423" s="4413">
        <f>F423-J423</f>
        <v>42000000</v>
      </c>
      <c r="L423" s="3547"/>
    </row>
    <row r="424" spans="1:12" ht="30" customHeight="1" x14ac:dyDescent="0.2">
      <c r="A424" s="4614"/>
      <c r="B424" s="4488"/>
      <c r="C424" s="4540"/>
      <c r="D424" s="4414"/>
      <c r="E424" s="4516"/>
      <c r="F424" s="4414"/>
      <c r="G424" s="4414"/>
      <c r="H424" s="4414"/>
      <c r="I424" s="4520"/>
      <c r="J424" s="4414"/>
      <c r="K424" s="4414"/>
      <c r="L424" s="3549"/>
    </row>
    <row r="425" spans="1:12" ht="30" customHeight="1" x14ac:dyDescent="0.2">
      <c r="A425" s="4614"/>
      <c r="B425" s="4458"/>
      <c r="C425" s="4538"/>
      <c r="D425" s="4415"/>
      <c r="E425" s="4477"/>
      <c r="F425" s="4415"/>
      <c r="G425" s="4415"/>
      <c r="H425" s="4415"/>
      <c r="I425" s="4479"/>
      <c r="J425" s="4415"/>
      <c r="K425" s="4415"/>
      <c r="L425" s="3548"/>
    </row>
    <row r="426" spans="1:12" ht="30" customHeight="1" x14ac:dyDescent="0.2">
      <c r="A426" s="1029">
        <v>224</v>
      </c>
      <c r="B426" s="19" t="s">
        <v>2623</v>
      </c>
      <c r="C426" s="3541"/>
      <c r="D426" s="3524">
        <v>10000000</v>
      </c>
      <c r="E426" s="3535">
        <v>0.05</v>
      </c>
      <c r="F426" s="3524">
        <f t="shared" si="36"/>
        <v>500000</v>
      </c>
      <c r="G426" s="3493"/>
      <c r="H426" s="3493"/>
      <c r="I426" s="3594" t="s">
        <v>3934</v>
      </c>
      <c r="J426" s="3493">
        <f t="shared" ref="J426:J433" si="41">G426</f>
        <v>0</v>
      </c>
      <c r="K426" s="3493">
        <f t="shared" ref="K426:K433" si="42">F426-J426</f>
        <v>500000</v>
      </c>
      <c r="L426" s="3539"/>
    </row>
    <row r="427" spans="1:12" ht="30" customHeight="1" x14ac:dyDescent="0.2">
      <c r="A427" s="4459">
        <v>226</v>
      </c>
      <c r="B427" s="4457" t="s">
        <v>86</v>
      </c>
      <c r="C427" s="4537" t="s">
        <v>889</v>
      </c>
      <c r="D427" s="3524">
        <v>410000000</v>
      </c>
      <c r="E427" s="3535">
        <v>0.06</v>
      </c>
      <c r="F427" s="3524">
        <f>D427*E427</f>
        <v>24600000</v>
      </c>
      <c r="G427" s="3524">
        <v>24600000</v>
      </c>
      <c r="H427" s="3524" t="s">
        <v>5437</v>
      </c>
      <c r="I427" s="3524" t="s">
        <v>2391</v>
      </c>
      <c r="J427" s="3524">
        <f t="shared" si="41"/>
        <v>24600000</v>
      </c>
      <c r="K427" s="3493">
        <f t="shared" si="42"/>
        <v>0</v>
      </c>
      <c r="L427" s="3505"/>
    </row>
    <row r="428" spans="1:12" ht="30" customHeight="1" x14ac:dyDescent="0.2">
      <c r="A428" s="4464"/>
      <c r="B428" s="4488"/>
      <c r="C428" s="4540"/>
      <c r="D428" s="3919">
        <v>60000000</v>
      </c>
      <c r="E428" s="3927"/>
      <c r="F428" s="3919"/>
      <c r="G428" s="4793" t="s">
        <v>5662</v>
      </c>
      <c r="H428" s="4794"/>
      <c r="I428" s="4794"/>
      <c r="J428" s="4795"/>
      <c r="K428" s="3920"/>
      <c r="L428" s="3924"/>
    </row>
    <row r="429" spans="1:12" ht="30" customHeight="1" x14ac:dyDescent="0.2">
      <c r="A429" s="4464"/>
      <c r="B429" s="4488"/>
      <c r="C429" s="4540"/>
      <c r="D429" s="3919">
        <v>30000000</v>
      </c>
      <c r="E429" s="3927"/>
      <c r="F429" s="3919"/>
      <c r="G429" s="4799"/>
      <c r="H429" s="4800"/>
      <c r="I429" s="4800"/>
      <c r="J429" s="4801"/>
      <c r="K429" s="3920"/>
      <c r="L429" s="3924"/>
    </row>
    <row r="430" spans="1:12" ht="30" customHeight="1" x14ac:dyDescent="0.2">
      <c r="A430" s="4460"/>
      <c r="B430" s="4458"/>
      <c r="C430" s="4538"/>
      <c r="D430" s="3935">
        <f>SUM(D427:D429)</f>
        <v>500000000</v>
      </c>
      <c r="E430" s="897"/>
      <c r="F430" s="3935"/>
      <c r="G430" s="3919"/>
      <c r="H430" s="3919"/>
      <c r="I430" s="3919"/>
      <c r="J430" s="3919"/>
      <c r="K430" s="3920"/>
      <c r="L430" s="3924"/>
    </row>
    <row r="431" spans="1:12" ht="30" customHeight="1" x14ac:dyDescent="0.2">
      <c r="A431" s="1029">
        <v>227</v>
      </c>
      <c r="B431" s="19" t="s">
        <v>87</v>
      </c>
      <c r="C431" s="3541" t="s">
        <v>889</v>
      </c>
      <c r="D431" s="3524">
        <v>20000000</v>
      </c>
      <c r="E431" s="3535">
        <v>0.05</v>
      </c>
      <c r="F431" s="3524">
        <f>D431*E431</f>
        <v>1000000</v>
      </c>
      <c r="G431" s="5067" t="s">
        <v>4824</v>
      </c>
      <c r="H431" s="5025"/>
      <c r="I431" s="5025"/>
      <c r="J431" s="5026"/>
      <c r="K431" s="3493">
        <f t="shared" si="42"/>
        <v>1000000</v>
      </c>
      <c r="L431" s="2015"/>
    </row>
    <row r="432" spans="1:12" ht="30" customHeight="1" x14ac:dyDescent="0.2">
      <c r="A432" s="3538">
        <v>228</v>
      </c>
      <c r="B432" s="3539" t="s">
        <v>88</v>
      </c>
      <c r="C432" s="3515" t="s">
        <v>1176</v>
      </c>
      <c r="D432" s="3493">
        <v>10000000</v>
      </c>
      <c r="E432" s="3535">
        <v>0.04</v>
      </c>
      <c r="F432" s="3493">
        <f t="shared" si="36"/>
        <v>400000</v>
      </c>
      <c r="G432" s="3493">
        <v>400000</v>
      </c>
      <c r="H432" s="3493" t="s">
        <v>5370</v>
      </c>
      <c r="I432" s="26" t="s">
        <v>417</v>
      </c>
      <c r="J432" s="3493">
        <f t="shared" si="41"/>
        <v>400000</v>
      </c>
      <c r="K432" s="3493">
        <f t="shared" si="42"/>
        <v>0</v>
      </c>
      <c r="L432" s="3539"/>
    </row>
    <row r="433" spans="1:12" ht="30" customHeight="1" x14ac:dyDescent="0.2">
      <c r="A433" s="4459">
        <v>229</v>
      </c>
      <c r="B433" s="4457" t="s">
        <v>89</v>
      </c>
      <c r="C433" s="4537" t="s">
        <v>889</v>
      </c>
      <c r="D433" s="3493">
        <v>52000000</v>
      </c>
      <c r="E433" s="3535">
        <v>0.05</v>
      </c>
      <c r="F433" s="3493">
        <f t="shared" si="36"/>
        <v>2600000</v>
      </c>
      <c r="G433" s="3493">
        <v>2600000</v>
      </c>
      <c r="H433" s="3493" t="s">
        <v>5361</v>
      </c>
      <c r="I433" s="3594" t="s">
        <v>3970</v>
      </c>
      <c r="J433" s="3493">
        <f t="shared" si="41"/>
        <v>2600000</v>
      </c>
      <c r="K433" s="3493">
        <f t="shared" si="42"/>
        <v>0</v>
      </c>
      <c r="L433" s="3539"/>
    </row>
    <row r="434" spans="1:12" ht="30" customHeight="1" x14ac:dyDescent="0.2">
      <c r="A434" s="4464"/>
      <c r="B434" s="4488"/>
      <c r="C434" s="4540"/>
      <c r="D434" s="4056">
        <v>123000000</v>
      </c>
      <c r="E434" s="4063">
        <v>0.05</v>
      </c>
      <c r="F434" s="4056">
        <f>D434*E434</f>
        <v>6150000</v>
      </c>
      <c r="G434" s="4793" t="s">
        <v>5970</v>
      </c>
      <c r="H434" s="4794"/>
      <c r="I434" s="4794"/>
      <c r="J434" s="4795"/>
      <c r="K434" s="4056"/>
      <c r="L434" s="4066" t="s">
        <v>5887</v>
      </c>
    </row>
    <row r="435" spans="1:12" ht="30" customHeight="1" x14ac:dyDescent="0.2">
      <c r="A435" s="4460"/>
      <c r="B435" s="4458"/>
      <c r="C435" s="4538"/>
      <c r="D435" s="3493">
        <v>5000000</v>
      </c>
      <c r="E435" s="3535">
        <v>0.05</v>
      </c>
      <c r="F435" s="3493">
        <f t="shared" si="36"/>
        <v>250000</v>
      </c>
      <c r="G435" s="4799"/>
      <c r="H435" s="4800"/>
      <c r="I435" s="4800"/>
      <c r="J435" s="4801"/>
      <c r="K435" s="3493"/>
      <c r="L435" s="3557" t="s">
        <v>4993</v>
      </c>
    </row>
    <row r="436" spans="1:12" ht="30" customHeight="1" x14ac:dyDescent="0.2">
      <c r="A436" s="4225"/>
      <c r="B436" s="4230" t="s">
        <v>89</v>
      </c>
      <c r="C436" s="4239" t="s">
        <v>942</v>
      </c>
      <c r="D436" s="4220">
        <f>SUM(D433:D435)</f>
        <v>180000000</v>
      </c>
      <c r="E436" s="4241">
        <v>0.05</v>
      </c>
      <c r="F436" s="4220">
        <f>D436*E436</f>
        <v>9000000</v>
      </c>
      <c r="G436" s="4217">
        <v>4900000</v>
      </c>
      <c r="H436" s="4217" t="s">
        <v>6035</v>
      </c>
      <c r="I436" s="4217" t="s">
        <v>3970</v>
      </c>
      <c r="J436" s="4217">
        <f>G436</f>
        <v>4900000</v>
      </c>
      <c r="K436" s="4219"/>
      <c r="L436" s="4248" t="s">
        <v>6038</v>
      </c>
    </row>
    <row r="437" spans="1:12" ht="30" customHeight="1" x14ac:dyDescent="0.2">
      <c r="A437" s="4459"/>
      <c r="B437" s="4457" t="s">
        <v>5010</v>
      </c>
      <c r="C437" s="4537" t="s">
        <v>1718</v>
      </c>
      <c r="D437" s="3524">
        <v>35000000</v>
      </c>
      <c r="E437" s="3535">
        <v>0.05</v>
      </c>
      <c r="F437" s="3524">
        <f t="shared" si="36"/>
        <v>1750000</v>
      </c>
      <c r="G437" s="4413">
        <v>2342000</v>
      </c>
      <c r="H437" s="4413" t="s">
        <v>3978</v>
      </c>
      <c r="I437" s="4413" t="s">
        <v>5525</v>
      </c>
      <c r="J437" s="4413">
        <f>G437</f>
        <v>2342000</v>
      </c>
      <c r="K437" s="4413">
        <v>0</v>
      </c>
      <c r="L437" s="1662"/>
    </row>
    <row r="438" spans="1:12" ht="30" customHeight="1" x14ac:dyDescent="0.2">
      <c r="A438" s="4464"/>
      <c r="B438" s="4488"/>
      <c r="C438" s="4540"/>
      <c r="D438" s="3493">
        <v>10000000</v>
      </c>
      <c r="E438" s="3499">
        <v>0.05</v>
      </c>
      <c r="F438" s="3493">
        <f t="shared" si="36"/>
        <v>500000</v>
      </c>
      <c r="G438" s="4414"/>
      <c r="H438" s="4414"/>
      <c r="I438" s="4414"/>
      <c r="J438" s="4414"/>
      <c r="K438" s="4414"/>
      <c r="L438" s="1662" t="s">
        <v>5008</v>
      </c>
    </row>
    <row r="439" spans="1:12" ht="30" customHeight="1" x14ac:dyDescent="0.2">
      <c r="A439" s="4460"/>
      <c r="B439" s="4458"/>
      <c r="C439" s="4538"/>
      <c r="D439" s="3493">
        <v>5000000</v>
      </c>
      <c r="E439" s="3499">
        <v>0.05</v>
      </c>
      <c r="F439" s="3493">
        <f t="shared" si="36"/>
        <v>250000</v>
      </c>
      <c r="G439" s="4415"/>
      <c r="H439" s="4415"/>
      <c r="I439" s="4415"/>
      <c r="J439" s="4415"/>
      <c r="K439" s="4415"/>
      <c r="L439" s="1662" t="s">
        <v>5009</v>
      </c>
    </row>
    <row r="440" spans="1:12" ht="30" customHeight="1" x14ac:dyDescent="0.2">
      <c r="A440" s="3496">
        <v>231</v>
      </c>
      <c r="B440" s="3542" t="s">
        <v>91</v>
      </c>
      <c r="C440" s="3541" t="s">
        <v>1080</v>
      </c>
      <c r="D440" s="3493">
        <v>20000000</v>
      </c>
      <c r="E440" s="3499">
        <v>0.05</v>
      </c>
      <c r="F440" s="3493">
        <f t="shared" si="36"/>
        <v>1000000</v>
      </c>
      <c r="G440" s="3493">
        <v>1000000</v>
      </c>
      <c r="H440" s="3493" t="s">
        <v>5437</v>
      </c>
      <c r="I440" s="3587" t="s">
        <v>298</v>
      </c>
      <c r="J440" s="3493">
        <f>G440</f>
        <v>1000000</v>
      </c>
      <c r="K440" s="3493">
        <f>F440-G440</f>
        <v>0</v>
      </c>
      <c r="L440" s="2015"/>
    </row>
    <row r="441" spans="1:12" ht="30" customHeight="1" x14ac:dyDescent="0.2">
      <c r="A441" s="4459">
        <v>232</v>
      </c>
      <c r="B441" s="4457" t="s">
        <v>1602</v>
      </c>
      <c r="C441" s="4537" t="s">
        <v>1172</v>
      </c>
      <c r="D441" s="3736">
        <v>55000000</v>
      </c>
      <c r="E441" s="3741">
        <v>0.04</v>
      </c>
      <c r="F441" s="3736">
        <f t="shared" si="36"/>
        <v>2200000</v>
      </c>
      <c r="G441" s="3736">
        <v>2200000</v>
      </c>
      <c r="H441" s="3736" t="s">
        <v>5437</v>
      </c>
      <c r="I441" s="3749" t="s">
        <v>4364</v>
      </c>
      <c r="J441" s="3736">
        <f t="shared" ref="J441:J454" si="43">G441</f>
        <v>2200000</v>
      </c>
      <c r="K441" s="3736">
        <f t="shared" ref="K441:K453" si="44">F441-J441</f>
        <v>0</v>
      </c>
      <c r="L441" s="4643" t="s">
        <v>5498</v>
      </c>
    </row>
    <row r="442" spans="1:12" ht="30" customHeight="1" x14ac:dyDescent="0.2">
      <c r="A442" s="4460"/>
      <c r="B442" s="4458"/>
      <c r="C442" s="4538"/>
      <c r="D442" s="3736">
        <v>35000000</v>
      </c>
      <c r="E442" s="3741">
        <v>0.04</v>
      </c>
      <c r="F442" s="3736">
        <f t="shared" si="36"/>
        <v>1400000</v>
      </c>
      <c r="G442" s="4303" t="s">
        <v>5497</v>
      </c>
      <c r="H442" s="4324"/>
      <c r="I442" s="4324"/>
      <c r="J442" s="4355"/>
      <c r="K442" s="3736"/>
      <c r="L442" s="4644"/>
    </row>
    <row r="443" spans="1:12" ht="30" customHeight="1" x14ac:dyDescent="0.2">
      <c r="A443" s="3538">
        <v>233</v>
      </c>
      <c r="B443" s="3539" t="s">
        <v>275</v>
      </c>
      <c r="C443" s="3515" t="s">
        <v>372</v>
      </c>
      <c r="D443" s="3493">
        <v>50000000</v>
      </c>
      <c r="E443" s="3535">
        <v>0.05</v>
      </c>
      <c r="F443" s="3493">
        <f t="shared" si="36"/>
        <v>2500000</v>
      </c>
      <c r="G443" s="3493">
        <v>2500000</v>
      </c>
      <c r="H443" s="3493" t="s">
        <v>5706</v>
      </c>
      <c r="I443" s="3594" t="s">
        <v>5708</v>
      </c>
      <c r="J443" s="3493">
        <f t="shared" si="43"/>
        <v>2500000</v>
      </c>
      <c r="K443" s="3493">
        <f t="shared" si="44"/>
        <v>0</v>
      </c>
      <c r="L443" s="2015"/>
    </row>
    <row r="444" spans="1:12" ht="30" customHeight="1" x14ac:dyDescent="0.2">
      <c r="A444" s="3538">
        <v>234</v>
      </c>
      <c r="B444" s="3542" t="s">
        <v>93</v>
      </c>
      <c r="C444" s="3541" t="s">
        <v>1293</v>
      </c>
      <c r="D444" s="3524">
        <v>400000000</v>
      </c>
      <c r="E444" s="3535">
        <f>F444/D444</f>
        <v>5.2499999999999998E-2</v>
      </c>
      <c r="F444" s="3524">
        <v>21000000</v>
      </c>
      <c r="G444" s="3524">
        <v>21000000</v>
      </c>
      <c r="H444" s="3524" t="s">
        <v>2019</v>
      </c>
      <c r="I444" s="3546" t="s">
        <v>506</v>
      </c>
      <c r="J444" s="3524">
        <f t="shared" si="43"/>
        <v>21000000</v>
      </c>
      <c r="K444" s="3493">
        <f t="shared" si="44"/>
        <v>0</v>
      </c>
      <c r="L444" s="3547"/>
    </row>
    <row r="445" spans="1:12" ht="30" customHeight="1" x14ac:dyDescent="0.2">
      <c r="A445" s="4459">
        <v>235</v>
      </c>
      <c r="B445" s="4457" t="s">
        <v>94</v>
      </c>
      <c r="C445" s="4620" t="s">
        <v>1172</v>
      </c>
      <c r="D445" s="4413">
        <v>60000000</v>
      </c>
      <c r="E445" s="4476">
        <v>0.05</v>
      </c>
      <c r="F445" s="4413">
        <f t="shared" si="36"/>
        <v>3000000</v>
      </c>
      <c r="G445" s="4322">
        <v>3000000</v>
      </c>
      <c r="H445" s="4322" t="s">
        <v>2019</v>
      </c>
      <c r="I445" s="4828" t="s">
        <v>4386</v>
      </c>
      <c r="J445" s="4413">
        <f t="shared" si="43"/>
        <v>3000000</v>
      </c>
      <c r="K445" s="4413">
        <f t="shared" si="44"/>
        <v>0</v>
      </c>
      <c r="L445" s="638"/>
    </row>
    <row r="446" spans="1:12" ht="30" customHeight="1" x14ac:dyDescent="0.2">
      <c r="A446" s="4464"/>
      <c r="B446" s="4458"/>
      <c r="C446" s="4620"/>
      <c r="D446" s="4415"/>
      <c r="E446" s="4477"/>
      <c r="F446" s="4415"/>
      <c r="G446" s="4322"/>
      <c r="H446" s="4322"/>
      <c r="I446" s="4829"/>
      <c r="J446" s="4415"/>
      <c r="K446" s="4415"/>
      <c r="L446" s="3548"/>
    </row>
    <row r="447" spans="1:12" ht="30" customHeight="1" x14ac:dyDescent="0.2">
      <c r="A447" s="3538">
        <v>236</v>
      </c>
      <c r="B447" s="3539" t="s">
        <v>95</v>
      </c>
      <c r="C447" s="3515"/>
      <c r="D447" s="3493">
        <v>20000000</v>
      </c>
      <c r="E447" s="3535">
        <v>0.05</v>
      </c>
      <c r="F447" s="3493">
        <f>D447*E447</f>
        <v>1000000</v>
      </c>
      <c r="G447" s="3493">
        <v>1000000</v>
      </c>
      <c r="H447" s="3493" t="s">
        <v>5643</v>
      </c>
      <c r="I447" s="3527" t="s">
        <v>334</v>
      </c>
      <c r="J447" s="3493">
        <f t="shared" si="43"/>
        <v>1000000</v>
      </c>
      <c r="K447" s="3493">
        <f t="shared" si="44"/>
        <v>0</v>
      </c>
      <c r="L447" s="2015"/>
    </row>
    <row r="448" spans="1:12" ht="30" customHeight="1" x14ac:dyDescent="0.2">
      <c r="A448" s="4459"/>
      <c r="B448" s="3502" t="s">
        <v>96</v>
      </c>
      <c r="C448" s="4537" t="s">
        <v>1718</v>
      </c>
      <c r="D448" s="3493">
        <v>55000000</v>
      </c>
      <c r="E448" s="3535">
        <v>0.05</v>
      </c>
      <c r="F448" s="3493">
        <f>D448*E448</f>
        <v>2750000</v>
      </c>
      <c r="G448" s="4413">
        <v>5250000</v>
      </c>
      <c r="H448" s="4413" t="s">
        <v>2019</v>
      </c>
      <c r="I448" s="4413" t="s">
        <v>4417</v>
      </c>
      <c r="J448" s="4413">
        <f>G448</f>
        <v>5250000</v>
      </c>
      <c r="K448" s="4413">
        <f>(F448+F449)-J448</f>
        <v>0</v>
      </c>
      <c r="L448" s="3505"/>
    </row>
    <row r="449" spans="1:14" ht="30" customHeight="1" x14ac:dyDescent="0.2">
      <c r="A449" s="4460"/>
      <c r="B449" s="3502" t="s">
        <v>2011</v>
      </c>
      <c r="C449" s="4538"/>
      <c r="D449" s="3493">
        <v>50000000</v>
      </c>
      <c r="E449" s="3535">
        <v>0.05</v>
      </c>
      <c r="F449" s="3493">
        <f>D449*E449</f>
        <v>2500000</v>
      </c>
      <c r="G449" s="4415"/>
      <c r="H449" s="4415"/>
      <c r="I449" s="4415"/>
      <c r="J449" s="4415"/>
      <c r="K449" s="4415"/>
      <c r="L449" s="3505"/>
    </row>
    <row r="450" spans="1:14" ht="30" customHeight="1" x14ac:dyDescent="0.2">
      <c r="A450" s="3497"/>
      <c r="B450" s="3502" t="s">
        <v>4009</v>
      </c>
      <c r="C450" s="3515" t="s">
        <v>262</v>
      </c>
      <c r="D450" s="3493">
        <v>10000000</v>
      </c>
      <c r="E450" s="3535">
        <v>0.05</v>
      </c>
      <c r="F450" s="3493">
        <f>D450*E450</f>
        <v>500000</v>
      </c>
      <c r="G450" s="3524">
        <v>500000</v>
      </c>
      <c r="H450" s="3524" t="s">
        <v>3978</v>
      </c>
      <c r="I450" s="3524" t="s">
        <v>5088</v>
      </c>
      <c r="J450" s="3524">
        <f>G450</f>
        <v>500000</v>
      </c>
      <c r="K450" s="3493">
        <f>F450-J450</f>
        <v>0</v>
      </c>
      <c r="L450" s="3505"/>
    </row>
    <row r="451" spans="1:14" ht="30" customHeight="1" x14ac:dyDescent="0.2">
      <c r="A451" s="3538">
        <v>238</v>
      </c>
      <c r="B451" s="3539" t="s">
        <v>97</v>
      </c>
      <c r="C451" s="3515" t="s">
        <v>1176</v>
      </c>
      <c r="D451" s="3493">
        <v>100000000</v>
      </c>
      <c r="E451" s="3535">
        <v>0.05</v>
      </c>
      <c r="F451" s="3493">
        <f t="shared" si="36"/>
        <v>5000000</v>
      </c>
      <c r="G451" s="3493">
        <v>5000000</v>
      </c>
      <c r="H451" s="3493" t="s">
        <v>2019</v>
      </c>
      <c r="I451" s="18" t="s">
        <v>3492</v>
      </c>
      <c r="J451" s="3493">
        <f t="shared" si="43"/>
        <v>5000000</v>
      </c>
      <c r="K451" s="3493">
        <f t="shared" si="44"/>
        <v>0</v>
      </c>
      <c r="L451" s="3539"/>
    </row>
    <row r="452" spans="1:14" ht="30" customHeight="1" x14ac:dyDescent="0.2">
      <c r="A452" s="3538">
        <v>239</v>
      </c>
      <c r="B452" s="3539" t="s">
        <v>98</v>
      </c>
      <c r="C452" s="3515" t="s">
        <v>372</v>
      </c>
      <c r="D452" s="3493">
        <v>50000000</v>
      </c>
      <c r="E452" s="3535">
        <v>0.05</v>
      </c>
      <c r="F452" s="3493">
        <f t="shared" si="36"/>
        <v>2500000</v>
      </c>
      <c r="G452" s="3493">
        <v>2500000</v>
      </c>
      <c r="H452" s="3493" t="s">
        <v>5593</v>
      </c>
      <c r="I452" s="3594" t="s">
        <v>348</v>
      </c>
      <c r="J452" s="3493">
        <f t="shared" si="43"/>
        <v>2500000</v>
      </c>
      <c r="K452" s="3493">
        <f t="shared" si="44"/>
        <v>0</v>
      </c>
      <c r="L452" s="3505"/>
    </row>
    <row r="453" spans="1:14" ht="30" customHeight="1" x14ac:dyDescent="0.2">
      <c r="A453" s="4207">
        <v>240</v>
      </c>
      <c r="B453" s="4293" t="s">
        <v>2274</v>
      </c>
      <c r="C453" s="4205" t="s">
        <v>990</v>
      </c>
      <c r="D453" s="4197">
        <v>100000000</v>
      </c>
      <c r="E453" s="4204">
        <v>0.04</v>
      </c>
      <c r="F453" s="4197">
        <f t="shared" si="36"/>
        <v>4000000</v>
      </c>
      <c r="G453" s="3493">
        <v>4000000</v>
      </c>
      <c r="H453" s="3493" t="s">
        <v>6007</v>
      </c>
      <c r="I453" s="3594" t="s">
        <v>5037</v>
      </c>
      <c r="J453" s="3493">
        <f t="shared" si="43"/>
        <v>4000000</v>
      </c>
      <c r="K453" s="3493">
        <f t="shared" si="44"/>
        <v>0</v>
      </c>
      <c r="L453" s="3573"/>
    </row>
    <row r="454" spans="1:14" ht="30" customHeight="1" x14ac:dyDescent="0.2">
      <c r="A454" s="4459">
        <v>241</v>
      </c>
      <c r="B454" s="4457" t="s">
        <v>559</v>
      </c>
      <c r="C454" s="4620" t="s">
        <v>1796</v>
      </c>
      <c r="D454" s="3524">
        <v>20000000</v>
      </c>
      <c r="E454" s="3535">
        <v>7.0000000000000007E-2</v>
      </c>
      <c r="F454" s="3524">
        <f>D454*E454</f>
        <v>1400000.0000000002</v>
      </c>
      <c r="G454" s="4413">
        <v>2300000</v>
      </c>
      <c r="H454" s="4413" t="s">
        <v>6007</v>
      </c>
      <c r="I454" s="4553" t="s">
        <v>557</v>
      </c>
      <c r="J454" s="4413">
        <f t="shared" si="43"/>
        <v>2300000</v>
      </c>
      <c r="K454" s="4413">
        <f>(F454+F455)-J454</f>
        <v>0</v>
      </c>
      <c r="L454" s="4839"/>
    </row>
    <row r="455" spans="1:14" ht="30" customHeight="1" x14ac:dyDescent="0.2">
      <c r="A455" s="4464"/>
      <c r="B455" s="4458"/>
      <c r="C455" s="4620"/>
      <c r="D455" s="3524">
        <v>10000000</v>
      </c>
      <c r="E455" s="3535">
        <v>0.09</v>
      </c>
      <c r="F455" s="3524">
        <f>D455*E455</f>
        <v>900000</v>
      </c>
      <c r="G455" s="4415"/>
      <c r="H455" s="4415"/>
      <c r="I455" s="4554"/>
      <c r="J455" s="4415"/>
      <c r="K455" s="4415"/>
      <c r="L455" s="4572"/>
    </row>
    <row r="456" spans="1:14" ht="30" customHeight="1" x14ac:dyDescent="0.2">
      <c r="A456" s="3538">
        <v>242</v>
      </c>
      <c r="B456" s="3539" t="s">
        <v>100</v>
      </c>
      <c r="C456" s="3515" t="s">
        <v>1652</v>
      </c>
      <c r="D456" s="3493">
        <v>140000000</v>
      </c>
      <c r="E456" s="3499">
        <v>4.4999999999999998E-2</v>
      </c>
      <c r="F456" s="3493">
        <f t="shared" si="36"/>
        <v>6300000</v>
      </c>
      <c r="G456" s="3493">
        <v>6300000</v>
      </c>
      <c r="H456" s="3493" t="s">
        <v>5348</v>
      </c>
      <c r="I456" s="3594" t="s">
        <v>3493</v>
      </c>
      <c r="J456" s="3493">
        <f>G456</f>
        <v>6300000</v>
      </c>
      <c r="K456" s="3493">
        <f t="shared" ref="K456:K462" si="45">F456-J456</f>
        <v>0</v>
      </c>
      <c r="L456" s="3573"/>
    </row>
    <row r="457" spans="1:14" ht="30" customHeight="1" x14ac:dyDescent="0.2">
      <c r="A457" s="3538">
        <v>243</v>
      </c>
      <c r="B457" s="19" t="s">
        <v>507</v>
      </c>
      <c r="C457" s="3541" t="s">
        <v>262</v>
      </c>
      <c r="D457" s="3524">
        <v>20000000</v>
      </c>
      <c r="E457" s="3535">
        <v>0.05</v>
      </c>
      <c r="F457" s="3524">
        <f>D457*E457</f>
        <v>1000000</v>
      </c>
      <c r="G457" s="3524">
        <v>1000000</v>
      </c>
      <c r="H457" s="3524" t="s">
        <v>5370</v>
      </c>
      <c r="I457" s="3524" t="s">
        <v>296</v>
      </c>
      <c r="J457" s="3524">
        <f>G457</f>
        <v>1000000</v>
      </c>
      <c r="K457" s="3524">
        <f t="shared" si="45"/>
        <v>0</v>
      </c>
      <c r="L457" s="3573"/>
      <c r="M457" s="248"/>
      <c r="N457" s="248"/>
    </row>
    <row r="458" spans="1:14" ht="30" customHeight="1" x14ac:dyDescent="0.2">
      <c r="A458" s="4459">
        <v>244</v>
      </c>
      <c r="B458" s="4457" t="s">
        <v>101</v>
      </c>
      <c r="C458" s="4537" t="s">
        <v>372</v>
      </c>
      <c r="D458" s="3493">
        <v>50000000</v>
      </c>
      <c r="E458" s="3535">
        <v>0.05</v>
      </c>
      <c r="F458" s="3493">
        <f t="shared" si="36"/>
        <v>2500000</v>
      </c>
      <c r="G458" s="4413">
        <v>3600000</v>
      </c>
      <c r="H458" s="4413" t="s">
        <v>3978</v>
      </c>
      <c r="I458" s="4478" t="s">
        <v>3530</v>
      </c>
      <c r="J458" s="4413">
        <f>G458</f>
        <v>3600000</v>
      </c>
      <c r="K458" s="4413">
        <f>F459-J458</f>
        <v>0</v>
      </c>
      <c r="L458" s="3539"/>
    </row>
    <row r="459" spans="1:14" ht="30" customHeight="1" x14ac:dyDescent="0.2">
      <c r="A459" s="4460"/>
      <c r="B459" s="4458"/>
      <c r="C459" s="4538"/>
      <c r="D459" s="3582">
        <v>60000000</v>
      </c>
      <c r="E459" s="897">
        <v>0.06</v>
      </c>
      <c r="F459" s="3582">
        <f t="shared" si="36"/>
        <v>3600000</v>
      </c>
      <c r="G459" s="4415"/>
      <c r="H459" s="4415"/>
      <c r="I459" s="4479"/>
      <c r="J459" s="4415"/>
      <c r="K459" s="4415"/>
      <c r="L459" s="1662" t="s">
        <v>5032</v>
      </c>
    </row>
    <row r="460" spans="1:14" ht="30" customHeight="1" x14ac:dyDescent="0.2">
      <c r="A460" s="3538">
        <v>245</v>
      </c>
      <c r="B460" s="3539" t="s">
        <v>4060</v>
      </c>
      <c r="C460" s="3515" t="s">
        <v>262</v>
      </c>
      <c r="D460" s="3493">
        <v>70000000</v>
      </c>
      <c r="E460" s="3535">
        <v>0.05</v>
      </c>
      <c r="F460" s="3493">
        <f t="shared" si="36"/>
        <v>3500000</v>
      </c>
      <c r="G460" s="3493">
        <v>3500000</v>
      </c>
      <c r="H460" s="3493" t="s">
        <v>5370</v>
      </c>
      <c r="I460" s="3530" t="s">
        <v>4066</v>
      </c>
      <c r="J460" s="3493">
        <f>G460</f>
        <v>3500000</v>
      </c>
      <c r="K460" s="3493">
        <f t="shared" si="45"/>
        <v>0</v>
      </c>
      <c r="L460" s="3567"/>
    </row>
    <row r="461" spans="1:14" ht="30" customHeight="1" x14ac:dyDescent="0.2">
      <c r="A461" s="3538">
        <v>246</v>
      </c>
      <c r="B461" s="3539" t="s">
        <v>103</v>
      </c>
      <c r="C461" s="3515" t="s">
        <v>262</v>
      </c>
      <c r="D461" s="3493">
        <v>85000000</v>
      </c>
      <c r="E461" s="3535">
        <v>5.0999999999999997E-2</v>
      </c>
      <c r="F461" s="3493">
        <v>4300000</v>
      </c>
      <c r="G461" s="3493">
        <v>4300000</v>
      </c>
      <c r="H461" s="3493" t="s">
        <v>3978</v>
      </c>
      <c r="I461" s="27" t="s">
        <v>2864</v>
      </c>
      <c r="J461" s="3493">
        <f t="shared" ref="J461:J479" si="46">G461</f>
        <v>4300000</v>
      </c>
      <c r="K461" s="3493">
        <f t="shared" si="45"/>
        <v>0</v>
      </c>
      <c r="L461" s="3539"/>
    </row>
    <row r="462" spans="1:14" ht="30" customHeight="1" x14ac:dyDescent="0.2">
      <c r="A462" s="3538">
        <v>247</v>
      </c>
      <c r="B462" s="3539" t="s">
        <v>104</v>
      </c>
      <c r="C462" s="3515" t="s">
        <v>262</v>
      </c>
      <c r="D462" s="3493">
        <v>220000000</v>
      </c>
      <c r="E462" s="3535">
        <v>7.0000000000000007E-2</v>
      </c>
      <c r="F462" s="3493">
        <f t="shared" si="36"/>
        <v>15400000.000000002</v>
      </c>
      <c r="G462" s="3493">
        <v>15400000</v>
      </c>
      <c r="H462" s="3493" t="s">
        <v>5370</v>
      </c>
      <c r="I462" s="3594" t="s">
        <v>4092</v>
      </c>
      <c r="J462" s="3493">
        <f t="shared" si="46"/>
        <v>15400000</v>
      </c>
      <c r="K462" s="3493">
        <f t="shared" si="45"/>
        <v>0</v>
      </c>
      <c r="L462" s="3573"/>
      <c r="M462" s="859"/>
      <c r="N462" s="860"/>
    </row>
    <row r="463" spans="1:14" ht="30" customHeight="1" x14ac:dyDescent="0.2">
      <c r="A463" s="4459">
        <v>250</v>
      </c>
      <c r="B463" s="4457" t="s">
        <v>107</v>
      </c>
      <c r="C463" s="4537"/>
      <c r="D463" s="3493">
        <v>200000000</v>
      </c>
      <c r="E463" s="3535">
        <v>0.04</v>
      </c>
      <c r="F463" s="3493">
        <f t="shared" si="36"/>
        <v>8000000</v>
      </c>
      <c r="G463" s="4413">
        <v>20500000</v>
      </c>
      <c r="H463" s="4413" t="s">
        <v>5370</v>
      </c>
      <c r="I463" s="4621" t="s">
        <v>1220</v>
      </c>
      <c r="J463" s="4413">
        <f t="shared" si="46"/>
        <v>20500000</v>
      </c>
      <c r="K463" s="4413">
        <f>(F463+F464)-J463</f>
        <v>0</v>
      </c>
      <c r="L463" s="3539"/>
    </row>
    <row r="464" spans="1:14" ht="30" customHeight="1" x14ac:dyDescent="0.2">
      <c r="A464" s="4460"/>
      <c r="B464" s="4458"/>
      <c r="C464" s="4538"/>
      <c r="D464" s="3493">
        <v>250000000</v>
      </c>
      <c r="E464" s="3535">
        <v>0.05</v>
      </c>
      <c r="F464" s="3493">
        <f t="shared" si="36"/>
        <v>12500000</v>
      </c>
      <c r="G464" s="4415"/>
      <c r="H464" s="4415"/>
      <c r="I464" s="4622"/>
      <c r="J464" s="4415"/>
      <c r="K464" s="4415"/>
      <c r="L464" s="3576"/>
    </row>
    <row r="465" spans="1:15" ht="30" customHeight="1" x14ac:dyDescent="0.2">
      <c r="A465" s="4459">
        <v>251</v>
      </c>
      <c r="B465" s="4457" t="s">
        <v>1830</v>
      </c>
      <c r="C465" s="4537" t="s">
        <v>371</v>
      </c>
      <c r="D465" s="3524">
        <v>90000000</v>
      </c>
      <c r="E465" s="3535">
        <v>0.06</v>
      </c>
      <c r="F465" s="3524">
        <f t="shared" si="36"/>
        <v>5400000</v>
      </c>
      <c r="G465" s="4322">
        <v>15200000</v>
      </c>
      <c r="H465" s="4322" t="s">
        <v>5370</v>
      </c>
      <c r="I465" s="4642" t="s">
        <v>5062</v>
      </c>
      <c r="J465" s="4322">
        <f t="shared" si="46"/>
        <v>15200000</v>
      </c>
      <c r="K465" s="4413">
        <f>(F465+F466+F467)-J465</f>
        <v>0</v>
      </c>
      <c r="L465" s="3576"/>
    </row>
    <row r="466" spans="1:15" ht="30" customHeight="1" x14ac:dyDescent="0.2">
      <c r="A466" s="4464"/>
      <c r="B466" s="4488"/>
      <c r="C466" s="4540"/>
      <c r="D466" s="3524">
        <v>100000000</v>
      </c>
      <c r="E466" s="3535">
        <v>7.0000000000000007E-2</v>
      </c>
      <c r="F466" s="3524">
        <f t="shared" si="36"/>
        <v>7000000.0000000009</v>
      </c>
      <c r="G466" s="4322"/>
      <c r="H466" s="4322"/>
      <c r="I466" s="4642"/>
      <c r="J466" s="4322"/>
      <c r="K466" s="4414"/>
      <c r="L466" s="3557"/>
    </row>
    <row r="467" spans="1:15" ht="30" customHeight="1" x14ac:dyDescent="0.2">
      <c r="A467" s="4460"/>
      <c r="B467" s="4458"/>
      <c r="C467" s="4538"/>
      <c r="D467" s="3493">
        <v>40000000</v>
      </c>
      <c r="E467" s="3499">
        <v>7.0000000000000007E-2</v>
      </c>
      <c r="F467" s="3493">
        <f t="shared" si="36"/>
        <v>2800000.0000000005</v>
      </c>
      <c r="G467" s="4322"/>
      <c r="H467" s="4322"/>
      <c r="I467" s="4642"/>
      <c r="J467" s="4322"/>
      <c r="K467" s="4415"/>
      <c r="L467" s="3557" t="s">
        <v>4647</v>
      </c>
    </row>
    <row r="468" spans="1:15" ht="30" customHeight="1" x14ac:dyDescent="0.2">
      <c r="A468" s="4459"/>
      <c r="B468" s="4457" t="s">
        <v>4607</v>
      </c>
      <c r="C468" s="4537" t="s">
        <v>1293</v>
      </c>
      <c r="D468" s="3493">
        <v>150000000</v>
      </c>
      <c r="E468" s="3499">
        <v>0.06</v>
      </c>
      <c r="F468" s="3493">
        <f t="shared" si="36"/>
        <v>9000000</v>
      </c>
      <c r="G468" s="3524"/>
      <c r="H468" s="3524"/>
      <c r="I468" s="3546" t="s">
        <v>4874</v>
      </c>
      <c r="J468" s="3524">
        <f>G468</f>
        <v>0</v>
      </c>
      <c r="K468" s="3493">
        <f>F468-J468</f>
        <v>9000000</v>
      </c>
      <c r="L468" s="3557" t="s">
        <v>4608</v>
      </c>
    </row>
    <row r="469" spans="1:15" ht="30" customHeight="1" x14ac:dyDescent="0.2">
      <c r="A469" s="4460"/>
      <c r="B469" s="4458"/>
      <c r="C469" s="4538"/>
      <c r="D469" s="3493">
        <v>90000000</v>
      </c>
      <c r="E469" s="3499"/>
      <c r="F469" s="3493"/>
      <c r="G469" s="3491"/>
      <c r="H469" s="3491"/>
      <c r="I469" s="3500"/>
      <c r="J469" s="3491"/>
      <c r="K469" s="3492"/>
      <c r="L469" s="3557"/>
    </row>
    <row r="470" spans="1:15" ht="30" customHeight="1" x14ac:dyDescent="0.2">
      <c r="A470" s="4459"/>
      <c r="B470" s="4615" t="s">
        <v>4611</v>
      </c>
      <c r="C470" s="4537" t="s">
        <v>1176</v>
      </c>
      <c r="D470" s="3493">
        <v>165000000</v>
      </c>
      <c r="E470" s="3499">
        <v>0.06</v>
      </c>
      <c r="F470" s="3493">
        <f t="shared" si="36"/>
        <v>9900000</v>
      </c>
      <c r="G470" s="4413">
        <v>16200000</v>
      </c>
      <c r="H470" s="4413" t="s">
        <v>5370</v>
      </c>
      <c r="I470" s="4478" t="s">
        <v>1810</v>
      </c>
      <c r="J470" s="4413">
        <f>G470</f>
        <v>16200000</v>
      </c>
      <c r="K470" s="4413">
        <f>(F470+F471)-J470</f>
        <v>0</v>
      </c>
      <c r="L470" s="3557" t="s">
        <v>4953</v>
      </c>
    </row>
    <row r="471" spans="1:15" ht="30" customHeight="1" x14ac:dyDescent="0.2">
      <c r="A471" s="4464"/>
      <c r="B471" s="4615"/>
      <c r="C471" s="4540"/>
      <c r="D471" s="3493">
        <v>105000000</v>
      </c>
      <c r="E471" s="3499">
        <v>0.06</v>
      </c>
      <c r="F471" s="3493">
        <f t="shared" si="36"/>
        <v>6300000</v>
      </c>
      <c r="G471" s="4415"/>
      <c r="H471" s="4415"/>
      <c r="I471" s="4479"/>
      <c r="J471" s="4415"/>
      <c r="K471" s="4415"/>
      <c r="L471" s="3557" t="s">
        <v>4954</v>
      </c>
    </row>
    <row r="472" spans="1:15" ht="30" customHeight="1" x14ac:dyDescent="0.2">
      <c r="A472" s="4464"/>
      <c r="B472" s="4615"/>
      <c r="C472" s="4538"/>
      <c r="D472" s="3920">
        <v>30000000</v>
      </c>
      <c r="E472" s="3922">
        <v>0.06</v>
      </c>
      <c r="F472" s="3920">
        <f t="shared" si="36"/>
        <v>1800000</v>
      </c>
      <c r="G472" s="3920"/>
      <c r="H472" s="3920"/>
      <c r="I472" s="3923"/>
      <c r="J472" s="3920"/>
      <c r="K472" s="3919"/>
      <c r="L472" s="3931" t="s">
        <v>5667</v>
      </c>
    </row>
    <row r="473" spans="1:15" ht="30" customHeight="1" x14ac:dyDescent="0.2">
      <c r="A473" s="3664"/>
      <c r="B473" s="3666" t="s">
        <v>5422</v>
      </c>
      <c r="C473" s="3672"/>
      <c r="D473" s="3669"/>
      <c r="E473" s="3671"/>
      <c r="F473" s="3669"/>
      <c r="G473" s="3659">
        <v>14400000</v>
      </c>
      <c r="H473" s="3659" t="s">
        <v>1527</v>
      </c>
      <c r="I473" s="3662" t="s">
        <v>5423</v>
      </c>
      <c r="J473" s="3659">
        <f>G473</f>
        <v>14400000</v>
      </c>
      <c r="K473" s="3670">
        <f>F473-J473</f>
        <v>-14400000</v>
      </c>
      <c r="L473" s="3681"/>
    </row>
    <row r="474" spans="1:15" ht="30" customHeight="1" x14ac:dyDescent="0.2">
      <c r="A474" s="4459"/>
      <c r="B474" s="4457" t="s">
        <v>4895</v>
      </c>
      <c r="C474" s="4537" t="s">
        <v>1293</v>
      </c>
      <c r="D474" s="3493">
        <v>300000000</v>
      </c>
      <c r="E474" s="3499">
        <v>0.06</v>
      </c>
      <c r="F474" s="3493">
        <f>D474*E474</f>
        <v>18000000</v>
      </c>
      <c r="G474" s="4413">
        <v>19500000</v>
      </c>
      <c r="H474" s="4413" t="s">
        <v>1649</v>
      </c>
      <c r="I474" s="4478" t="s">
        <v>4896</v>
      </c>
      <c r="J474" s="4413">
        <f>G474</f>
        <v>19500000</v>
      </c>
      <c r="K474" s="4413"/>
      <c r="L474" s="3557" t="s">
        <v>4897</v>
      </c>
    </row>
    <row r="475" spans="1:15" ht="30" customHeight="1" x14ac:dyDescent="0.2">
      <c r="A475" s="4464"/>
      <c r="B475" s="4488"/>
      <c r="C475" s="4540"/>
      <c r="D475" s="3493">
        <v>50000000</v>
      </c>
      <c r="E475" s="3499">
        <v>0.06</v>
      </c>
      <c r="F475" s="3493">
        <f>D475*E475</f>
        <v>3000000</v>
      </c>
      <c r="G475" s="4414"/>
      <c r="H475" s="4414"/>
      <c r="I475" s="4520"/>
      <c r="J475" s="4414"/>
      <c r="K475" s="4414"/>
      <c r="L475" s="3557" t="s">
        <v>5139</v>
      </c>
    </row>
    <row r="476" spans="1:15" ht="30" customHeight="1" x14ac:dyDescent="0.2">
      <c r="A476" s="4460"/>
      <c r="B476" s="4458"/>
      <c r="C476" s="4538"/>
      <c r="D476" s="3582">
        <f>350000000</f>
        <v>350000000</v>
      </c>
      <c r="E476" s="3584">
        <v>0.06</v>
      </c>
      <c r="F476" s="3582">
        <f>D476*E476</f>
        <v>21000000</v>
      </c>
      <c r="G476" s="4415"/>
      <c r="H476" s="4415"/>
      <c r="I476" s="4479"/>
      <c r="J476" s="4415"/>
      <c r="K476" s="4415"/>
      <c r="L476" s="3557"/>
    </row>
    <row r="477" spans="1:15" ht="30" customHeight="1" x14ac:dyDescent="0.2">
      <c r="A477" s="4459">
        <v>252</v>
      </c>
      <c r="B477" s="4457" t="s">
        <v>109</v>
      </c>
      <c r="C477" s="4537" t="s">
        <v>262</v>
      </c>
      <c r="D477" s="3493">
        <v>270000000</v>
      </c>
      <c r="E477" s="3499">
        <v>0.05</v>
      </c>
      <c r="F477" s="3493">
        <f>D477*E477</f>
        <v>13500000</v>
      </c>
      <c r="G477" s="4413">
        <v>17000000</v>
      </c>
      <c r="H477" s="4413" t="s">
        <v>5370</v>
      </c>
      <c r="I477" s="4478" t="s">
        <v>1810</v>
      </c>
      <c r="J477" s="4975">
        <f>G477</f>
        <v>17000000</v>
      </c>
      <c r="K477" s="4413">
        <f>(F477+F478)-J477</f>
        <v>0</v>
      </c>
      <c r="L477" s="3576" t="s">
        <v>4427</v>
      </c>
    </row>
    <row r="478" spans="1:15" ht="30" customHeight="1" x14ac:dyDescent="0.2">
      <c r="A478" s="4460"/>
      <c r="B478" s="4458"/>
      <c r="C478" s="4538"/>
      <c r="D478" s="3493">
        <v>70000000</v>
      </c>
      <c r="E478" s="3499">
        <v>0.05</v>
      </c>
      <c r="F478" s="3493">
        <f>D478*E478</f>
        <v>3500000</v>
      </c>
      <c r="G478" s="4415"/>
      <c r="H478" s="4415"/>
      <c r="I478" s="4479"/>
      <c r="J478" s="4479"/>
      <c r="K478" s="4415"/>
      <c r="L478" s="3576" t="s">
        <v>4426</v>
      </c>
    </row>
    <row r="479" spans="1:15" ht="30" customHeight="1" x14ac:dyDescent="0.2">
      <c r="A479" s="4614">
        <v>253</v>
      </c>
      <c r="B479" s="4457" t="s">
        <v>110</v>
      </c>
      <c r="C479" s="4537" t="s">
        <v>262</v>
      </c>
      <c r="D479" s="3493">
        <v>20000000</v>
      </c>
      <c r="E479" s="3535">
        <v>0.05</v>
      </c>
      <c r="F479" s="3493">
        <f t="shared" si="36"/>
        <v>1000000</v>
      </c>
      <c r="G479" s="4322">
        <v>2334000</v>
      </c>
      <c r="H479" s="4322" t="s">
        <v>1879</v>
      </c>
      <c r="I479" s="4771" t="s">
        <v>810</v>
      </c>
      <c r="J479" s="4322">
        <f t="shared" si="46"/>
        <v>2334000</v>
      </c>
      <c r="K479" s="4322"/>
      <c r="L479" s="3811"/>
      <c r="M479" s="1176"/>
      <c r="N479" s="1176"/>
      <c r="O479" s="1176"/>
    </row>
    <row r="480" spans="1:15" ht="30" customHeight="1" x14ac:dyDescent="0.2">
      <c r="A480" s="4614"/>
      <c r="B480" s="4488"/>
      <c r="C480" s="4540"/>
      <c r="D480" s="3493">
        <v>20000000</v>
      </c>
      <c r="E480" s="3535">
        <v>0.05</v>
      </c>
      <c r="F480" s="3493">
        <f t="shared" si="36"/>
        <v>1000000</v>
      </c>
      <c r="G480" s="4322"/>
      <c r="H480" s="4322"/>
      <c r="I480" s="4771"/>
      <c r="J480" s="4322"/>
      <c r="K480" s="4322"/>
      <c r="L480" s="3835" t="s">
        <v>5912</v>
      </c>
      <c r="M480" s="248"/>
      <c r="N480" s="248"/>
      <c r="O480" s="248"/>
    </row>
    <row r="481" spans="1:15" ht="30" customHeight="1" x14ac:dyDescent="0.2">
      <c r="A481" s="4614"/>
      <c r="B481" s="4458"/>
      <c r="C481" s="4538"/>
      <c r="D481" s="3493">
        <v>20000000</v>
      </c>
      <c r="E481" s="3535">
        <v>0.05</v>
      </c>
      <c r="F481" s="3493">
        <f t="shared" si="36"/>
        <v>1000000</v>
      </c>
      <c r="G481" s="4322"/>
      <c r="H481" s="4322"/>
      <c r="I481" s="4771"/>
      <c r="J481" s="4322"/>
      <c r="K481" s="4322"/>
      <c r="L481" s="3812" t="s">
        <v>5338</v>
      </c>
      <c r="M481" s="248"/>
      <c r="N481" s="248"/>
      <c r="O481" s="248"/>
    </row>
    <row r="482" spans="1:15" ht="30" customHeight="1" x14ac:dyDescent="0.2">
      <c r="A482" s="4464"/>
      <c r="B482" s="4457" t="s">
        <v>1893</v>
      </c>
      <c r="C482" s="4537" t="s">
        <v>371</v>
      </c>
      <c r="D482" s="3493">
        <v>175000000</v>
      </c>
      <c r="E482" s="3535">
        <v>0.06</v>
      </c>
      <c r="F482" s="3493">
        <f t="shared" si="36"/>
        <v>10500000</v>
      </c>
      <c r="G482" s="4413">
        <v>15900000</v>
      </c>
      <c r="H482" s="4413" t="s">
        <v>1879</v>
      </c>
      <c r="I482" s="4413" t="s">
        <v>2946</v>
      </c>
      <c r="J482" s="4413">
        <f>G482</f>
        <v>15900000</v>
      </c>
      <c r="K482" s="4413">
        <f>(F482+F483)-J482</f>
        <v>0</v>
      </c>
      <c r="L482" s="3811"/>
      <c r="M482" s="248"/>
      <c r="N482" s="248"/>
      <c r="O482" s="248"/>
    </row>
    <row r="483" spans="1:15" ht="30" customHeight="1" x14ac:dyDescent="0.2">
      <c r="A483" s="4464"/>
      <c r="B483" s="4488"/>
      <c r="C483" s="4540"/>
      <c r="D483" s="3493">
        <v>90000000</v>
      </c>
      <c r="E483" s="3535">
        <v>0.06</v>
      </c>
      <c r="F483" s="3493">
        <f t="shared" si="36"/>
        <v>5400000</v>
      </c>
      <c r="G483" s="4415"/>
      <c r="H483" s="4415"/>
      <c r="I483" s="4415"/>
      <c r="J483" s="4415"/>
      <c r="K483" s="4415"/>
      <c r="L483" s="3812" t="s">
        <v>5086</v>
      </c>
      <c r="M483" s="248"/>
      <c r="N483" s="248"/>
      <c r="O483" s="248"/>
    </row>
    <row r="484" spans="1:15" ht="30" customHeight="1" x14ac:dyDescent="0.2">
      <c r="A484" s="3438">
        <v>255</v>
      </c>
      <c r="B484" s="2553" t="s">
        <v>112</v>
      </c>
      <c r="C484" s="3033" t="s">
        <v>262</v>
      </c>
      <c r="D484" s="3856">
        <v>40000000</v>
      </c>
      <c r="E484" s="2551">
        <v>0.05</v>
      </c>
      <c r="F484" s="3856">
        <f t="shared" si="36"/>
        <v>2000000</v>
      </c>
      <c r="G484" s="3856">
        <v>42000000</v>
      </c>
      <c r="H484" s="3856" t="s">
        <v>5593</v>
      </c>
      <c r="I484" s="3857" t="s">
        <v>5615</v>
      </c>
      <c r="J484" s="3856">
        <f>G484</f>
        <v>42000000</v>
      </c>
      <c r="K484" s="3856">
        <f>F484-J484</f>
        <v>-40000000</v>
      </c>
      <c r="L484" s="3858" t="s">
        <v>5585</v>
      </c>
    </row>
    <row r="485" spans="1:15" ht="30" customHeight="1" x14ac:dyDescent="0.2">
      <c r="A485" s="4459">
        <v>256</v>
      </c>
      <c r="B485" s="4457" t="s">
        <v>113</v>
      </c>
      <c r="C485" s="3515" t="s">
        <v>371</v>
      </c>
      <c r="D485" s="3493">
        <v>100000000</v>
      </c>
      <c r="E485" s="3535">
        <v>0.05</v>
      </c>
      <c r="F485" s="3493">
        <f t="shared" si="36"/>
        <v>5000000</v>
      </c>
      <c r="G485" s="3493">
        <v>5000000</v>
      </c>
      <c r="H485" s="3493" t="s">
        <v>1879</v>
      </c>
      <c r="I485" s="18" t="s">
        <v>4455</v>
      </c>
      <c r="J485" s="3493">
        <f>G485</f>
        <v>5000000</v>
      </c>
      <c r="K485" s="3493">
        <f>F485-J485</f>
        <v>0</v>
      </c>
      <c r="L485" s="3539"/>
    </row>
    <row r="486" spans="1:15" ht="30" customHeight="1" x14ac:dyDescent="0.2">
      <c r="A486" s="4460"/>
      <c r="B486" s="4458"/>
      <c r="C486" s="4237"/>
      <c r="D486" s="4220">
        <v>150000000</v>
      </c>
      <c r="E486" s="4241"/>
      <c r="F486" s="4220"/>
      <c r="G486" s="4469" t="s">
        <v>6096</v>
      </c>
      <c r="H486" s="4470"/>
      <c r="I486" s="4470"/>
      <c r="J486" s="4471"/>
      <c r="K486" s="4220"/>
      <c r="L486" s="4244"/>
    </row>
    <row r="487" spans="1:15" ht="30" customHeight="1" x14ac:dyDescent="0.2">
      <c r="A487" s="3538">
        <v>257</v>
      </c>
      <c r="B487" s="3539" t="s">
        <v>114</v>
      </c>
      <c r="C487" s="3515" t="s">
        <v>1292</v>
      </c>
      <c r="D487" s="3493">
        <v>30000000</v>
      </c>
      <c r="E487" s="3535">
        <v>0.05</v>
      </c>
      <c r="F487" s="3493">
        <f t="shared" si="36"/>
        <v>1500000</v>
      </c>
      <c r="G487" s="3493">
        <v>1500000</v>
      </c>
      <c r="H487" s="3493" t="s">
        <v>1879</v>
      </c>
      <c r="I487" s="3594" t="s">
        <v>482</v>
      </c>
      <c r="J487" s="3493">
        <f>G487</f>
        <v>1500000</v>
      </c>
      <c r="K487" s="3493">
        <f>F487-J487</f>
        <v>0</v>
      </c>
      <c r="L487" s="3539"/>
    </row>
    <row r="488" spans="1:15" ht="30" customHeight="1" x14ac:dyDescent="0.2">
      <c r="A488" s="3538">
        <v>258</v>
      </c>
      <c r="B488" s="3539" t="s">
        <v>849</v>
      </c>
      <c r="C488" s="3515" t="s">
        <v>262</v>
      </c>
      <c r="D488" s="3493">
        <v>12000000</v>
      </c>
      <c r="E488" s="3535">
        <v>0.05</v>
      </c>
      <c r="F488" s="3493">
        <f t="shared" si="36"/>
        <v>600000</v>
      </c>
      <c r="G488" s="4413">
        <v>1600000</v>
      </c>
      <c r="H488" s="4413" t="s">
        <v>3978</v>
      </c>
      <c r="I488" s="4553" t="s">
        <v>475</v>
      </c>
      <c r="J488" s="4413">
        <f>G488</f>
        <v>1600000</v>
      </c>
      <c r="K488" s="4413">
        <f>(F488+F489)-J488</f>
        <v>0</v>
      </c>
      <c r="L488" s="4599"/>
    </row>
    <row r="489" spans="1:15" ht="30" customHeight="1" x14ac:dyDescent="0.2">
      <c r="A489" s="3538">
        <v>259</v>
      </c>
      <c r="B489" s="3539" t="s">
        <v>156</v>
      </c>
      <c r="C489" s="3515" t="s">
        <v>262</v>
      </c>
      <c r="D489" s="3493">
        <v>20000000</v>
      </c>
      <c r="E489" s="3535">
        <v>0.05</v>
      </c>
      <c r="F489" s="3493">
        <f>D489*E489</f>
        <v>1000000</v>
      </c>
      <c r="G489" s="4415"/>
      <c r="H489" s="4415"/>
      <c r="I489" s="4554"/>
      <c r="J489" s="4415"/>
      <c r="K489" s="4415"/>
      <c r="L489" s="4607"/>
    </row>
    <row r="490" spans="1:15" ht="30" customHeight="1" x14ac:dyDescent="0.2">
      <c r="A490" s="4459">
        <v>261</v>
      </c>
      <c r="B490" s="4457" t="s">
        <v>117</v>
      </c>
      <c r="C490" s="3515" t="s">
        <v>1300</v>
      </c>
      <c r="D490" s="3493">
        <v>10500000</v>
      </c>
      <c r="E490" s="3535">
        <v>0.05</v>
      </c>
      <c r="F490" s="3493">
        <f t="shared" si="36"/>
        <v>525000</v>
      </c>
      <c r="G490" s="4413">
        <v>1575000</v>
      </c>
      <c r="H490" s="4413" t="s">
        <v>5343</v>
      </c>
      <c r="I490" s="4553" t="s">
        <v>414</v>
      </c>
      <c r="J490" s="4413">
        <f t="shared" ref="J490:J495" si="47">G490</f>
        <v>1575000</v>
      </c>
      <c r="K490" s="4413">
        <v>0</v>
      </c>
      <c r="L490" s="4680" t="s">
        <v>4907</v>
      </c>
    </row>
    <row r="491" spans="1:15" ht="30" customHeight="1" x14ac:dyDescent="0.2">
      <c r="A491" s="4464"/>
      <c r="B491" s="4488"/>
      <c r="C491" s="4537" t="s">
        <v>3323</v>
      </c>
      <c r="D491" s="3493">
        <v>10000000</v>
      </c>
      <c r="E491" s="3535">
        <v>7.0000000000000007E-2</v>
      </c>
      <c r="F491" s="3493">
        <f>D491*E491</f>
        <v>700000.00000000012</v>
      </c>
      <c r="G491" s="4414"/>
      <c r="H491" s="4414"/>
      <c r="I491" s="4950"/>
      <c r="J491" s="4414"/>
      <c r="K491" s="4414"/>
      <c r="L491" s="4974"/>
    </row>
    <row r="492" spans="1:15" ht="30" customHeight="1" x14ac:dyDescent="0.2">
      <c r="A492" s="4464"/>
      <c r="B492" s="4488"/>
      <c r="C492" s="4540"/>
      <c r="D492" s="3493">
        <v>5000000</v>
      </c>
      <c r="E492" s="3535">
        <v>7.0000000000000007E-2</v>
      </c>
      <c r="F492" s="3493">
        <f>D492*E492</f>
        <v>350000.00000000006</v>
      </c>
      <c r="G492" s="4414"/>
      <c r="H492" s="4414"/>
      <c r="I492" s="4950"/>
      <c r="J492" s="4414"/>
      <c r="K492" s="4414"/>
      <c r="L492" s="4974"/>
    </row>
    <row r="493" spans="1:15" ht="30" customHeight="1" x14ac:dyDescent="0.2">
      <c r="A493" s="4460"/>
      <c r="B493" s="3506"/>
      <c r="C493" s="4538"/>
      <c r="D493" s="3582">
        <v>25500000</v>
      </c>
      <c r="E493" s="897"/>
      <c r="F493" s="3582">
        <f>SUM(F490:F492)</f>
        <v>1575000</v>
      </c>
      <c r="G493" s="4415"/>
      <c r="H493" s="4415"/>
      <c r="I493" s="4554"/>
      <c r="J493" s="4415"/>
      <c r="K493" s="4415"/>
      <c r="L493" s="3558"/>
    </row>
    <row r="494" spans="1:15" ht="30" customHeight="1" x14ac:dyDescent="0.2">
      <c r="A494" s="3538">
        <v>263</v>
      </c>
      <c r="B494" s="19" t="s">
        <v>572</v>
      </c>
      <c r="C494" s="3541" t="s">
        <v>1300</v>
      </c>
      <c r="D494" s="3524">
        <v>105000000</v>
      </c>
      <c r="E494" s="3535">
        <v>5.8000000000000003E-2</v>
      </c>
      <c r="F494" s="3524">
        <v>6000000</v>
      </c>
      <c r="G494" s="3524">
        <v>6000000</v>
      </c>
      <c r="H494" s="3524" t="s">
        <v>5604</v>
      </c>
      <c r="I494" s="3524" t="s">
        <v>4143</v>
      </c>
      <c r="J494" s="3524">
        <f t="shared" si="47"/>
        <v>6000000</v>
      </c>
      <c r="K494" s="3524">
        <f>F494-J494</f>
        <v>0</v>
      </c>
      <c r="L494" s="3551"/>
    </row>
    <row r="495" spans="1:15" ht="30" customHeight="1" x14ac:dyDescent="0.2">
      <c r="A495" s="3497">
        <v>264</v>
      </c>
      <c r="B495" s="3502" t="s">
        <v>119</v>
      </c>
      <c r="C495" s="3515" t="s">
        <v>262</v>
      </c>
      <c r="D495" s="3493">
        <v>50000000</v>
      </c>
      <c r="E495" s="3499">
        <f>F495/D495</f>
        <v>0.06</v>
      </c>
      <c r="F495" s="3493">
        <v>3000000</v>
      </c>
      <c r="G495" s="3493">
        <v>3000000</v>
      </c>
      <c r="H495" s="3524" t="s">
        <v>3978</v>
      </c>
      <c r="I495" s="3524" t="s">
        <v>3563</v>
      </c>
      <c r="J495" s="3493">
        <f t="shared" si="47"/>
        <v>3000000</v>
      </c>
      <c r="K495" s="3493">
        <f>F495-J495</f>
        <v>0</v>
      </c>
      <c r="L495" s="3576"/>
    </row>
    <row r="496" spans="1:15" ht="30" customHeight="1" x14ac:dyDescent="0.2">
      <c r="A496" s="1029">
        <v>265</v>
      </c>
      <c r="B496" s="19" t="s">
        <v>121</v>
      </c>
      <c r="C496" s="3541" t="s">
        <v>262</v>
      </c>
      <c r="D496" s="3524">
        <v>1000000000</v>
      </c>
      <c r="E496" s="3535">
        <v>7.0000000000000007E-2</v>
      </c>
      <c r="F496" s="3524">
        <f>D496*E496</f>
        <v>70000000</v>
      </c>
      <c r="G496" s="3524">
        <v>20000000</v>
      </c>
      <c r="H496" s="3524" t="s">
        <v>5370</v>
      </c>
      <c r="I496" s="3524" t="s">
        <v>3290</v>
      </c>
      <c r="J496" s="3524">
        <f>G496</f>
        <v>20000000</v>
      </c>
      <c r="K496" s="3524">
        <f>F496-J496</f>
        <v>50000000</v>
      </c>
      <c r="L496" s="3551" t="s">
        <v>5569</v>
      </c>
    </row>
    <row r="497" spans="1:15" ht="30" customHeight="1" x14ac:dyDescent="0.2">
      <c r="A497" s="3538">
        <v>266</v>
      </c>
      <c r="B497" s="3502" t="s">
        <v>1918</v>
      </c>
      <c r="C497" s="3515" t="s">
        <v>371</v>
      </c>
      <c r="D497" s="3493">
        <v>80000000</v>
      </c>
      <c r="E497" s="3499">
        <v>4.4999999999999998E-2</v>
      </c>
      <c r="F497" s="3493">
        <f t="shared" ref="F497:F596" si="48">D497*E497</f>
        <v>3600000</v>
      </c>
      <c r="G497" s="3493">
        <v>3600000</v>
      </c>
      <c r="H497" s="3493" t="s">
        <v>5593</v>
      </c>
      <c r="I497" s="18" t="s">
        <v>4067</v>
      </c>
      <c r="J497" s="3493">
        <f>G497</f>
        <v>3600000</v>
      </c>
      <c r="K497" s="3493">
        <f>F497-J497</f>
        <v>0</v>
      </c>
      <c r="L497" s="3539"/>
    </row>
    <row r="498" spans="1:15" ht="30" customHeight="1" x14ac:dyDescent="0.2">
      <c r="A498" s="4459">
        <v>267</v>
      </c>
      <c r="B498" s="4457" t="s">
        <v>497</v>
      </c>
      <c r="C498" s="4537" t="s">
        <v>371</v>
      </c>
      <c r="D498" s="4413">
        <v>300000000</v>
      </c>
      <c r="E498" s="4476">
        <v>0.04</v>
      </c>
      <c r="F498" s="4413">
        <f>D498*E498</f>
        <v>12000000</v>
      </c>
      <c r="G498" s="4413">
        <v>12000000</v>
      </c>
      <c r="H498" s="4413" t="s">
        <v>1879</v>
      </c>
      <c r="I498" s="4413" t="s">
        <v>3579</v>
      </c>
      <c r="J498" s="4413">
        <f>G498</f>
        <v>12000000</v>
      </c>
      <c r="K498" s="4413">
        <f>F498-J498</f>
        <v>0</v>
      </c>
      <c r="L498" s="3551" t="s">
        <v>2891</v>
      </c>
    </row>
    <row r="499" spans="1:15" ht="30" customHeight="1" x14ac:dyDescent="0.2">
      <c r="A499" s="4460"/>
      <c r="B499" s="4458"/>
      <c r="C499" s="4538"/>
      <c r="D499" s="4415"/>
      <c r="E499" s="4477"/>
      <c r="F499" s="4415"/>
      <c r="G499" s="4415"/>
      <c r="H499" s="4415"/>
      <c r="I499" s="4415"/>
      <c r="J499" s="4415"/>
      <c r="K499" s="4415"/>
      <c r="L499" s="3551" t="s">
        <v>3380</v>
      </c>
    </row>
    <row r="500" spans="1:15" ht="30" customHeight="1" x14ac:dyDescent="0.2">
      <c r="A500" s="3538">
        <v>268</v>
      </c>
      <c r="B500" s="3539" t="s">
        <v>391</v>
      </c>
      <c r="C500" s="3515" t="s">
        <v>392</v>
      </c>
      <c r="D500" s="3493">
        <v>130000000</v>
      </c>
      <c r="E500" s="3535">
        <v>4.4999999999999998E-2</v>
      </c>
      <c r="F500" s="3493">
        <f t="shared" si="48"/>
        <v>5850000</v>
      </c>
      <c r="G500" s="3493">
        <v>5850000</v>
      </c>
      <c r="H500" s="3493" t="s">
        <v>5437</v>
      </c>
      <c r="I500" s="18" t="s">
        <v>3518</v>
      </c>
      <c r="J500" s="3493">
        <f>G500</f>
        <v>5850000</v>
      </c>
      <c r="K500" s="3493">
        <f>F500-J500</f>
        <v>0</v>
      </c>
      <c r="L500" s="3539"/>
    </row>
    <row r="501" spans="1:15" ht="30" customHeight="1" x14ac:dyDescent="0.2">
      <c r="A501" s="3496">
        <v>269</v>
      </c>
      <c r="B501" s="3542" t="s">
        <v>123</v>
      </c>
      <c r="C501" s="3541" t="s">
        <v>262</v>
      </c>
      <c r="D501" s="3493">
        <v>500000000</v>
      </c>
      <c r="E501" s="3535">
        <v>0.06</v>
      </c>
      <c r="F501" s="3493">
        <f t="shared" si="48"/>
        <v>30000000</v>
      </c>
      <c r="G501" s="3493">
        <v>30000000</v>
      </c>
      <c r="H501" s="3493" t="s">
        <v>1879</v>
      </c>
      <c r="I501" s="18" t="s">
        <v>3546</v>
      </c>
      <c r="J501" s="3493">
        <f>G501</f>
        <v>30000000</v>
      </c>
      <c r="K501" s="3493">
        <f>F501-J501</f>
        <v>0</v>
      </c>
      <c r="L501" s="3539"/>
    </row>
    <row r="502" spans="1:15" ht="30" customHeight="1" x14ac:dyDescent="0.2">
      <c r="A502" s="3538">
        <v>270</v>
      </c>
      <c r="B502" s="3539" t="s">
        <v>124</v>
      </c>
      <c r="C502" s="3515"/>
      <c r="D502" s="3493">
        <v>20000000</v>
      </c>
      <c r="E502" s="3535">
        <v>5.5E-2</v>
      </c>
      <c r="F502" s="3493">
        <f t="shared" si="48"/>
        <v>1100000</v>
      </c>
      <c r="G502" s="3493">
        <v>1100000</v>
      </c>
      <c r="H502" s="3493" t="s">
        <v>5604</v>
      </c>
      <c r="I502" s="3594" t="s">
        <v>492</v>
      </c>
      <c r="J502" s="3493">
        <f>G502</f>
        <v>1100000</v>
      </c>
      <c r="K502" s="3493">
        <f>F502-J502</f>
        <v>0</v>
      </c>
      <c r="L502" s="3573"/>
    </row>
    <row r="503" spans="1:15" ht="30" customHeight="1" x14ac:dyDescent="0.2">
      <c r="A503" s="4459">
        <v>271</v>
      </c>
      <c r="B503" s="4457" t="s">
        <v>125</v>
      </c>
      <c r="C503" s="3541" t="s">
        <v>359</v>
      </c>
      <c r="D503" s="3524">
        <v>40000000</v>
      </c>
      <c r="E503" s="3535">
        <v>5.5E-2</v>
      </c>
      <c r="F503" s="3524">
        <f t="shared" si="48"/>
        <v>2200000</v>
      </c>
      <c r="G503" s="3524"/>
      <c r="H503" s="3524"/>
      <c r="I503" s="18" t="s">
        <v>4461</v>
      </c>
      <c r="J503" s="3524">
        <f>G503</f>
        <v>0</v>
      </c>
      <c r="K503" s="3524">
        <f>F503-J503</f>
        <v>2200000</v>
      </c>
      <c r="L503" s="3539"/>
    </row>
    <row r="504" spans="1:15" ht="30" customHeight="1" x14ac:dyDescent="0.2">
      <c r="A504" s="4464"/>
      <c r="B504" s="4488"/>
      <c r="C504" s="4537" t="s">
        <v>1796</v>
      </c>
      <c r="D504" s="3493">
        <v>10000000</v>
      </c>
      <c r="E504" s="3499">
        <v>0.05</v>
      </c>
      <c r="F504" s="3493">
        <f t="shared" si="48"/>
        <v>500000</v>
      </c>
      <c r="G504" s="4413"/>
      <c r="H504" s="4413"/>
      <c r="I504" s="4413" t="s">
        <v>4461</v>
      </c>
      <c r="J504" s="4413">
        <f>G504</f>
        <v>0</v>
      </c>
      <c r="K504" s="4413">
        <f>(F504+F505)-J504</f>
        <v>1000000</v>
      </c>
      <c r="L504" s="4838" t="s">
        <v>4825</v>
      </c>
      <c r="M504" s="2060"/>
      <c r="N504" s="2060"/>
      <c r="O504" s="2060"/>
    </row>
    <row r="505" spans="1:15" ht="30" customHeight="1" x14ac:dyDescent="0.2">
      <c r="A505" s="4464"/>
      <c r="B505" s="4488"/>
      <c r="C505" s="4538"/>
      <c r="D505" s="3493">
        <v>10000000</v>
      </c>
      <c r="E505" s="3499">
        <v>0.05</v>
      </c>
      <c r="F505" s="3493">
        <f t="shared" si="48"/>
        <v>500000</v>
      </c>
      <c r="G505" s="4415"/>
      <c r="H505" s="4415"/>
      <c r="I505" s="4415"/>
      <c r="J505" s="4415"/>
      <c r="K505" s="4415"/>
      <c r="L505" s="4838"/>
      <c r="M505" s="248"/>
      <c r="N505" s="248"/>
      <c r="O505" s="248"/>
    </row>
    <row r="506" spans="1:15" ht="30" customHeight="1" x14ac:dyDescent="0.2">
      <c r="A506" s="4460"/>
      <c r="B506" s="4458"/>
      <c r="C506" s="3525" t="s">
        <v>402</v>
      </c>
      <c r="D506" s="3493">
        <v>30000000</v>
      </c>
      <c r="E506" s="3499">
        <v>0.05</v>
      </c>
      <c r="F506" s="3493">
        <f t="shared" si="48"/>
        <v>1500000</v>
      </c>
      <c r="G506" s="3493">
        <v>1500000</v>
      </c>
      <c r="H506" s="3493" t="s">
        <v>5348</v>
      </c>
      <c r="I506" s="3699" t="s">
        <v>4461</v>
      </c>
      <c r="J506" s="3493">
        <f>G506</f>
        <v>1500000</v>
      </c>
      <c r="K506" s="3492">
        <f>F506-J506</f>
        <v>0</v>
      </c>
      <c r="L506" s="3557" t="s">
        <v>4826</v>
      </c>
      <c r="M506" s="248"/>
      <c r="N506" s="248"/>
      <c r="O506" s="248"/>
    </row>
    <row r="507" spans="1:15" ht="30" customHeight="1" x14ac:dyDescent="0.2">
      <c r="A507" s="4459"/>
      <c r="B507" s="5115" t="s">
        <v>2524</v>
      </c>
      <c r="C507" s="4620" t="s">
        <v>1287</v>
      </c>
      <c r="D507" s="3580">
        <v>495000000</v>
      </c>
      <c r="E507" s="3570">
        <v>5.5E-2</v>
      </c>
      <c r="F507" s="3580">
        <f>D507*E507</f>
        <v>27225000</v>
      </c>
      <c r="G507" s="4864"/>
      <c r="H507" s="4864"/>
      <c r="I507" s="4864"/>
      <c r="J507" s="4864"/>
      <c r="K507" s="4322"/>
      <c r="L507" s="5087" t="s">
        <v>6069</v>
      </c>
    </row>
    <row r="508" spans="1:15" ht="30" customHeight="1" x14ac:dyDescent="0.2">
      <c r="A508" s="4464"/>
      <c r="B508" s="5115"/>
      <c r="C508" s="4620"/>
      <c r="D508" s="3580">
        <v>65000000</v>
      </c>
      <c r="E508" s="3570">
        <v>0.06</v>
      </c>
      <c r="F508" s="3580">
        <f>D508*E508</f>
        <v>3900000</v>
      </c>
      <c r="G508" s="4864"/>
      <c r="H508" s="4864"/>
      <c r="I508" s="4864"/>
      <c r="J508" s="4864"/>
      <c r="K508" s="4322"/>
      <c r="L508" s="5088"/>
    </row>
    <row r="509" spans="1:15" ht="30" customHeight="1" x14ac:dyDescent="0.2">
      <c r="A509" s="4464"/>
      <c r="B509" s="5115"/>
      <c r="C509" s="4620"/>
      <c r="D509" s="3580">
        <v>246000000</v>
      </c>
      <c r="E509" s="3570">
        <v>0.06</v>
      </c>
      <c r="F509" s="3580">
        <f>D509*E509</f>
        <v>14760000</v>
      </c>
      <c r="G509" s="4864"/>
      <c r="H509" s="4864"/>
      <c r="I509" s="4864"/>
      <c r="J509" s="4864"/>
      <c r="K509" s="4322"/>
      <c r="L509" s="5088"/>
    </row>
    <row r="510" spans="1:15" ht="30" customHeight="1" x14ac:dyDescent="0.2">
      <c r="A510" s="4464"/>
      <c r="B510" s="5115"/>
      <c r="C510" s="4620"/>
      <c r="D510" s="4822" t="s">
        <v>1787</v>
      </c>
      <c r="E510" s="4823"/>
      <c r="F510" s="3580">
        <v>1300000</v>
      </c>
      <c r="G510" s="4864"/>
      <c r="H510" s="4864"/>
      <c r="I510" s="4864"/>
      <c r="J510" s="4864"/>
      <c r="K510" s="4322"/>
      <c r="L510" s="5088"/>
    </row>
    <row r="511" spans="1:15" ht="30" customHeight="1" x14ac:dyDescent="0.2">
      <c r="A511" s="4464"/>
      <c r="B511" s="5115"/>
      <c r="C511" s="4620"/>
      <c r="D511" s="3953">
        <f>D507+D508+D509</f>
        <v>806000000</v>
      </c>
      <c r="E511" s="3953"/>
      <c r="F511" s="3953">
        <f>F507+F508+F509+F510</f>
        <v>47185000</v>
      </c>
      <c r="G511" s="3954">
        <v>30000000</v>
      </c>
      <c r="H511" s="3954" t="s">
        <v>5706</v>
      </c>
      <c r="I511" s="3954" t="s">
        <v>815</v>
      </c>
      <c r="J511" s="4413">
        <f>G511+G512</f>
        <v>48400000</v>
      </c>
      <c r="K511" s="4413">
        <f>F513-J511</f>
        <v>-15000</v>
      </c>
      <c r="L511" s="736" t="s">
        <v>6070</v>
      </c>
    </row>
    <row r="512" spans="1:15" ht="30" customHeight="1" x14ac:dyDescent="0.2">
      <c r="A512" s="4464"/>
      <c r="B512" s="5115"/>
      <c r="C512" s="4620"/>
      <c r="D512" s="4380" t="s">
        <v>5713</v>
      </c>
      <c r="E512" s="4707"/>
      <c r="F512" s="3953">
        <v>1200000</v>
      </c>
      <c r="G512" s="4413">
        <v>18400000</v>
      </c>
      <c r="H512" s="4413" t="s">
        <v>5744</v>
      </c>
      <c r="I512" s="4413" t="s">
        <v>815</v>
      </c>
      <c r="J512" s="4414"/>
      <c r="K512" s="4414"/>
      <c r="L512" s="736" t="s">
        <v>6072</v>
      </c>
    </row>
    <row r="513" spans="1:12" ht="30" customHeight="1" x14ac:dyDescent="0.2">
      <c r="A513" s="4464"/>
      <c r="B513" s="5115"/>
      <c r="C513" s="4620"/>
      <c r="D513" s="4380">
        <f>D511</f>
        <v>806000000</v>
      </c>
      <c r="E513" s="4707"/>
      <c r="F513" s="3953">
        <f>F511+F512</f>
        <v>48385000</v>
      </c>
      <c r="G513" s="4415"/>
      <c r="H513" s="4415"/>
      <c r="I513" s="4415"/>
      <c r="J513" s="4415"/>
      <c r="K513" s="4415"/>
      <c r="L513" s="711" t="s">
        <v>6076</v>
      </c>
    </row>
    <row r="514" spans="1:12" ht="30" customHeight="1" x14ac:dyDescent="0.2">
      <c r="A514" s="4614"/>
      <c r="B514" s="5089" t="s">
        <v>2524</v>
      </c>
      <c r="C514" s="4537" t="s">
        <v>1287</v>
      </c>
      <c r="D514" s="4217">
        <v>857000000</v>
      </c>
      <c r="E514" s="4228">
        <v>0.06</v>
      </c>
      <c r="F514" s="4220">
        <f>D514*E514</f>
        <v>51420000</v>
      </c>
      <c r="G514" s="4793" t="s">
        <v>6074</v>
      </c>
      <c r="H514" s="4794"/>
      <c r="I514" s="4794"/>
      <c r="J514" s="4795"/>
      <c r="K514" s="4220"/>
      <c r="L514" s="711"/>
    </row>
    <row r="515" spans="1:12" ht="30" customHeight="1" x14ac:dyDescent="0.2">
      <c r="A515" s="4614"/>
      <c r="B515" s="5090"/>
      <c r="C515" s="4540"/>
      <c r="D515" s="4303" t="s">
        <v>5713</v>
      </c>
      <c r="E515" s="4355"/>
      <c r="F515" s="4220">
        <v>2500000</v>
      </c>
      <c r="G515" s="4799"/>
      <c r="H515" s="4800"/>
      <c r="I515" s="4800"/>
      <c r="J515" s="4801"/>
      <c r="K515" s="4220"/>
      <c r="L515" s="711"/>
    </row>
    <row r="516" spans="1:12" ht="30" customHeight="1" x14ac:dyDescent="0.2">
      <c r="A516" s="4614"/>
      <c r="B516" s="5091"/>
      <c r="C516" s="4538"/>
      <c r="D516" s="4303">
        <v>857000000</v>
      </c>
      <c r="E516" s="4355"/>
      <c r="F516" s="4220">
        <f>F514+F515</f>
        <v>53920000</v>
      </c>
      <c r="G516" s="4469" t="s">
        <v>6073</v>
      </c>
      <c r="H516" s="4470"/>
      <c r="I516" s="4470"/>
      <c r="J516" s="4471"/>
      <c r="K516" s="4220"/>
      <c r="L516" s="4246" t="s">
        <v>6075</v>
      </c>
    </row>
    <row r="517" spans="1:12" ht="30" customHeight="1" x14ac:dyDescent="0.2">
      <c r="A517" s="3538">
        <v>273</v>
      </c>
      <c r="B517" s="3539" t="s">
        <v>127</v>
      </c>
      <c r="C517" s="3541" t="s">
        <v>1291</v>
      </c>
      <c r="D517" s="3493">
        <v>20000000</v>
      </c>
      <c r="E517" s="3535">
        <v>0.05</v>
      </c>
      <c r="F517" s="3493">
        <f t="shared" si="48"/>
        <v>1000000</v>
      </c>
      <c r="G517" s="3493">
        <v>1000000</v>
      </c>
      <c r="H517" s="3493" t="s">
        <v>5706</v>
      </c>
      <c r="I517" s="3594" t="s">
        <v>480</v>
      </c>
      <c r="J517" s="3493">
        <f>G517</f>
        <v>1000000</v>
      </c>
      <c r="K517" s="3493">
        <f>F517-J517</f>
        <v>0</v>
      </c>
      <c r="L517" s="3539"/>
    </row>
    <row r="518" spans="1:12" ht="30" customHeight="1" x14ac:dyDescent="0.2">
      <c r="A518" s="3496">
        <v>274</v>
      </c>
      <c r="B518" s="19" t="s">
        <v>128</v>
      </c>
      <c r="C518" s="378"/>
      <c r="D518" s="3524">
        <v>50000000</v>
      </c>
      <c r="E518" s="3535">
        <v>0.05</v>
      </c>
      <c r="F518" s="3493">
        <f>D518*E518</f>
        <v>2500000</v>
      </c>
      <c r="G518" s="4725" t="s">
        <v>5041</v>
      </c>
      <c r="H518" s="4726"/>
      <c r="I518" s="4726"/>
      <c r="J518" s="4727"/>
      <c r="K518" s="3493">
        <f>F518-J518</f>
        <v>2500000</v>
      </c>
      <c r="L518" s="162"/>
    </row>
    <row r="519" spans="1:12" ht="30" customHeight="1" x14ac:dyDescent="0.2">
      <c r="A519" s="3538">
        <v>275</v>
      </c>
      <c r="B519" s="3539" t="s">
        <v>129</v>
      </c>
      <c r="C519" s="3515" t="s">
        <v>1291</v>
      </c>
      <c r="D519" s="3493">
        <v>130000000</v>
      </c>
      <c r="E519" s="3535">
        <v>0.05</v>
      </c>
      <c r="F519" s="3493">
        <f t="shared" si="48"/>
        <v>6500000</v>
      </c>
      <c r="G519" s="3493">
        <v>6500000</v>
      </c>
      <c r="H519" s="3493" t="s">
        <v>5643</v>
      </c>
      <c r="I519" s="3594" t="s">
        <v>3175</v>
      </c>
      <c r="J519" s="3493">
        <f>G519</f>
        <v>6500000</v>
      </c>
      <c r="K519" s="3493">
        <f>F519-J519</f>
        <v>0</v>
      </c>
      <c r="L519" s="3539"/>
    </row>
    <row r="520" spans="1:12" ht="30" customHeight="1" x14ac:dyDescent="0.2">
      <c r="A520" s="3496">
        <v>277</v>
      </c>
      <c r="B520" s="3501" t="s">
        <v>131</v>
      </c>
      <c r="C520" s="3525" t="s">
        <v>2849</v>
      </c>
      <c r="D520" s="3492">
        <v>200000000</v>
      </c>
      <c r="E520" s="3498">
        <v>0.05</v>
      </c>
      <c r="F520" s="3492">
        <f t="shared" si="48"/>
        <v>10000000</v>
      </c>
      <c r="G520" s="3492">
        <v>10000000</v>
      </c>
      <c r="H520" s="3492" t="s">
        <v>5706</v>
      </c>
      <c r="I520" s="3593" t="s">
        <v>5707</v>
      </c>
      <c r="J520" s="3492">
        <f>G520</f>
        <v>10000000</v>
      </c>
      <c r="K520" s="3492">
        <f>F520-J520</f>
        <v>0</v>
      </c>
      <c r="L520" s="3501"/>
    </row>
    <row r="521" spans="1:12" s="1540" customFormat="1" ht="30" customHeight="1" x14ac:dyDescent="0.2">
      <c r="A521" s="3496">
        <v>278</v>
      </c>
      <c r="B521" s="19" t="s">
        <v>620</v>
      </c>
      <c r="C521" s="3541" t="s">
        <v>3007</v>
      </c>
      <c r="D521" s="3524">
        <v>30000000</v>
      </c>
      <c r="E521" s="3535">
        <v>4.4999999999999998E-2</v>
      </c>
      <c r="F521" s="3524">
        <f t="shared" si="48"/>
        <v>1350000</v>
      </c>
      <c r="G521" s="3524">
        <v>1350000</v>
      </c>
      <c r="H521" s="3524" t="s">
        <v>5744</v>
      </c>
      <c r="I521" s="3546" t="s">
        <v>2066</v>
      </c>
      <c r="J521" s="3524">
        <f>G521</f>
        <v>1350000</v>
      </c>
      <c r="K521" s="3524">
        <f>F521-J521</f>
        <v>0</v>
      </c>
      <c r="L521" s="3547"/>
    </row>
    <row r="522" spans="1:12" ht="30" customHeight="1" x14ac:dyDescent="0.2">
      <c r="A522" s="3538">
        <v>279</v>
      </c>
      <c r="B522" s="3539" t="s">
        <v>132</v>
      </c>
      <c r="C522" s="3515" t="s">
        <v>402</v>
      </c>
      <c r="D522" s="3493">
        <v>11000000</v>
      </c>
      <c r="E522" s="3535">
        <v>4.4999999999999998E-2</v>
      </c>
      <c r="F522" s="3493">
        <v>500000</v>
      </c>
      <c r="G522" s="3493">
        <v>500000</v>
      </c>
      <c r="H522" s="3493" t="s">
        <v>5593</v>
      </c>
      <c r="I522" s="3594" t="s">
        <v>5595</v>
      </c>
      <c r="J522" s="3493">
        <f t="shared" ref="J522:J536" si="49">G522</f>
        <v>500000</v>
      </c>
      <c r="K522" s="3493">
        <f t="shared" ref="K522:K536" si="50">F522-J522</f>
        <v>0</v>
      </c>
      <c r="L522" s="3843" t="s">
        <v>5596</v>
      </c>
    </row>
    <row r="523" spans="1:12" ht="30" customHeight="1" x14ac:dyDescent="0.2">
      <c r="A523" s="3538">
        <v>280</v>
      </c>
      <c r="B523" s="1951" t="s">
        <v>458</v>
      </c>
      <c r="C523" s="3515" t="s">
        <v>5216</v>
      </c>
      <c r="D523" s="3524">
        <v>20000000</v>
      </c>
      <c r="E523" s="3535">
        <v>0.05</v>
      </c>
      <c r="F523" s="3524">
        <f t="shared" si="48"/>
        <v>1000000</v>
      </c>
      <c r="G523" s="3524">
        <v>1000000</v>
      </c>
      <c r="H523" s="3524" t="s">
        <v>5848</v>
      </c>
      <c r="I523" s="3524" t="s">
        <v>3756</v>
      </c>
      <c r="J523" s="3524">
        <f t="shared" si="49"/>
        <v>1000000</v>
      </c>
      <c r="K523" s="3524">
        <f t="shared" si="50"/>
        <v>0</v>
      </c>
      <c r="L523" s="1025" t="s">
        <v>3097</v>
      </c>
    </row>
    <row r="524" spans="1:12" ht="30" customHeight="1" x14ac:dyDescent="0.2">
      <c r="A524" s="3497">
        <v>281</v>
      </c>
      <c r="B524" s="3542" t="s">
        <v>133</v>
      </c>
      <c r="C524" s="3515" t="s">
        <v>1290</v>
      </c>
      <c r="D524" s="3493">
        <v>40000000</v>
      </c>
      <c r="E524" s="3499">
        <v>0.05</v>
      </c>
      <c r="F524" s="3493">
        <f t="shared" si="48"/>
        <v>2000000</v>
      </c>
      <c r="G524" s="3493">
        <v>2000000</v>
      </c>
      <c r="H524" s="3493" t="s">
        <v>1972</v>
      </c>
      <c r="I524" s="3493" t="s">
        <v>635</v>
      </c>
      <c r="J524" s="3493">
        <f t="shared" si="49"/>
        <v>2000000</v>
      </c>
      <c r="K524" s="3493">
        <f t="shared" si="50"/>
        <v>0</v>
      </c>
      <c r="L524" s="3539"/>
    </row>
    <row r="525" spans="1:12" ht="30" customHeight="1" x14ac:dyDescent="0.2">
      <c r="A525" s="3538">
        <v>282</v>
      </c>
      <c r="B525" s="3539" t="s">
        <v>1024</v>
      </c>
      <c r="C525" s="3515" t="s">
        <v>371</v>
      </c>
      <c r="D525" s="3493">
        <v>20000000</v>
      </c>
      <c r="E525" s="3535">
        <v>0.04</v>
      </c>
      <c r="F525" s="3493">
        <f t="shared" si="48"/>
        <v>800000</v>
      </c>
      <c r="G525" s="3493">
        <v>800000</v>
      </c>
      <c r="H525" s="3493" t="s">
        <v>5593</v>
      </c>
      <c r="I525" s="3778" t="s">
        <v>2453</v>
      </c>
      <c r="J525" s="3493">
        <f t="shared" si="49"/>
        <v>800000</v>
      </c>
      <c r="K525" s="3493">
        <f t="shared" si="50"/>
        <v>0</v>
      </c>
      <c r="L525" s="3539"/>
    </row>
    <row r="526" spans="1:12" ht="30" customHeight="1" x14ac:dyDescent="0.2">
      <c r="A526" s="4614"/>
      <c r="B526" s="4457" t="s">
        <v>134</v>
      </c>
      <c r="C526" s="4537" t="s">
        <v>1294</v>
      </c>
      <c r="D526" s="3493">
        <v>50111000</v>
      </c>
      <c r="E526" s="3499">
        <v>0.05</v>
      </c>
      <c r="F526" s="3493">
        <f>D526*E526</f>
        <v>2505550</v>
      </c>
      <c r="G526" s="4413">
        <v>3890700</v>
      </c>
      <c r="H526" s="4413" t="s">
        <v>5744</v>
      </c>
      <c r="I526" s="4413" t="s">
        <v>5767</v>
      </c>
      <c r="J526" s="4413">
        <f>G526</f>
        <v>3890700</v>
      </c>
      <c r="K526" s="4413">
        <f>F532-J526</f>
        <v>0</v>
      </c>
      <c r="L526" s="764"/>
    </row>
    <row r="527" spans="1:12" ht="30" customHeight="1" x14ac:dyDescent="0.2">
      <c r="A527" s="4614"/>
      <c r="B527" s="4488"/>
      <c r="C527" s="4540"/>
      <c r="D527" s="3493">
        <v>3230000</v>
      </c>
      <c r="E527" s="3499">
        <v>0.05</v>
      </c>
      <c r="F527" s="3493">
        <f>D527*E527</f>
        <v>161500</v>
      </c>
      <c r="G527" s="4414"/>
      <c r="H527" s="4414"/>
      <c r="I527" s="4414"/>
      <c r="J527" s="4414"/>
      <c r="K527" s="4414"/>
      <c r="L527" s="764" t="s">
        <v>4499</v>
      </c>
    </row>
    <row r="528" spans="1:12" ht="30" customHeight="1" x14ac:dyDescent="0.2">
      <c r="A528" s="4614"/>
      <c r="B528" s="4488"/>
      <c r="C528" s="4540"/>
      <c r="D528" s="3582">
        <f>D526+D527</f>
        <v>53341000</v>
      </c>
      <c r="E528" s="3584">
        <v>0.05</v>
      </c>
      <c r="F528" s="3582">
        <f>D528*E528</f>
        <v>2667050</v>
      </c>
      <c r="G528" s="4414"/>
      <c r="H528" s="4414"/>
      <c r="I528" s="4414"/>
      <c r="J528" s="4414"/>
      <c r="K528" s="4414"/>
      <c r="L528" s="764"/>
    </row>
    <row r="529" spans="1:13" ht="30" customHeight="1" x14ac:dyDescent="0.2">
      <c r="A529" s="4614"/>
      <c r="B529" s="4488"/>
      <c r="C529" s="4540"/>
      <c r="D529" s="3493">
        <v>4473000</v>
      </c>
      <c r="E529" s="3499">
        <v>0.05</v>
      </c>
      <c r="F529" s="3493">
        <f>D529*E529</f>
        <v>223650</v>
      </c>
      <c r="G529" s="4414"/>
      <c r="H529" s="4414"/>
      <c r="I529" s="4414"/>
      <c r="J529" s="4414"/>
      <c r="K529" s="4414"/>
      <c r="L529" s="764" t="s">
        <v>5154</v>
      </c>
    </row>
    <row r="530" spans="1:13" ht="30" customHeight="1" x14ac:dyDescent="0.2">
      <c r="A530" s="4614"/>
      <c r="B530" s="4488"/>
      <c r="C530" s="4540"/>
      <c r="D530" s="3493">
        <v>10000000</v>
      </c>
      <c r="E530" s="3499">
        <v>0.05</v>
      </c>
      <c r="F530" s="3493">
        <f t="shared" ref="F530:F531" si="51">D530*E530</f>
        <v>500000</v>
      </c>
      <c r="G530" s="4414"/>
      <c r="H530" s="4414"/>
      <c r="I530" s="4414"/>
      <c r="J530" s="4414"/>
      <c r="K530" s="4414"/>
      <c r="L530" s="764" t="s">
        <v>5155</v>
      </c>
    </row>
    <row r="531" spans="1:13" ht="30" customHeight="1" x14ac:dyDescent="0.2">
      <c r="A531" s="4614"/>
      <c r="B531" s="4488"/>
      <c r="C531" s="4540"/>
      <c r="D531" s="3493">
        <v>10000000</v>
      </c>
      <c r="E531" s="3499">
        <v>0.05</v>
      </c>
      <c r="F531" s="3493">
        <f t="shared" si="51"/>
        <v>500000</v>
      </c>
      <c r="G531" s="4414"/>
      <c r="H531" s="4414"/>
      <c r="I531" s="4414"/>
      <c r="J531" s="4414"/>
      <c r="K531" s="4414"/>
      <c r="L531" s="764" t="s">
        <v>5243</v>
      </c>
    </row>
    <row r="532" spans="1:13" ht="30" customHeight="1" x14ac:dyDescent="0.2">
      <c r="A532" s="4614"/>
      <c r="B532" s="4488"/>
      <c r="C532" s="4540"/>
      <c r="D532" s="3582">
        <f>D528+D529+D530+D531</f>
        <v>77814000</v>
      </c>
      <c r="E532" s="3584">
        <v>0.05</v>
      </c>
      <c r="F532" s="3582">
        <f>D532*E532</f>
        <v>3890700</v>
      </c>
      <c r="G532" s="4415"/>
      <c r="H532" s="4415"/>
      <c r="I532" s="4415"/>
      <c r="J532" s="4415"/>
      <c r="K532" s="4415"/>
      <c r="L532" s="764" t="s">
        <v>5211</v>
      </c>
    </row>
    <row r="533" spans="1:13" ht="30" customHeight="1" x14ac:dyDescent="0.2">
      <c r="A533" s="4614"/>
      <c r="B533" s="4488"/>
      <c r="C533" s="4540"/>
      <c r="D533" s="4056">
        <v>2000000</v>
      </c>
      <c r="E533" s="4060">
        <v>0.05</v>
      </c>
      <c r="F533" s="4056">
        <f>D533*E533</f>
        <v>100000</v>
      </c>
      <c r="G533" s="4793" t="s">
        <v>5876</v>
      </c>
      <c r="H533" s="4794"/>
      <c r="I533" s="4794"/>
      <c r="J533" s="4795"/>
      <c r="K533" s="4055"/>
      <c r="L533" s="4072" t="s">
        <v>5875</v>
      </c>
    </row>
    <row r="534" spans="1:13" ht="30" customHeight="1" x14ac:dyDescent="0.2">
      <c r="A534" s="4614"/>
      <c r="B534" s="4488"/>
      <c r="C534" s="4540"/>
      <c r="D534" s="4056">
        <v>3341000</v>
      </c>
      <c r="E534" s="4060">
        <v>0.05</v>
      </c>
      <c r="F534" s="4056">
        <f>D534*E534</f>
        <v>167050</v>
      </c>
      <c r="G534" s="4796"/>
      <c r="H534" s="4797"/>
      <c r="I534" s="4797"/>
      <c r="J534" s="4798"/>
      <c r="K534" s="4055"/>
      <c r="L534" s="4072" t="s">
        <v>5878</v>
      </c>
    </row>
    <row r="535" spans="1:13" ht="30" customHeight="1" x14ac:dyDescent="0.2">
      <c r="A535" s="4614"/>
      <c r="B535" s="4458"/>
      <c r="C535" s="4538"/>
      <c r="D535" s="4069">
        <f>SUM(D532:D534)</f>
        <v>83155000</v>
      </c>
      <c r="E535" s="4070">
        <v>0.05</v>
      </c>
      <c r="F535" s="4069">
        <f>SUM(F532:F534)</f>
        <v>4157750</v>
      </c>
      <c r="G535" s="4799"/>
      <c r="H535" s="4800"/>
      <c r="I535" s="4800"/>
      <c r="J535" s="4801"/>
      <c r="K535" s="4055"/>
      <c r="L535" s="4072"/>
    </row>
    <row r="536" spans="1:13" ht="30" customHeight="1" x14ac:dyDescent="0.2">
      <c r="A536" s="3503"/>
      <c r="B536" s="3539" t="s">
        <v>4248</v>
      </c>
      <c r="C536" s="3514"/>
      <c r="D536" s="3493">
        <v>67000000</v>
      </c>
      <c r="E536" s="3499">
        <v>0.05</v>
      </c>
      <c r="F536" s="3493">
        <f>D536*E536</f>
        <v>3350000</v>
      </c>
      <c r="G536" s="3524">
        <v>3350000</v>
      </c>
      <c r="H536" s="3524" t="s">
        <v>5361</v>
      </c>
      <c r="I536" s="3524" t="s">
        <v>4867</v>
      </c>
      <c r="J536" s="3524">
        <f t="shared" si="49"/>
        <v>3350000</v>
      </c>
      <c r="K536" s="3491">
        <f t="shared" si="50"/>
        <v>0</v>
      </c>
      <c r="L536" s="764" t="s">
        <v>4249</v>
      </c>
    </row>
    <row r="537" spans="1:13" ht="30" customHeight="1" x14ac:dyDescent="0.2">
      <c r="A537" s="4459"/>
      <c r="B537" s="4457" t="s">
        <v>1158</v>
      </c>
      <c r="C537" s="4537" t="s">
        <v>371</v>
      </c>
      <c r="D537" s="3620">
        <v>100000000</v>
      </c>
      <c r="E537" s="3621">
        <v>4.4999999999999998E-2</v>
      </c>
      <c r="F537" s="3620">
        <f t="shared" si="48"/>
        <v>4500000</v>
      </c>
      <c r="G537" s="3524">
        <v>25000000</v>
      </c>
      <c r="H537" s="3524" t="s">
        <v>5343</v>
      </c>
      <c r="I537" s="3524" t="s">
        <v>2219</v>
      </c>
      <c r="J537" s="3524">
        <f>G537</f>
        <v>25000000</v>
      </c>
      <c r="K537" s="227"/>
      <c r="L537" s="764" t="s">
        <v>5345</v>
      </c>
      <c r="M537" t="s">
        <v>5058</v>
      </c>
    </row>
    <row r="538" spans="1:13" ht="30" customHeight="1" x14ac:dyDescent="0.2">
      <c r="A538" s="4464"/>
      <c r="B538" s="4488"/>
      <c r="C538" s="4540"/>
      <c r="D538" s="3563">
        <v>75000000</v>
      </c>
      <c r="E538" s="1931">
        <v>0.05</v>
      </c>
      <c r="F538" s="1543">
        <f t="shared" si="48"/>
        <v>3750000</v>
      </c>
      <c r="G538" s="4322">
        <v>10925000</v>
      </c>
      <c r="H538" s="4322" t="s">
        <v>5706</v>
      </c>
      <c r="I538" s="4322" t="s">
        <v>2219</v>
      </c>
      <c r="J538" s="4322">
        <f>G538</f>
        <v>10925000</v>
      </c>
      <c r="K538" s="4322"/>
      <c r="L538" s="764" t="s">
        <v>5346</v>
      </c>
    </row>
    <row r="539" spans="1:13" ht="30" customHeight="1" x14ac:dyDescent="0.2">
      <c r="A539" s="4464"/>
      <c r="B539" s="4488"/>
      <c r="C539" s="4540"/>
      <c r="D539" s="3563">
        <v>60000000</v>
      </c>
      <c r="E539" s="1931">
        <v>0.05</v>
      </c>
      <c r="F539" s="1543">
        <f t="shared" si="48"/>
        <v>3000000</v>
      </c>
      <c r="G539" s="4322"/>
      <c r="H539" s="4322"/>
      <c r="I539" s="4322"/>
      <c r="J539" s="4322"/>
      <c r="K539" s="4322"/>
      <c r="L539" s="5116" t="s">
        <v>5060</v>
      </c>
    </row>
    <row r="540" spans="1:13" ht="30" customHeight="1" x14ac:dyDescent="0.2">
      <c r="A540" s="4464"/>
      <c r="B540" s="4488"/>
      <c r="C540" s="4540"/>
      <c r="D540" s="3563">
        <v>30000000</v>
      </c>
      <c r="E540" s="1931">
        <v>0.05</v>
      </c>
      <c r="F540" s="1543">
        <f t="shared" si="48"/>
        <v>1500000</v>
      </c>
      <c r="G540" s="4322"/>
      <c r="H540" s="4322"/>
      <c r="I540" s="4322"/>
      <c r="J540" s="4322"/>
      <c r="K540" s="4322"/>
      <c r="L540" s="5117"/>
    </row>
    <row r="541" spans="1:13" ht="30" customHeight="1" x14ac:dyDescent="0.2">
      <c r="A541" s="4464"/>
      <c r="B541" s="4488"/>
      <c r="C541" s="4540"/>
      <c r="D541" s="3563">
        <v>40000000</v>
      </c>
      <c r="E541" s="1931">
        <v>0.05</v>
      </c>
      <c r="F541" s="1543">
        <f t="shared" si="48"/>
        <v>2000000</v>
      </c>
      <c r="G541" s="4322"/>
      <c r="H541" s="4322"/>
      <c r="I541" s="4322"/>
      <c r="J541" s="4322"/>
      <c r="K541" s="4322"/>
      <c r="L541" s="5117"/>
    </row>
    <row r="542" spans="1:13" ht="30" customHeight="1" x14ac:dyDescent="0.2">
      <c r="A542" s="4464"/>
      <c r="B542" s="4488"/>
      <c r="C542" s="4540"/>
      <c r="D542" s="3563">
        <f>SUM(D538:D541)</f>
        <v>205000000</v>
      </c>
      <c r="E542" s="1931">
        <v>0.05</v>
      </c>
      <c r="F542" s="1543">
        <f>D542*E542</f>
        <v>10250000</v>
      </c>
      <c r="G542" s="4322"/>
      <c r="H542" s="4322"/>
      <c r="I542" s="4322"/>
      <c r="J542" s="4322"/>
      <c r="K542" s="4322"/>
      <c r="L542" s="5118"/>
    </row>
    <row r="543" spans="1:13" ht="30" customHeight="1" x14ac:dyDescent="0.2">
      <c r="A543" s="3496">
        <v>286</v>
      </c>
      <c r="B543" s="3542" t="s">
        <v>1622</v>
      </c>
      <c r="C543" s="3541"/>
      <c r="D543" s="3524">
        <v>35000000</v>
      </c>
      <c r="E543" s="1028">
        <v>0.05</v>
      </c>
      <c r="F543" s="3524">
        <v>1700000</v>
      </c>
      <c r="G543" s="3524">
        <v>1700000</v>
      </c>
      <c r="H543" s="3524" t="s">
        <v>1649</v>
      </c>
      <c r="I543" s="18" t="s">
        <v>307</v>
      </c>
      <c r="J543" s="3524">
        <f>G543</f>
        <v>1700000</v>
      </c>
      <c r="K543" s="3524">
        <f>F543-J543</f>
        <v>0</v>
      </c>
      <c r="L543" s="3523"/>
    </row>
    <row r="544" spans="1:13" ht="30" customHeight="1" x14ac:dyDescent="0.2">
      <c r="A544" s="4459">
        <v>287</v>
      </c>
      <c r="B544" s="4457" t="s">
        <v>137</v>
      </c>
      <c r="C544" s="4537" t="s">
        <v>1294</v>
      </c>
      <c r="D544" s="3493">
        <v>15000000</v>
      </c>
      <c r="E544" s="3499">
        <v>0.05</v>
      </c>
      <c r="F544" s="3493">
        <f t="shared" si="48"/>
        <v>750000</v>
      </c>
      <c r="G544" s="4413">
        <v>3000000</v>
      </c>
      <c r="H544" s="4413" t="s">
        <v>5744</v>
      </c>
      <c r="I544" s="4478" t="s">
        <v>5123</v>
      </c>
      <c r="J544" s="4413">
        <f>G544+G545</f>
        <v>3000000</v>
      </c>
      <c r="K544" s="4413">
        <f>(F544+F545)-J544</f>
        <v>0</v>
      </c>
      <c r="L544" s="4472"/>
    </row>
    <row r="545" spans="1:12" ht="30" customHeight="1" x14ac:dyDescent="0.2">
      <c r="A545" s="4460"/>
      <c r="B545" s="4458"/>
      <c r="C545" s="4538"/>
      <c r="D545" s="3493">
        <v>45000000</v>
      </c>
      <c r="E545" s="3499">
        <v>0.05</v>
      </c>
      <c r="F545" s="3493">
        <f t="shared" si="48"/>
        <v>2250000</v>
      </c>
      <c r="G545" s="4415"/>
      <c r="H545" s="4415"/>
      <c r="I545" s="4479"/>
      <c r="J545" s="4415"/>
      <c r="K545" s="4415"/>
      <c r="L545" s="4473"/>
    </row>
    <row r="546" spans="1:12" ht="30" customHeight="1" x14ac:dyDescent="0.2">
      <c r="A546" s="3538">
        <v>288</v>
      </c>
      <c r="B546" s="3539" t="s">
        <v>138</v>
      </c>
      <c r="C546" s="3515" t="s">
        <v>1289</v>
      </c>
      <c r="D546" s="3493">
        <v>50000000</v>
      </c>
      <c r="E546" s="3535">
        <v>4.4999999999999998E-2</v>
      </c>
      <c r="F546" s="3493">
        <f t="shared" si="48"/>
        <v>2250000</v>
      </c>
      <c r="G546" s="3493">
        <v>2250000</v>
      </c>
      <c r="H546" s="3493" t="s">
        <v>5744</v>
      </c>
      <c r="I546" s="3594" t="s">
        <v>673</v>
      </c>
      <c r="J546" s="3493">
        <f t="shared" ref="J546:J558" si="52">G546</f>
        <v>2250000</v>
      </c>
      <c r="K546" s="3493">
        <f t="shared" ref="K546:K558" si="53">F546-J546</f>
        <v>0</v>
      </c>
      <c r="L546" s="3539"/>
    </row>
    <row r="547" spans="1:12" ht="30" customHeight="1" x14ac:dyDescent="0.2">
      <c r="A547" s="3538">
        <v>289</v>
      </c>
      <c r="B547" s="3539" t="s">
        <v>637</v>
      </c>
      <c r="C547" s="3515" t="s">
        <v>1299</v>
      </c>
      <c r="D547" s="3493">
        <v>25000000</v>
      </c>
      <c r="E547" s="3535">
        <v>0.06</v>
      </c>
      <c r="F547" s="3493">
        <f t="shared" si="48"/>
        <v>1500000</v>
      </c>
      <c r="G547" s="3493">
        <v>1500000</v>
      </c>
      <c r="H547" s="3493" t="s">
        <v>5744</v>
      </c>
      <c r="I547" s="18" t="s">
        <v>4556</v>
      </c>
      <c r="J547" s="3493">
        <f t="shared" si="52"/>
        <v>1500000</v>
      </c>
      <c r="K547" s="3493">
        <f t="shared" si="53"/>
        <v>0</v>
      </c>
      <c r="L547" s="3539"/>
    </row>
    <row r="548" spans="1:12" ht="30" customHeight="1" x14ac:dyDescent="0.2">
      <c r="A548" s="3496">
        <v>290</v>
      </c>
      <c r="B548" s="3542" t="s">
        <v>3848</v>
      </c>
      <c r="C548" s="3515" t="s">
        <v>1288</v>
      </c>
      <c r="D548" s="3493">
        <v>1150000000</v>
      </c>
      <c r="E548" s="3535">
        <v>7.0000000000000007E-2</v>
      </c>
      <c r="F548" s="3493">
        <f>D548*E548</f>
        <v>80500000.000000015</v>
      </c>
      <c r="G548" s="3524"/>
      <c r="H548" s="3524"/>
      <c r="I548" s="3524" t="s">
        <v>4097</v>
      </c>
      <c r="J548" s="3524">
        <f>G548</f>
        <v>0</v>
      </c>
      <c r="K548" s="3493">
        <f t="shared" si="53"/>
        <v>80500000.000000015</v>
      </c>
      <c r="L548" s="3547" t="s">
        <v>3859</v>
      </c>
    </row>
    <row r="549" spans="1:12" ht="30" customHeight="1" x14ac:dyDescent="0.2">
      <c r="A549" s="4459">
        <v>292</v>
      </c>
      <c r="B549" s="4457" t="s">
        <v>140</v>
      </c>
      <c r="C549" s="4537" t="s">
        <v>1299</v>
      </c>
      <c r="D549" s="3493">
        <v>100000000</v>
      </c>
      <c r="E549" s="3535">
        <v>0.05</v>
      </c>
      <c r="F549" s="3493">
        <f t="shared" si="48"/>
        <v>5000000</v>
      </c>
      <c r="G549" s="5147" t="s">
        <v>4959</v>
      </c>
      <c r="H549" s="5148"/>
      <c r="I549" s="5148"/>
      <c r="J549" s="5149"/>
      <c r="K549" s="3493">
        <f t="shared" si="53"/>
        <v>5000000</v>
      </c>
      <c r="L549" s="3539"/>
    </row>
    <row r="550" spans="1:12" ht="30" customHeight="1" x14ac:dyDescent="0.2">
      <c r="A550" s="4464"/>
      <c r="B550" s="4488"/>
      <c r="C550" s="4540"/>
      <c r="D550" s="3778">
        <v>5000000</v>
      </c>
      <c r="E550" s="3815">
        <v>0.05</v>
      </c>
      <c r="F550" s="3778">
        <f t="shared" si="48"/>
        <v>250000</v>
      </c>
      <c r="G550" s="5150"/>
      <c r="H550" s="5151"/>
      <c r="I550" s="5151"/>
      <c r="J550" s="5152"/>
      <c r="K550" s="3778">
        <f t="shared" si="53"/>
        <v>250000</v>
      </c>
      <c r="L550" s="3817"/>
    </row>
    <row r="551" spans="1:12" ht="30" customHeight="1" x14ac:dyDescent="0.2">
      <c r="A551" s="4464"/>
      <c r="B551" s="4488"/>
      <c r="C551" s="4540"/>
      <c r="D551" s="3778">
        <v>295000000</v>
      </c>
      <c r="E551" s="3815">
        <v>0.05</v>
      </c>
      <c r="F551" s="3778">
        <f t="shared" si="48"/>
        <v>14750000</v>
      </c>
      <c r="G551" s="4469" t="s">
        <v>5637</v>
      </c>
      <c r="H551" s="4470"/>
      <c r="I551" s="4470"/>
      <c r="J551" s="4471"/>
      <c r="K551" s="3778">
        <f t="shared" si="53"/>
        <v>14750000</v>
      </c>
      <c r="L551" s="3817"/>
    </row>
    <row r="552" spans="1:12" ht="30" customHeight="1" x14ac:dyDescent="0.2">
      <c r="A552" s="4460"/>
      <c r="B552" s="4458"/>
      <c r="C552" s="4538"/>
      <c r="D552" s="3828">
        <f>SUM(D549:D551)</f>
        <v>400000000</v>
      </c>
      <c r="E552" s="897">
        <v>7.0000000000000007E-2</v>
      </c>
      <c r="F552" s="3828">
        <f>D552*E552</f>
        <v>28000000.000000004</v>
      </c>
      <c r="G552" s="3778"/>
      <c r="H552" s="3778"/>
      <c r="I552" s="65"/>
      <c r="J552" s="3778"/>
      <c r="K552" s="3778">
        <f t="shared" si="53"/>
        <v>28000000.000000004</v>
      </c>
      <c r="L552" s="3809" t="s">
        <v>5541</v>
      </c>
    </row>
    <row r="553" spans="1:12" ht="30" customHeight="1" x14ac:dyDescent="0.2">
      <c r="A553" s="4459">
        <v>293</v>
      </c>
      <c r="B553" s="4457" t="s">
        <v>141</v>
      </c>
      <c r="C553" s="4537" t="s">
        <v>1299</v>
      </c>
      <c r="D553" s="3493">
        <v>75000000</v>
      </c>
      <c r="E553" s="3535">
        <v>0.04</v>
      </c>
      <c r="F553" s="3493">
        <f>D553*E553</f>
        <v>3000000</v>
      </c>
      <c r="G553" s="3493">
        <v>3000000</v>
      </c>
      <c r="H553" s="3493" t="s">
        <v>5744</v>
      </c>
      <c r="I553" s="18" t="s">
        <v>2540</v>
      </c>
      <c r="J553" s="3493">
        <f t="shared" si="52"/>
        <v>3000000</v>
      </c>
      <c r="K553" s="3493">
        <f t="shared" si="53"/>
        <v>0</v>
      </c>
      <c r="L553" s="4179" t="s">
        <v>5984</v>
      </c>
    </row>
    <row r="554" spans="1:12" ht="30" customHeight="1" x14ac:dyDescent="0.2">
      <c r="A554" s="4464"/>
      <c r="B554" s="4488"/>
      <c r="C554" s="4540"/>
      <c r="D554" s="4413">
        <v>25000000</v>
      </c>
      <c r="E554" s="4476">
        <v>0.05</v>
      </c>
      <c r="F554" s="4413">
        <f>D554*E554</f>
        <v>1250000</v>
      </c>
      <c r="G554" s="4469" t="s">
        <v>6116</v>
      </c>
      <c r="H554" s="4470"/>
      <c r="I554" s="4470"/>
      <c r="J554" s="4471"/>
      <c r="K554" s="4169"/>
      <c r="L554" s="4643" t="s">
        <v>5986</v>
      </c>
    </row>
    <row r="555" spans="1:12" ht="30" customHeight="1" x14ac:dyDescent="0.2">
      <c r="A555" s="4464"/>
      <c r="B555" s="4488"/>
      <c r="C555" s="4540"/>
      <c r="D555" s="4414"/>
      <c r="E555" s="4516"/>
      <c r="F555" s="4414"/>
      <c r="G555" s="4469" t="s">
        <v>6117</v>
      </c>
      <c r="H555" s="4470"/>
      <c r="I555" s="4470"/>
      <c r="J555" s="4471"/>
      <c r="K555" s="4284"/>
      <c r="L555" s="4647"/>
    </row>
    <row r="556" spans="1:12" ht="30" customHeight="1" x14ac:dyDescent="0.2">
      <c r="A556" s="4464"/>
      <c r="B556" s="4488"/>
      <c r="C556" s="4540"/>
      <c r="D556" s="4415"/>
      <c r="E556" s="4477"/>
      <c r="F556" s="4415"/>
      <c r="G556" s="4469" t="s">
        <v>6118</v>
      </c>
      <c r="H556" s="4470"/>
      <c r="I556" s="4470"/>
      <c r="J556" s="4471"/>
      <c r="K556" s="4284"/>
      <c r="L556" s="4644"/>
    </row>
    <row r="557" spans="1:12" ht="30" customHeight="1" x14ac:dyDescent="0.2">
      <c r="A557" s="4460"/>
      <c r="B557" s="4458"/>
      <c r="C557" s="4538"/>
      <c r="D557" s="4185">
        <v>100000000</v>
      </c>
      <c r="E557" s="897">
        <v>0.05</v>
      </c>
      <c r="F557" s="4185">
        <f>D557*E557</f>
        <v>5000000</v>
      </c>
      <c r="G557" s="4303"/>
      <c r="H557" s="4324"/>
      <c r="I557" s="4324"/>
      <c r="J557" s="4355"/>
      <c r="K557" s="4169"/>
      <c r="L557" s="4179" t="s">
        <v>5985</v>
      </c>
    </row>
    <row r="558" spans="1:12" ht="30" customHeight="1" x14ac:dyDescent="0.2">
      <c r="A558" s="3585">
        <v>295</v>
      </c>
      <c r="B558" s="3542" t="s">
        <v>142</v>
      </c>
      <c r="C558" s="3514" t="s">
        <v>1299</v>
      </c>
      <c r="D558" s="3493">
        <v>100000000</v>
      </c>
      <c r="E558" s="3535">
        <v>0.05</v>
      </c>
      <c r="F558" s="3493">
        <f t="shared" si="48"/>
        <v>5000000</v>
      </c>
      <c r="G558" s="3524">
        <v>5000000</v>
      </c>
      <c r="H558" s="3524" t="s">
        <v>5744</v>
      </c>
      <c r="I558" s="3524" t="s">
        <v>4086</v>
      </c>
      <c r="J558" s="3524">
        <f t="shared" si="52"/>
        <v>5000000</v>
      </c>
      <c r="K558" s="3524">
        <f t="shared" si="53"/>
        <v>0</v>
      </c>
      <c r="L558" s="3985" t="s">
        <v>5757</v>
      </c>
    </row>
    <row r="559" spans="1:12" ht="30" customHeight="1" x14ac:dyDescent="0.2">
      <c r="A559" s="4459"/>
      <c r="B559" s="4457" t="s">
        <v>4558</v>
      </c>
      <c r="C559" s="4537" t="s">
        <v>1299</v>
      </c>
      <c r="D559" s="3493">
        <v>10000000</v>
      </c>
      <c r="E559" s="3535">
        <v>0.05</v>
      </c>
      <c r="F559" s="3493">
        <f>D559*E559</f>
        <v>500000</v>
      </c>
      <c r="G559" s="4322">
        <v>1700000</v>
      </c>
      <c r="H559" s="4322" t="s">
        <v>5744</v>
      </c>
      <c r="I559" s="4322" t="s">
        <v>4560</v>
      </c>
      <c r="J559" s="4322">
        <f>G559</f>
        <v>1700000</v>
      </c>
      <c r="K559" s="4322">
        <f>(F559+F560+F561)-J559</f>
        <v>0</v>
      </c>
      <c r="L559" s="3985" t="s">
        <v>5756</v>
      </c>
    </row>
    <row r="560" spans="1:12" ht="30" customHeight="1" x14ac:dyDescent="0.2">
      <c r="A560" s="4464"/>
      <c r="B560" s="4488"/>
      <c r="C560" s="4540"/>
      <c r="D560" s="3520">
        <v>10000000</v>
      </c>
      <c r="E560" s="3499">
        <v>0.06</v>
      </c>
      <c r="F560" s="3521">
        <f>D560*E560</f>
        <v>600000</v>
      </c>
      <c r="G560" s="4322"/>
      <c r="H560" s="4322"/>
      <c r="I560" s="4322"/>
      <c r="J560" s="4322"/>
      <c r="K560" s="4322"/>
      <c r="L560" s="848" t="s">
        <v>4559</v>
      </c>
    </row>
    <row r="561" spans="1:12" ht="30" customHeight="1" x14ac:dyDescent="0.2">
      <c r="A561" s="4464"/>
      <c r="B561" s="4488"/>
      <c r="C561" s="4540"/>
      <c r="D561" s="3520">
        <v>10000000</v>
      </c>
      <c r="E561" s="3499">
        <v>0.06</v>
      </c>
      <c r="F561" s="3521">
        <f>D561*E561</f>
        <v>600000</v>
      </c>
      <c r="G561" s="4322"/>
      <c r="H561" s="4322"/>
      <c r="I561" s="4322"/>
      <c r="J561" s="4322"/>
      <c r="K561" s="4322"/>
      <c r="L561" s="3555" t="s">
        <v>4762</v>
      </c>
    </row>
    <row r="562" spans="1:12" ht="30" customHeight="1" x14ac:dyDescent="0.2">
      <c r="A562" s="4464"/>
      <c r="B562" s="4488"/>
      <c r="C562" s="4540"/>
      <c r="D562" s="3980">
        <v>15000000</v>
      </c>
      <c r="E562" s="3975">
        <v>0.06</v>
      </c>
      <c r="F562" s="3981">
        <f>D562*E562</f>
        <v>900000</v>
      </c>
      <c r="G562" s="4469" t="s">
        <v>5759</v>
      </c>
      <c r="H562" s="4470"/>
      <c r="I562" s="4470"/>
      <c r="J562" s="4471"/>
      <c r="K562" s="3974"/>
      <c r="L562" s="3984"/>
    </row>
    <row r="563" spans="1:12" ht="30" customHeight="1" x14ac:dyDescent="0.2">
      <c r="A563" s="4460"/>
      <c r="B563" s="4458"/>
      <c r="C563" s="4538"/>
      <c r="D563" s="4035">
        <f>SUM(D559:D562)</f>
        <v>45000000</v>
      </c>
      <c r="E563" s="3991">
        <v>0.06</v>
      </c>
      <c r="F563" s="3842">
        <f>D563*E563</f>
        <v>2700000</v>
      </c>
      <c r="G563" s="4469" t="s">
        <v>5758</v>
      </c>
      <c r="H563" s="4470"/>
      <c r="I563" s="4470"/>
      <c r="J563" s="4471"/>
      <c r="K563" s="3974"/>
      <c r="L563" s="3984"/>
    </row>
    <row r="564" spans="1:12" ht="30" customHeight="1" x14ac:dyDescent="0.2">
      <c r="A564" s="4459">
        <v>296</v>
      </c>
      <c r="B564" s="4457" t="s">
        <v>143</v>
      </c>
      <c r="C564" s="4537" t="s">
        <v>1306</v>
      </c>
      <c r="D564" s="3493">
        <v>35000000</v>
      </c>
      <c r="E564" s="3535">
        <v>0.04</v>
      </c>
      <c r="F564" s="3493">
        <f t="shared" si="48"/>
        <v>1400000</v>
      </c>
      <c r="G564" s="4413">
        <v>2291000</v>
      </c>
      <c r="H564" s="4413" t="s">
        <v>5859</v>
      </c>
      <c r="I564" s="4478" t="s">
        <v>1720</v>
      </c>
      <c r="J564" s="4413">
        <f>G564</f>
        <v>2291000</v>
      </c>
      <c r="K564" s="4413"/>
      <c r="L564" s="3539"/>
    </row>
    <row r="565" spans="1:12" ht="30" customHeight="1" x14ac:dyDescent="0.2">
      <c r="A565" s="4464"/>
      <c r="B565" s="4488"/>
      <c r="C565" s="4540"/>
      <c r="D565" s="3763">
        <v>25000000</v>
      </c>
      <c r="E565" s="3767">
        <v>0.06</v>
      </c>
      <c r="F565" s="3763">
        <f t="shared" si="48"/>
        <v>1500000</v>
      </c>
      <c r="G565" s="4414"/>
      <c r="H565" s="4414"/>
      <c r="I565" s="4520"/>
      <c r="J565" s="4414"/>
      <c r="K565" s="4414"/>
      <c r="L565" s="4020" t="s">
        <v>5857</v>
      </c>
    </row>
    <row r="566" spans="1:12" ht="30" customHeight="1" x14ac:dyDescent="0.2">
      <c r="A566" s="4460"/>
      <c r="B566" s="4458"/>
      <c r="C566" s="4538"/>
      <c r="D566" s="4026">
        <v>60000000</v>
      </c>
      <c r="E566" s="897">
        <v>0.05</v>
      </c>
      <c r="F566" s="4026">
        <f t="shared" si="48"/>
        <v>3000000</v>
      </c>
      <c r="G566" s="4415"/>
      <c r="H566" s="4415"/>
      <c r="I566" s="4479"/>
      <c r="J566" s="4415"/>
      <c r="K566" s="4415"/>
      <c r="L566" s="4016"/>
    </row>
    <row r="567" spans="1:12" ht="30" customHeight="1" x14ac:dyDescent="0.2">
      <c r="A567" s="4459">
        <v>298</v>
      </c>
      <c r="B567" s="4457" t="s">
        <v>145</v>
      </c>
      <c r="C567" s="4537" t="s">
        <v>1134</v>
      </c>
      <c r="D567" s="3493">
        <v>38000000</v>
      </c>
      <c r="E567" s="3535">
        <v>5.1999999999999998E-2</v>
      </c>
      <c r="F567" s="3493">
        <v>2000000</v>
      </c>
      <c r="G567" s="4413">
        <v>2000000</v>
      </c>
      <c r="H567" s="4413" t="s">
        <v>5859</v>
      </c>
      <c r="I567" s="4478" t="s">
        <v>4152</v>
      </c>
      <c r="J567" s="4413">
        <f>G567</f>
        <v>2000000</v>
      </c>
      <c r="K567" s="4413">
        <f>F567-J567</f>
        <v>0</v>
      </c>
      <c r="L567" s="3539"/>
    </row>
    <row r="568" spans="1:12" ht="30" customHeight="1" x14ac:dyDescent="0.2">
      <c r="A568" s="4460"/>
      <c r="B568" s="4458"/>
      <c r="C568" s="4538"/>
      <c r="D568" s="3582">
        <v>40000000</v>
      </c>
      <c r="E568" s="897">
        <v>0.05</v>
      </c>
      <c r="F568" s="3582">
        <f>D568*E568</f>
        <v>2000000</v>
      </c>
      <c r="G568" s="4415"/>
      <c r="H568" s="4415"/>
      <c r="I568" s="4479"/>
      <c r="J568" s="4415"/>
      <c r="K568" s="4415"/>
      <c r="L568" s="3539"/>
    </row>
    <row r="569" spans="1:12" ht="30" customHeight="1" x14ac:dyDescent="0.2">
      <c r="A569" s="4459">
        <v>300</v>
      </c>
      <c r="B569" s="4457" t="s">
        <v>147</v>
      </c>
      <c r="C569" s="4537" t="s">
        <v>890</v>
      </c>
      <c r="D569" s="4413">
        <v>178000000</v>
      </c>
      <c r="E569" s="4476">
        <v>5.8999999999999997E-2</v>
      </c>
      <c r="F569" s="4413">
        <v>10500000</v>
      </c>
      <c r="G569" s="3493">
        <v>2500000</v>
      </c>
      <c r="H569" s="3493" t="s">
        <v>5859</v>
      </c>
      <c r="I569" s="3594" t="s">
        <v>3469</v>
      </c>
      <c r="J569" s="4413">
        <f>G569+G570</f>
        <v>10500000</v>
      </c>
      <c r="K569" s="4413">
        <f>F569-J569</f>
        <v>0</v>
      </c>
      <c r="L569" s="3539"/>
    </row>
    <row r="570" spans="1:12" ht="30" customHeight="1" x14ac:dyDescent="0.2">
      <c r="A570" s="4460"/>
      <c r="B570" s="4458"/>
      <c r="C570" s="4538"/>
      <c r="D570" s="4415"/>
      <c r="E570" s="4477"/>
      <c r="F570" s="4415"/>
      <c r="G570" s="4038">
        <v>8000000</v>
      </c>
      <c r="H570" s="4038" t="s">
        <v>5859</v>
      </c>
      <c r="I570" s="4043" t="s">
        <v>3469</v>
      </c>
      <c r="J570" s="4415"/>
      <c r="K570" s="4415"/>
      <c r="L570" s="4040"/>
    </row>
    <row r="571" spans="1:12" ht="30" customHeight="1" x14ac:dyDescent="0.2">
      <c r="A571" s="3538">
        <v>301</v>
      </c>
      <c r="B571" s="3539" t="s">
        <v>2347</v>
      </c>
      <c r="C571" s="3515"/>
      <c r="D571" s="3493">
        <v>10000000</v>
      </c>
      <c r="E571" s="3499">
        <v>0.04</v>
      </c>
      <c r="F571" s="3493">
        <f>D571*E571</f>
        <v>400000</v>
      </c>
      <c r="G571" s="3493">
        <v>400000</v>
      </c>
      <c r="H571" s="3493" t="s">
        <v>2341</v>
      </c>
      <c r="I571" s="3528" t="s">
        <v>723</v>
      </c>
      <c r="J571" s="3493">
        <f>G571</f>
        <v>400000</v>
      </c>
      <c r="K571" s="3493">
        <f>F571-J571</f>
        <v>0</v>
      </c>
      <c r="L571" s="3573"/>
    </row>
    <row r="572" spans="1:12" ht="30" customHeight="1" x14ac:dyDescent="0.2">
      <c r="A572" s="4459">
        <v>302</v>
      </c>
      <c r="B572" s="4457" t="s">
        <v>149</v>
      </c>
      <c r="C572" s="4537" t="s">
        <v>1296</v>
      </c>
      <c r="D572" s="3493">
        <v>60000000</v>
      </c>
      <c r="E572" s="3535">
        <v>4.4999999999999998E-2</v>
      </c>
      <c r="F572" s="3493">
        <f t="shared" si="48"/>
        <v>2700000</v>
      </c>
      <c r="G572" s="4413">
        <v>5000000</v>
      </c>
      <c r="H572" s="4478" t="s">
        <v>5848</v>
      </c>
      <c r="I572" s="4478" t="s">
        <v>3179</v>
      </c>
      <c r="J572" s="4322">
        <f>G572</f>
        <v>5000000</v>
      </c>
      <c r="K572" s="4413">
        <f>F573-J572</f>
        <v>0</v>
      </c>
      <c r="L572" s="3555" t="s">
        <v>4827</v>
      </c>
    </row>
    <row r="573" spans="1:12" ht="30" customHeight="1" x14ac:dyDescent="0.2">
      <c r="A573" s="4460"/>
      <c r="B573" s="4458"/>
      <c r="C573" s="4538"/>
      <c r="D573" s="3582">
        <v>100000000</v>
      </c>
      <c r="E573" s="897">
        <v>0.05</v>
      </c>
      <c r="F573" s="3582">
        <f>D573*E573</f>
        <v>5000000</v>
      </c>
      <c r="G573" s="4415"/>
      <c r="H573" s="4479"/>
      <c r="I573" s="4479"/>
      <c r="J573" s="4322"/>
      <c r="K573" s="4415"/>
      <c r="L573" s="3555" t="s">
        <v>4595</v>
      </c>
    </row>
    <row r="574" spans="1:12" ht="30" customHeight="1" x14ac:dyDescent="0.2">
      <c r="A574" s="4459"/>
      <c r="B574" s="4457" t="s">
        <v>150</v>
      </c>
      <c r="C574" s="4537" t="s">
        <v>1796</v>
      </c>
      <c r="D574" s="4597">
        <v>2222000000</v>
      </c>
      <c r="E574" s="4672">
        <f>F574/D574</f>
        <v>8.1903690369036899E-2</v>
      </c>
      <c r="F574" s="4597">
        <v>181990000</v>
      </c>
      <c r="G574" s="3588">
        <v>50000000</v>
      </c>
      <c r="H574" s="3588" t="s">
        <v>5401</v>
      </c>
      <c r="I574" s="3588" t="s">
        <v>1084</v>
      </c>
      <c r="J574" s="4597">
        <f>G574+G575+G576</f>
        <v>50000000</v>
      </c>
      <c r="K574" s="4597">
        <f>F574-J574</f>
        <v>131990000</v>
      </c>
      <c r="L574" s="3552" t="s">
        <v>4907</v>
      </c>
    </row>
    <row r="575" spans="1:12" ht="30" customHeight="1" x14ac:dyDescent="0.2">
      <c r="A575" s="4464"/>
      <c r="B575" s="4488"/>
      <c r="C575" s="4540"/>
      <c r="D575" s="4619"/>
      <c r="E575" s="4673"/>
      <c r="F575" s="4619"/>
      <c r="G575" s="3588"/>
      <c r="H575" s="3588"/>
      <c r="I575" s="3588"/>
      <c r="J575" s="4619"/>
      <c r="K575" s="4619"/>
      <c r="L575" s="3552"/>
    </row>
    <row r="576" spans="1:12" ht="30" customHeight="1" x14ac:dyDescent="0.2">
      <c r="A576" s="4464"/>
      <c r="B576" s="4488"/>
      <c r="C576" s="4540"/>
      <c r="D576" s="4598"/>
      <c r="E576" s="4674"/>
      <c r="F576" s="4598"/>
      <c r="G576" s="3588"/>
      <c r="H576" s="3588"/>
      <c r="I576" s="3588"/>
      <c r="J576" s="4598"/>
      <c r="K576" s="4598"/>
      <c r="L576" s="3552"/>
    </row>
    <row r="577" spans="1:12" ht="30" customHeight="1" x14ac:dyDescent="0.2">
      <c r="A577" s="4464"/>
      <c r="B577" s="4488"/>
      <c r="C577" s="4540"/>
      <c r="D577" s="4925" t="s">
        <v>5208</v>
      </c>
      <c r="E577" s="5145"/>
      <c r="F577" s="4926"/>
      <c r="G577" s="3826"/>
      <c r="H577" s="3826"/>
      <c r="I577" s="3831"/>
      <c r="J577" s="4861">
        <f>G577+G579</f>
        <v>0</v>
      </c>
      <c r="K577" s="4861">
        <f>200000000-J577</f>
        <v>200000000</v>
      </c>
      <c r="L577" s="5110" t="s">
        <v>5209</v>
      </c>
    </row>
    <row r="578" spans="1:12" ht="30" customHeight="1" x14ac:dyDescent="0.2">
      <c r="A578" s="4464"/>
      <c r="B578" s="4488"/>
      <c r="C578" s="4540"/>
      <c r="D578" s="4927"/>
      <c r="E578" s="5146"/>
      <c r="F578" s="4928"/>
      <c r="G578" s="3826"/>
      <c r="H578" s="3826"/>
      <c r="I578" s="3831"/>
      <c r="J578" s="4862"/>
      <c r="K578" s="4862"/>
      <c r="L578" s="5111"/>
    </row>
    <row r="579" spans="1:12" ht="30" customHeight="1" x14ac:dyDescent="0.2">
      <c r="A579" s="4464"/>
      <c r="B579" s="4488"/>
      <c r="C579" s="4540"/>
      <c r="D579" s="3839">
        <f>D574-200000000</f>
        <v>2022000000</v>
      </c>
      <c r="E579" s="680">
        <v>8.3000000000000004E-2</v>
      </c>
      <c r="F579" s="3839">
        <v>167990000</v>
      </c>
      <c r="G579" s="3826"/>
      <c r="H579" s="3826"/>
      <c r="I579" s="3831"/>
      <c r="J579" s="4863"/>
      <c r="K579" s="4863"/>
      <c r="L579" s="5112"/>
    </row>
    <row r="580" spans="1:12" ht="30" customHeight="1" x14ac:dyDescent="0.2">
      <c r="A580" s="4464"/>
      <c r="B580" s="4488"/>
      <c r="C580" s="4540"/>
      <c r="D580" s="4303" t="s">
        <v>5530</v>
      </c>
      <c r="E580" s="4324"/>
      <c r="F580" s="4355"/>
      <c r="G580" s="4469" t="s">
        <v>5529</v>
      </c>
      <c r="H580" s="4470"/>
      <c r="I580" s="4470"/>
      <c r="J580" s="4471"/>
      <c r="K580" s="7"/>
      <c r="L580" s="3813" t="s">
        <v>5531</v>
      </c>
    </row>
    <row r="581" spans="1:12" ht="30" customHeight="1" x14ac:dyDescent="0.2">
      <c r="A581" s="4464"/>
      <c r="B581" s="4488"/>
      <c r="C581" s="4540"/>
      <c r="D581" s="3827">
        <f>D579+200000000</f>
        <v>2222000000</v>
      </c>
      <c r="E581" s="3829">
        <f>F581/D581</f>
        <v>8.3703870387038706E-2</v>
      </c>
      <c r="F581" s="3827">
        <v>185990000</v>
      </c>
      <c r="G581" s="4469" t="s">
        <v>5532</v>
      </c>
      <c r="H581" s="4470"/>
      <c r="I581" s="4470"/>
      <c r="J581" s="4471"/>
      <c r="K581" s="7"/>
      <c r="L581" s="3813"/>
    </row>
    <row r="582" spans="1:12" ht="30" customHeight="1" x14ac:dyDescent="0.2">
      <c r="A582" s="4464"/>
      <c r="B582" s="4488"/>
      <c r="C582" s="4540"/>
      <c r="D582" s="4303" t="s">
        <v>5773</v>
      </c>
      <c r="E582" s="4324"/>
      <c r="F582" s="4355"/>
      <c r="G582" s="4025"/>
      <c r="H582" s="4025"/>
      <c r="I582" s="4025"/>
      <c r="J582" s="4025"/>
      <c r="K582" s="7"/>
      <c r="L582" s="4018"/>
    </row>
    <row r="583" spans="1:12" ht="30" customHeight="1" x14ac:dyDescent="0.2">
      <c r="A583" s="4464"/>
      <c r="B583" s="4488"/>
      <c r="C583" s="4540"/>
      <c r="D583" s="4872">
        <f>D581-60000000</f>
        <v>2162000000</v>
      </c>
      <c r="E583" s="4874">
        <v>8.4000000000000005E-2</v>
      </c>
      <c r="F583" s="4872">
        <f>D583*E583</f>
        <v>181608000</v>
      </c>
      <c r="G583" s="4469" t="s">
        <v>5774</v>
      </c>
      <c r="H583" s="4470"/>
      <c r="I583" s="4470"/>
      <c r="J583" s="4471"/>
      <c r="K583" s="7"/>
      <c r="L583" s="4018"/>
    </row>
    <row r="584" spans="1:12" ht="30" customHeight="1" x14ac:dyDescent="0.2">
      <c r="A584" s="4460"/>
      <c r="B584" s="4458"/>
      <c r="C584" s="4540"/>
      <c r="D584" s="4873"/>
      <c r="E584" s="4875"/>
      <c r="F584" s="4873"/>
      <c r="G584" s="4303" t="s">
        <v>5971</v>
      </c>
      <c r="H584" s="4324"/>
      <c r="I584" s="4324"/>
      <c r="J584" s="4355"/>
      <c r="K584" s="7"/>
      <c r="L584" s="4159" t="s">
        <v>5972</v>
      </c>
    </row>
    <row r="585" spans="1:12" ht="30" customHeight="1" x14ac:dyDescent="0.2">
      <c r="A585" s="4225"/>
      <c r="B585" s="4244" t="s">
        <v>6057</v>
      </c>
      <c r="C585" s="4540"/>
      <c r="D585" s="4219">
        <v>10000000</v>
      </c>
      <c r="E585" s="4235"/>
      <c r="F585" s="4219"/>
      <c r="G585" s="4793" t="s">
        <v>6058</v>
      </c>
      <c r="H585" s="4794"/>
      <c r="I585" s="4794"/>
      <c r="J585" s="4795"/>
      <c r="K585" s="178"/>
      <c r="L585" s="4247" t="s">
        <v>6059</v>
      </c>
    </row>
    <row r="586" spans="1:12" ht="30" customHeight="1" x14ac:dyDescent="0.2">
      <c r="A586" s="4243"/>
      <c r="B586" s="4244" t="s">
        <v>6060</v>
      </c>
      <c r="C586" s="4540"/>
      <c r="D586" s="4217">
        <v>40000000</v>
      </c>
      <c r="E586" s="4241"/>
      <c r="F586" s="4217"/>
      <c r="G586" s="4469" t="s">
        <v>6062</v>
      </c>
      <c r="H586" s="4470"/>
      <c r="I586" s="4470"/>
      <c r="J586" s="4471"/>
      <c r="K586" s="233"/>
      <c r="L586" s="4247" t="s">
        <v>6061</v>
      </c>
    </row>
    <row r="587" spans="1:12" ht="30" customHeight="1" x14ac:dyDescent="0.2">
      <c r="A587" s="4223"/>
      <c r="B587" s="4236" t="s">
        <v>150</v>
      </c>
      <c r="C587" s="4538"/>
      <c r="D587" s="4232">
        <f>D583+D585+D586</f>
        <v>2212000000</v>
      </c>
      <c r="E587" s="4227"/>
      <c r="F587" s="4232">
        <v>186290000</v>
      </c>
      <c r="G587" s="4469" t="s">
        <v>6063</v>
      </c>
      <c r="H587" s="4470"/>
      <c r="I587" s="4470"/>
      <c r="J587" s="4471"/>
      <c r="K587" s="233"/>
      <c r="L587" s="4251" t="s">
        <v>6064</v>
      </c>
    </row>
    <row r="588" spans="1:12" ht="30" customHeight="1" x14ac:dyDescent="0.2">
      <c r="A588" s="4459">
        <v>305</v>
      </c>
      <c r="B588" s="4457" t="s">
        <v>152</v>
      </c>
      <c r="C588" s="4537" t="s">
        <v>1796</v>
      </c>
      <c r="D588" s="4413">
        <v>900000000</v>
      </c>
      <c r="E588" s="4476">
        <v>7.0000000000000007E-2</v>
      </c>
      <c r="F588" s="4413">
        <f>D588*E588</f>
        <v>63000000.000000007</v>
      </c>
      <c r="G588" s="3636">
        <v>38500000</v>
      </c>
      <c r="H588" s="3636" t="s">
        <v>5343</v>
      </c>
      <c r="I588" s="3637" t="s">
        <v>2394</v>
      </c>
      <c r="J588" s="5113">
        <f>G588+G589</f>
        <v>58500000</v>
      </c>
      <c r="K588" s="5113"/>
      <c r="L588" s="3638" t="s">
        <v>4907</v>
      </c>
    </row>
    <row r="589" spans="1:12" ht="30" customHeight="1" x14ac:dyDescent="0.2">
      <c r="A589" s="4464"/>
      <c r="B589" s="4488"/>
      <c r="C589" s="4540"/>
      <c r="D589" s="4414"/>
      <c r="E589" s="4516"/>
      <c r="F589" s="4414"/>
      <c r="G589" s="3636">
        <v>20000000</v>
      </c>
      <c r="H589" s="3636" t="s">
        <v>5361</v>
      </c>
      <c r="I589" s="3637" t="s">
        <v>2394</v>
      </c>
      <c r="J589" s="5113"/>
      <c r="K589" s="5113"/>
      <c r="L589" s="3638" t="s">
        <v>4907</v>
      </c>
    </row>
    <row r="590" spans="1:12" ht="30" customHeight="1" x14ac:dyDescent="0.2">
      <c r="A590" s="4464"/>
      <c r="B590" s="4488"/>
      <c r="C590" s="4540"/>
      <c r="D590" s="4414"/>
      <c r="E590" s="4516"/>
      <c r="F590" s="4414"/>
      <c r="G590" s="3493">
        <v>30000000</v>
      </c>
      <c r="H590" s="3493" t="s">
        <v>5974</v>
      </c>
      <c r="I590" s="3594" t="s">
        <v>2394</v>
      </c>
      <c r="J590" s="4413">
        <f>G590+G591+3000000</f>
        <v>66500000</v>
      </c>
      <c r="K590" s="4413">
        <f>(F588+3500000)-J590</f>
        <v>0</v>
      </c>
      <c r="L590" s="345"/>
    </row>
    <row r="591" spans="1:12" ht="30" customHeight="1" x14ac:dyDescent="0.2">
      <c r="A591" s="4464"/>
      <c r="B591" s="4488"/>
      <c r="C591" s="4540"/>
      <c r="D591" s="4415"/>
      <c r="E591" s="4477"/>
      <c r="F591" s="4415"/>
      <c r="G591" s="3493">
        <v>33500000</v>
      </c>
      <c r="H591" s="3493" t="s">
        <v>6035</v>
      </c>
      <c r="I591" s="3594" t="s">
        <v>2394</v>
      </c>
      <c r="J591" s="4414"/>
      <c r="K591" s="4414"/>
      <c r="L591" s="345"/>
    </row>
    <row r="592" spans="1:12" ht="30" customHeight="1" x14ac:dyDescent="0.2">
      <c r="A592" s="4460"/>
      <c r="B592" s="4458"/>
      <c r="C592" s="4538"/>
      <c r="D592" s="4075">
        <v>100000000</v>
      </c>
      <c r="E592" s="4078">
        <v>7.0000000000000007E-2</v>
      </c>
      <c r="F592" s="4075">
        <f>D592*E592</f>
        <v>7000000.0000000009</v>
      </c>
      <c r="G592" s="4303" t="s">
        <v>6039</v>
      </c>
      <c r="H592" s="4324"/>
      <c r="I592" s="4355"/>
      <c r="J592" s="4415"/>
      <c r="K592" s="4415"/>
      <c r="L592" s="4086" t="s">
        <v>5909</v>
      </c>
    </row>
    <row r="593" spans="1:12" ht="30" customHeight="1" x14ac:dyDescent="0.2">
      <c r="A593" s="4459">
        <v>307</v>
      </c>
      <c r="B593" s="4457" t="s">
        <v>154</v>
      </c>
      <c r="C593" s="4537" t="s">
        <v>1306</v>
      </c>
      <c r="D593" s="3493">
        <v>200000000</v>
      </c>
      <c r="E593" s="3535">
        <v>0.05</v>
      </c>
      <c r="F593" s="3493">
        <f t="shared" si="48"/>
        <v>10000000</v>
      </c>
      <c r="G593" s="4413">
        <v>11500000</v>
      </c>
      <c r="H593" s="4413" t="s">
        <v>5848</v>
      </c>
      <c r="I593" s="4478" t="s">
        <v>2409</v>
      </c>
      <c r="J593" s="4413">
        <f>G593</f>
        <v>11500000</v>
      </c>
      <c r="K593" s="4413"/>
      <c r="L593" s="3539"/>
    </row>
    <row r="594" spans="1:12" ht="30" customHeight="1" x14ac:dyDescent="0.2">
      <c r="A594" s="4464"/>
      <c r="B594" s="4488"/>
      <c r="C594" s="4540"/>
      <c r="D594" s="3999">
        <v>100000000</v>
      </c>
      <c r="E594" s="4015">
        <v>0.05</v>
      </c>
      <c r="F594" s="3999">
        <f>D594*E594</f>
        <v>5000000</v>
      </c>
      <c r="G594" s="4414"/>
      <c r="H594" s="4414"/>
      <c r="I594" s="4520"/>
      <c r="J594" s="4414"/>
      <c r="K594" s="4414"/>
      <c r="L594" s="4024" t="s">
        <v>5908</v>
      </c>
    </row>
    <row r="595" spans="1:12" ht="30" customHeight="1" x14ac:dyDescent="0.2">
      <c r="A595" s="4460"/>
      <c r="B595" s="4458"/>
      <c r="C595" s="4538"/>
      <c r="D595" s="3490">
        <v>300000000</v>
      </c>
      <c r="E595" s="436">
        <v>0.05</v>
      </c>
      <c r="F595" s="3510">
        <f>D595*E595</f>
        <v>15000000</v>
      </c>
      <c r="G595" s="4415"/>
      <c r="H595" s="4415"/>
      <c r="I595" s="4479"/>
      <c r="J595" s="4415"/>
      <c r="K595" s="4415"/>
      <c r="L595" s="3501"/>
    </row>
    <row r="596" spans="1:12" ht="30" customHeight="1" x14ac:dyDescent="0.2">
      <c r="A596" s="1029">
        <v>308</v>
      </c>
      <c r="B596" s="19" t="s">
        <v>155</v>
      </c>
      <c r="C596" s="3816" t="s">
        <v>1294</v>
      </c>
      <c r="D596" s="3524">
        <v>300000000</v>
      </c>
      <c r="E596" s="3535">
        <v>0.05</v>
      </c>
      <c r="F596" s="3524">
        <f t="shared" si="48"/>
        <v>15000000</v>
      </c>
      <c r="G596" s="3524">
        <v>15000000</v>
      </c>
      <c r="H596" s="3524" t="s">
        <v>5744</v>
      </c>
      <c r="I596" s="18" t="s">
        <v>1873</v>
      </c>
      <c r="J596" s="3524">
        <f>G596</f>
        <v>15000000</v>
      </c>
      <c r="K596" s="3524">
        <f>F596-J596</f>
        <v>0</v>
      </c>
      <c r="L596" s="4643"/>
    </row>
    <row r="597" spans="1:12" ht="30" customHeight="1" x14ac:dyDescent="0.2">
      <c r="A597" s="3782">
        <v>309</v>
      </c>
      <c r="B597" s="3785" t="s">
        <v>1874</v>
      </c>
      <c r="C597" s="3541" t="s">
        <v>372</v>
      </c>
      <c r="D597" s="3493">
        <v>200000000</v>
      </c>
      <c r="E597" s="3499">
        <v>0.05</v>
      </c>
      <c r="F597" s="3493">
        <f>D597*E597</f>
        <v>10000000</v>
      </c>
      <c r="G597" s="3524">
        <v>10000000</v>
      </c>
      <c r="H597" s="3524" t="s">
        <v>5370</v>
      </c>
      <c r="I597" s="18" t="s">
        <v>1873</v>
      </c>
      <c r="J597" s="3524">
        <f>G597</f>
        <v>10000000</v>
      </c>
      <c r="K597" s="3524">
        <f>F597-J597</f>
        <v>0</v>
      </c>
      <c r="L597" s="4644"/>
    </row>
    <row r="598" spans="1:12" ht="30" customHeight="1" x14ac:dyDescent="0.2">
      <c r="A598" s="3496">
        <v>310</v>
      </c>
      <c r="B598" s="3539" t="s">
        <v>157</v>
      </c>
      <c r="C598" s="3515" t="s">
        <v>392</v>
      </c>
      <c r="D598" s="3493">
        <v>100000000</v>
      </c>
      <c r="E598" s="3499">
        <v>0.05</v>
      </c>
      <c r="F598" s="3493">
        <f t="shared" ref="F598:F620" si="54">D598*E598</f>
        <v>5000000</v>
      </c>
      <c r="G598" s="3493"/>
      <c r="H598" s="3493"/>
      <c r="I598" s="3594" t="s">
        <v>4886</v>
      </c>
      <c r="J598" s="3493">
        <f>G598</f>
        <v>0</v>
      </c>
      <c r="K598" s="3493">
        <f t="shared" ref="K598:K606" si="55">F598-J598</f>
        <v>5000000</v>
      </c>
      <c r="L598" s="3573" t="s">
        <v>4756</v>
      </c>
    </row>
    <row r="599" spans="1:12" ht="30" customHeight="1" x14ac:dyDescent="0.2">
      <c r="A599" s="4459">
        <v>311</v>
      </c>
      <c r="B599" s="4457" t="s">
        <v>158</v>
      </c>
      <c r="C599" s="4537" t="s">
        <v>889</v>
      </c>
      <c r="D599" s="3493">
        <v>85000000</v>
      </c>
      <c r="E599" s="3535">
        <v>0.05</v>
      </c>
      <c r="F599" s="3493">
        <f t="shared" si="54"/>
        <v>4250000</v>
      </c>
      <c r="G599" s="4413">
        <v>9250000</v>
      </c>
      <c r="H599" s="4413" t="s">
        <v>5361</v>
      </c>
      <c r="I599" s="4568" t="s">
        <v>3971</v>
      </c>
      <c r="J599" s="4413">
        <f>G599</f>
        <v>9250000</v>
      </c>
      <c r="K599" s="4413">
        <f>(F599+F600)-J599</f>
        <v>0</v>
      </c>
      <c r="L599" s="3504"/>
    </row>
    <row r="600" spans="1:12" ht="30" customHeight="1" x14ac:dyDescent="0.2">
      <c r="A600" s="4460"/>
      <c r="B600" s="4458"/>
      <c r="C600" s="4538"/>
      <c r="D600" s="3493">
        <v>100000000</v>
      </c>
      <c r="E600" s="3535">
        <v>0.05</v>
      </c>
      <c r="F600" s="3493">
        <f t="shared" si="54"/>
        <v>5000000</v>
      </c>
      <c r="G600" s="4415"/>
      <c r="H600" s="4415"/>
      <c r="I600" s="4569"/>
      <c r="J600" s="4415"/>
      <c r="K600" s="4415"/>
      <c r="L600" s="3505"/>
    </row>
    <row r="601" spans="1:12" ht="30" customHeight="1" x14ac:dyDescent="0.2">
      <c r="A601" s="3496">
        <v>312</v>
      </c>
      <c r="B601" s="3539" t="s">
        <v>159</v>
      </c>
      <c r="C601" s="3515"/>
      <c r="D601" s="3512"/>
      <c r="E601" s="2521"/>
      <c r="F601" s="3512">
        <f t="shared" si="54"/>
        <v>0</v>
      </c>
      <c r="G601" s="3493">
        <v>1000000</v>
      </c>
      <c r="H601" s="3493" t="s">
        <v>2341</v>
      </c>
      <c r="I601" s="3594" t="s">
        <v>5928</v>
      </c>
      <c r="J601" s="3493">
        <f>G601</f>
        <v>1000000</v>
      </c>
      <c r="K601" s="3512">
        <f t="shared" si="55"/>
        <v>-1000000</v>
      </c>
      <c r="L601" s="3539"/>
    </row>
    <row r="602" spans="1:12" ht="30" customHeight="1" x14ac:dyDescent="0.2">
      <c r="A602" s="3325">
        <v>313</v>
      </c>
      <c r="B602" s="3720" t="s">
        <v>161</v>
      </c>
      <c r="C602" s="3719" t="s">
        <v>1652</v>
      </c>
      <c r="D602" s="3712">
        <v>152000000</v>
      </c>
      <c r="E602" s="3718">
        <v>0.05</v>
      </c>
      <c r="F602" s="3712">
        <f>D602*E602</f>
        <v>7600000</v>
      </c>
      <c r="G602" s="3524">
        <v>7600000</v>
      </c>
      <c r="H602" s="3524" t="s">
        <v>5348</v>
      </c>
      <c r="I602" s="3546" t="s">
        <v>3468</v>
      </c>
      <c r="J602" s="3524">
        <f>G602</f>
        <v>7600000</v>
      </c>
      <c r="K602" s="3524">
        <f t="shared" si="55"/>
        <v>0</v>
      </c>
      <c r="L602" s="3562"/>
    </row>
    <row r="603" spans="1:12" ht="30" customHeight="1" x14ac:dyDescent="0.2">
      <c r="A603" s="4459">
        <v>315</v>
      </c>
      <c r="B603" s="4457" t="s">
        <v>163</v>
      </c>
      <c r="C603" s="4537" t="s">
        <v>1176</v>
      </c>
      <c r="D603" s="3524">
        <v>400000000</v>
      </c>
      <c r="E603" s="3535">
        <v>6.3E-2</v>
      </c>
      <c r="F603" s="3524">
        <v>25000000</v>
      </c>
      <c r="G603" s="4413">
        <v>30000000</v>
      </c>
      <c r="H603" s="4413" t="s">
        <v>2019</v>
      </c>
      <c r="I603" s="4413">
        <v>30000000</v>
      </c>
      <c r="J603" s="4413">
        <f>G603</f>
        <v>30000000</v>
      </c>
      <c r="K603" s="4413">
        <f>(F603+F604)-J603</f>
        <v>0</v>
      </c>
      <c r="L603" s="3517"/>
    </row>
    <row r="604" spans="1:12" ht="30" customHeight="1" x14ac:dyDescent="0.2">
      <c r="A604" s="4460"/>
      <c r="B604" s="4458"/>
      <c r="C604" s="4538"/>
      <c r="D604" s="3493">
        <v>100000000</v>
      </c>
      <c r="E604" s="3499">
        <v>0.05</v>
      </c>
      <c r="F604" s="3493">
        <f>D604*E604</f>
        <v>5000000</v>
      </c>
      <c r="G604" s="4415"/>
      <c r="H604" s="4415"/>
      <c r="I604" s="4415"/>
      <c r="J604" s="4415"/>
      <c r="K604" s="4415"/>
      <c r="L604" s="3573" t="s">
        <v>5003</v>
      </c>
    </row>
    <row r="605" spans="1:12" ht="30" customHeight="1" x14ac:dyDescent="0.2">
      <c r="A605" s="3538">
        <v>316</v>
      </c>
      <c r="B605" s="3502" t="s">
        <v>164</v>
      </c>
      <c r="C605" s="3515"/>
      <c r="D605" s="3493">
        <v>35000000</v>
      </c>
      <c r="E605" s="3499">
        <v>0.04</v>
      </c>
      <c r="F605" s="3493">
        <f>D605*E605</f>
        <v>1400000</v>
      </c>
      <c r="G605" s="3493">
        <v>1400000</v>
      </c>
      <c r="H605" s="3493" t="s">
        <v>3978</v>
      </c>
      <c r="I605" s="3527" t="s">
        <v>288</v>
      </c>
      <c r="J605" s="3493">
        <f t="shared" ref="J605:J619" si="56">G605</f>
        <v>1400000</v>
      </c>
      <c r="K605" s="3493">
        <f t="shared" si="55"/>
        <v>0</v>
      </c>
      <c r="L605" s="3539"/>
    </row>
    <row r="606" spans="1:12" ht="30" customHeight="1" x14ac:dyDescent="0.2">
      <c r="A606" s="4459">
        <v>317</v>
      </c>
      <c r="B606" s="4457" t="s">
        <v>4531</v>
      </c>
      <c r="C606" s="4537" t="s">
        <v>359</v>
      </c>
      <c r="D606" s="3493">
        <v>100000000</v>
      </c>
      <c r="E606" s="3535">
        <v>0.05</v>
      </c>
      <c r="F606" s="3493">
        <f>D606*E606</f>
        <v>5000000</v>
      </c>
      <c r="G606" s="4907" t="s">
        <v>4998</v>
      </c>
      <c r="H606" s="4908"/>
      <c r="I606" s="4908"/>
      <c r="J606" s="4909"/>
      <c r="K606" s="3493">
        <f t="shared" si="55"/>
        <v>5000000</v>
      </c>
      <c r="L606" s="3573"/>
    </row>
    <row r="607" spans="1:12" ht="30" customHeight="1" x14ac:dyDescent="0.2">
      <c r="A607" s="4464"/>
      <c r="B607" s="4488"/>
      <c r="C607" s="4540"/>
      <c r="D607" s="3493">
        <v>100000000</v>
      </c>
      <c r="E607" s="3535">
        <v>0.05</v>
      </c>
      <c r="F607" s="3493">
        <f>D607*E607</f>
        <v>5000000</v>
      </c>
      <c r="G607" s="4913"/>
      <c r="H607" s="4914"/>
      <c r="I607" s="4914"/>
      <c r="J607" s="4915"/>
      <c r="K607" s="3493"/>
      <c r="L607" s="3573" t="s">
        <v>4918</v>
      </c>
    </row>
    <row r="608" spans="1:12" ht="30" customHeight="1" x14ac:dyDescent="0.2">
      <c r="A608" s="4464"/>
      <c r="B608" s="4488"/>
      <c r="C608" s="4540"/>
      <c r="D608" s="4413">
        <v>100000000</v>
      </c>
      <c r="E608" s="4476">
        <v>0.05</v>
      </c>
      <c r="F608" s="4413">
        <f>D608*E608</f>
        <v>5000000</v>
      </c>
      <c r="G608" s="4725" t="s">
        <v>4997</v>
      </c>
      <c r="H608" s="4726"/>
      <c r="I608" s="4726"/>
      <c r="J608" s="4727"/>
      <c r="K608" s="3493"/>
      <c r="L608" s="3573"/>
    </row>
    <row r="609" spans="1:12" ht="30" customHeight="1" x14ac:dyDescent="0.2">
      <c r="A609" s="4464"/>
      <c r="B609" s="4488"/>
      <c r="C609" s="4540"/>
      <c r="D609" s="4415"/>
      <c r="E609" s="4477"/>
      <c r="F609" s="4415"/>
      <c r="G609" s="4725" t="s">
        <v>4996</v>
      </c>
      <c r="H609" s="4726"/>
      <c r="I609" s="4726"/>
      <c r="J609" s="4727"/>
      <c r="K609" s="3493"/>
      <c r="L609" s="3573"/>
    </row>
    <row r="610" spans="1:12" ht="30" customHeight="1" x14ac:dyDescent="0.2">
      <c r="A610" s="4460"/>
      <c r="B610" s="4458"/>
      <c r="C610" s="4538"/>
      <c r="D610" s="3778">
        <f>SUM(D606:D609)</f>
        <v>300000000</v>
      </c>
      <c r="E610" s="3787">
        <v>0.05</v>
      </c>
      <c r="F610" s="3778">
        <f>D610*E610</f>
        <v>15000000</v>
      </c>
      <c r="G610" s="3778">
        <v>15000000</v>
      </c>
      <c r="H610" s="3814" t="s">
        <v>1879</v>
      </c>
      <c r="I610" s="3814" t="s">
        <v>2026</v>
      </c>
      <c r="J610" s="3778">
        <f>G610</f>
        <v>15000000</v>
      </c>
      <c r="K610" s="3777">
        <f>F610-G610</f>
        <v>0</v>
      </c>
      <c r="L610" s="3830"/>
    </row>
    <row r="611" spans="1:12" ht="30" customHeight="1" x14ac:dyDescent="0.2">
      <c r="A611" s="4459"/>
      <c r="B611" s="4457" t="s">
        <v>165</v>
      </c>
      <c r="C611" s="4537" t="s">
        <v>1287</v>
      </c>
      <c r="D611" s="3493">
        <v>210000000</v>
      </c>
      <c r="E611" s="3535">
        <v>0.06</v>
      </c>
      <c r="F611" s="3493">
        <f>D611*E611</f>
        <v>12600000</v>
      </c>
      <c r="G611" s="4413"/>
      <c r="H611" s="4478"/>
      <c r="I611" s="4478" t="s">
        <v>2996</v>
      </c>
      <c r="J611" s="4975">
        <f>G611</f>
        <v>0</v>
      </c>
      <c r="K611" s="4413">
        <f>(F611+F612+F613)-J611-100000</f>
        <v>39000000</v>
      </c>
      <c r="L611" s="3573" t="s">
        <v>2709</v>
      </c>
    </row>
    <row r="612" spans="1:12" ht="30" customHeight="1" x14ac:dyDescent="0.2">
      <c r="A612" s="4464"/>
      <c r="B612" s="4488"/>
      <c r="C612" s="4540"/>
      <c r="D612" s="3493">
        <v>200000000</v>
      </c>
      <c r="E612" s="3535">
        <v>0.06</v>
      </c>
      <c r="F612" s="3493">
        <f>D612*E612</f>
        <v>12000000</v>
      </c>
      <c r="G612" s="4414"/>
      <c r="H612" s="4520"/>
      <c r="I612" s="4520"/>
      <c r="J612" s="4520"/>
      <c r="K612" s="4414"/>
      <c r="L612" s="3573" t="s">
        <v>5092</v>
      </c>
    </row>
    <row r="613" spans="1:12" ht="30" customHeight="1" x14ac:dyDescent="0.2">
      <c r="A613" s="4460"/>
      <c r="B613" s="4458"/>
      <c r="C613" s="4538"/>
      <c r="D613" s="4303" t="s">
        <v>5165</v>
      </c>
      <c r="E613" s="4355"/>
      <c r="F613" s="3493">
        <v>14500000</v>
      </c>
      <c r="G613" s="4415"/>
      <c r="H613" s="4479"/>
      <c r="I613" s="4479"/>
      <c r="J613" s="4479"/>
      <c r="K613" s="4415"/>
      <c r="L613" s="3573" t="s">
        <v>5166</v>
      </c>
    </row>
    <row r="614" spans="1:12" ht="30" customHeight="1" x14ac:dyDescent="0.2">
      <c r="A614" s="4459">
        <v>318</v>
      </c>
      <c r="B614" s="4457" t="s">
        <v>167</v>
      </c>
      <c r="C614" s="4537"/>
      <c r="D614" s="3493">
        <v>80000000</v>
      </c>
      <c r="E614" s="3535">
        <v>0.05</v>
      </c>
      <c r="F614" s="3493">
        <f t="shared" si="54"/>
        <v>4000000</v>
      </c>
      <c r="G614" s="3493">
        <v>4000000</v>
      </c>
      <c r="H614" s="3493" t="s">
        <v>5370</v>
      </c>
      <c r="I614" s="18" t="s">
        <v>4454</v>
      </c>
      <c r="J614" s="3493">
        <f t="shared" si="56"/>
        <v>4000000</v>
      </c>
      <c r="K614" s="3493">
        <f>F614-J614</f>
        <v>0</v>
      </c>
      <c r="L614" s="3539"/>
    </row>
    <row r="615" spans="1:12" ht="30" customHeight="1" x14ac:dyDescent="0.2">
      <c r="A615" s="4460"/>
      <c r="B615" s="4458"/>
      <c r="C615" s="4538"/>
      <c r="D615" s="3493">
        <v>250000000</v>
      </c>
      <c r="E615" s="3535"/>
      <c r="F615" s="3493"/>
      <c r="G615" s="3492"/>
      <c r="H615" s="3492"/>
      <c r="I615" s="3526"/>
      <c r="J615" s="3492"/>
      <c r="K615" s="3492"/>
      <c r="L615" s="3573" t="s">
        <v>5210</v>
      </c>
    </row>
    <row r="616" spans="1:12" ht="30" customHeight="1" x14ac:dyDescent="0.2">
      <c r="A616" s="4459">
        <v>320</v>
      </c>
      <c r="B616" s="4457" t="s">
        <v>169</v>
      </c>
      <c r="C616" s="4537" t="s">
        <v>1300</v>
      </c>
      <c r="D616" s="3493">
        <v>135000000</v>
      </c>
      <c r="E616" s="3535">
        <v>0.06</v>
      </c>
      <c r="F616" s="3493">
        <v>8000000</v>
      </c>
      <c r="G616" s="4413">
        <v>9750000</v>
      </c>
      <c r="H616" s="4413" t="s">
        <v>5604</v>
      </c>
      <c r="I616" s="4478" t="s">
        <v>2078</v>
      </c>
      <c r="J616" s="4413">
        <f t="shared" si="56"/>
        <v>9750000</v>
      </c>
      <c r="K616" s="4413">
        <f>(F616+F617)-J616</f>
        <v>0</v>
      </c>
      <c r="L616" s="3573"/>
    </row>
    <row r="617" spans="1:12" ht="30" customHeight="1" x14ac:dyDescent="0.2">
      <c r="A617" s="4460"/>
      <c r="B617" s="4458"/>
      <c r="C617" s="4538"/>
      <c r="D617" s="3493">
        <v>35000000</v>
      </c>
      <c r="E617" s="3535">
        <v>0.05</v>
      </c>
      <c r="F617" s="3493">
        <f>D617*E617</f>
        <v>1750000</v>
      </c>
      <c r="G617" s="4415"/>
      <c r="H617" s="4415"/>
      <c r="I617" s="4479"/>
      <c r="J617" s="4415"/>
      <c r="K617" s="4415"/>
      <c r="L617" s="1025" t="s">
        <v>3458</v>
      </c>
    </row>
    <row r="618" spans="1:12" ht="30" customHeight="1" x14ac:dyDescent="0.2">
      <c r="A618" s="3496">
        <v>321</v>
      </c>
      <c r="B618" s="19" t="s">
        <v>171</v>
      </c>
      <c r="C618" s="3541" t="s">
        <v>3007</v>
      </c>
      <c r="D618" s="3524">
        <v>5000000</v>
      </c>
      <c r="E618" s="3535">
        <v>0.04</v>
      </c>
      <c r="F618" s="3524">
        <f t="shared" si="54"/>
        <v>200000</v>
      </c>
      <c r="G618" s="3524">
        <v>200000</v>
      </c>
      <c r="H618" s="3524" t="s">
        <v>2341</v>
      </c>
      <c r="I618" s="3546" t="s">
        <v>1097</v>
      </c>
      <c r="J618" s="3524">
        <f t="shared" si="56"/>
        <v>200000</v>
      </c>
      <c r="K618" s="3524">
        <f>F618-J618</f>
        <v>0</v>
      </c>
      <c r="L618" s="3573"/>
    </row>
    <row r="619" spans="1:12" ht="30" customHeight="1" x14ac:dyDescent="0.2">
      <c r="A619" s="3496">
        <v>322</v>
      </c>
      <c r="B619" s="19" t="s">
        <v>1378</v>
      </c>
      <c r="C619" s="3541" t="s">
        <v>1081</v>
      </c>
      <c r="D619" s="3524">
        <v>10000000</v>
      </c>
      <c r="E619" s="3535">
        <v>0.05</v>
      </c>
      <c r="F619" s="3524">
        <f t="shared" si="54"/>
        <v>500000</v>
      </c>
      <c r="G619" s="3524">
        <v>500000</v>
      </c>
      <c r="H619" s="3524" t="s">
        <v>5361</v>
      </c>
      <c r="I619" s="3545" t="s">
        <v>1376</v>
      </c>
      <c r="J619" s="3524">
        <f t="shared" si="56"/>
        <v>500000</v>
      </c>
      <c r="K619" s="3524">
        <f>F619-J619</f>
        <v>0</v>
      </c>
      <c r="L619" s="3573" t="s">
        <v>5344</v>
      </c>
    </row>
    <row r="620" spans="1:12" ht="30" customHeight="1" x14ac:dyDescent="0.2">
      <c r="A620" s="3538">
        <v>323</v>
      </c>
      <c r="B620" s="3502" t="s">
        <v>172</v>
      </c>
      <c r="C620" s="3515"/>
      <c r="D620" s="3493">
        <v>60000000</v>
      </c>
      <c r="E620" s="3499">
        <v>4.4999999999999998E-2</v>
      </c>
      <c r="F620" s="3493">
        <f t="shared" si="54"/>
        <v>2700000</v>
      </c>
      <c r="G620" s="3493"/>
      <c r="H620" s="3493"/>
      <c r="I620" s="3528"/>
      <c r="J620" s="3493">
        <f>G620</f>
        <v>0</v>
      </c>
      <c r="K620" s="3493">
        <f>F620-J620</f>
        <v>2700000</v>
      </c>
      <c r="L620" s="3539"/>
    </row>
    <row r="621" spans="1:12" ht="30" customHeight="1" x14ac:dyDescent="0.2">
      <c r="A621" s="3538">
        <v>324</v>
      </c>
      <c r="B621" s="3539" t="s">
        <v>173</v>
      </c>
      <c r="C621" s="3515" t="s">
        <v>889</v>
      </c>
      <c r="D621" s="3493">
        <v>20000000</v>
      </c>
      <c r="E621" s="3535">
        <v>0.05</v>
      </c>
      <c r="F621" s="3493">
        <f>D621*E621</f>
        <v>1000000</v>
      </c>
      <c r="G621" s="3524"/>
      <c r="H621" s="3524"/>
      <c r="I621" s="3546" t="s">
        <v>1740</v>
      </c>
      <c r="J621" s="3524">
        <f>G621</f>
        <v>0</v>
      </c>
      <c r="K621" s="3524"/>
      <c r="L621" s="3549" t="s">
        <v>5065</v>
      </c>
    </row>
    <row r="622" spans="1:12" ht="30" customHeight="1" x14ac:dyDescent="0.2">
      <c r="A622" s="4459">
        <v>325</v>
      </c>
      <c r="B622" s="4457" t="s">
        <v>270</v>
      </c>
      <c r="C622" s="4537" t="s">
        <v>262</v>
      </c>
      <c r="D622" s="3493">
        <v>300000000</v>
      </c>
      <c r="E622" s="3535">
        <v>0.1</v>
      </c>
      <c r="F622" s="3493">
        <v>30750000</v>
      </c>
      <c r="G622" s="3853"/>
      <c r="H622" s="3853"/>
      <c r="I622" s="3854"/>
      <c r="J622" s="3853"/>
      <c r="K622" s="3853"/>
      <c r="L622" s="4537"/>
    </row>
    <row r="623" spans="1:12" ht="30" customHeight="1" x14ac:dyDescent="0.2">
      <c r="A623" s="4464"/>
      <c r="B623" s="4488"/>
      <c r="C623" s="4540"/>
      <c r="D623" s="3493">
        <v>140000000</v>
      </c>
      <c r="E623" s="3535">
        <v>7.0000000000000007E-2</v>
      </c>
      <c r="F623" s="3493">
        <v>9800000</v>
      </c>
      <c r="G623" s="3853"/>
      <c r="H623" s="3853"/>
      <c r="I623" s="3854"/>
      <c r="J623" s="3853"/>
      <c r="K623" s="3853"/>
      <c r="L623" s="4540"/>
    </row>
    <row r="624" spans="1:12" ht="30" customHeight="1" x14ac:dyDescent="0.2">
      <c r="A624" s="4464"/>
      <c r="B624" s="4488"/>
      <c r="C624" s="4540"/>
      <c r="D624" s="3493">
        <v>70000000</v>
      </c>
      <c r="E624" s="3535">
        <v>0.06</v>
      </c>
      <c r="F624" s="3493">
        <f>D624*E624</f>
        <v>4200000</v>
      </c>
      <c r="G624" s="3853"/>
      <c r="H624" s="3853"/>
      <c r="I624" s="3854"/>
      <c r="J624" s="3853"/>
      <c r="K624" s="3853"/>
      <c r="L624" s="3549" t="s">
        <v>4508</v>
      </c>
    </row>
    <row r="625" spans="1:12" ht="30" customHeight="1" x14ac:dyDescent="0.2">
      <c r="A625" s="4464"/>
      <c r="B625" s="4488"/>
      <c r="C625" s="4540"/>
      <c r="D625" s="3493">
        <v>100000000</v>
      </c>
      <c r="E625" s="3535">
        <v>0.06</v>
      </c>
      <c r="F625" s="3493">
        <f>D625*E625</f>
        <v>6000000</v>
      </c>
      <c r="G625" s="3524"/>
      <c r="H625" s="3524"/>
      <c r="I625" s="3546"/>
      <c r="J625" s="3493"/>
      <c r="K625" s="3493"/>
      <c r="L625" s="3549" t="s">
        <v>5050</v>
      </c>
    </row>
    <row r="626" spans="1:12" ht="30" customHeight="1" x14ac:dyDescent="0.2">
      <c r="A626" s="4464"/>
      <c r="B626" s="4488"/>
      <c r="C626" s="4540"/>
      <c r="D626" s="3510">
        <f>SUM(D622:D625)</f>
        <v>610000000</v>
      </c>
      <c r="E626" s="436"/>
      <c r="F626" s="3510">
        <v>52000000</v>
      </c>
      <c r="G626" s="3524"/>
      <c r="H626" s="3524"/>
      <c r="I626" s="3546"/>
      <c r="J626" s="3493"/>
      <c r="K626" s="3493"/>
      <c r="L626" s="3549"/>
    </row>
    <row r="627" spans="1:12" ht="30" customHeight="1" x14ac:dyDescent="0.2">
      <c r="A627" s="4464"/>
      <c r="B627" s="4488"/>
      <c r="C627" s="4540"/>
      <c r="D627" s="3640">
        <v>238000000</v>
      </c>
      <c r="E627" s="3652"/>
      <c r="F627" s="3640"/>
      <c r="G627" s="3647"/>
      <c r="H627" s="3647"/>
      <c r="I627" s="3651"/>
      <c r="J627" s="3640"/>
      <c r="K627" s="3640"/>
      <c r="L627" s="3650"/>
    </row>
    <row r="628" spans="1:12" ht="30" customHeight="1" x14ac:dyDescent="0.2">
      <c r="A628" s="4464"/>
      <c r="B628" s="4488"/>
      <c r="C628" s="4540"/>
      <c r="D628" s="3640">
        <v>100000000</v>
      </c>
      <c r="E628" s="3652"/>
      <c r="F628" s="3640"/>
      <c r="G628" s="3647"/>
      <c r="H628" s="3647"/>
      <c r="I628" s="3651"/>
      <c r="J628" s="3640"/>
      <c r="K628" s="3640"/>
      <c r="L628" s="3650" t="s">
        <v>5374</v>
      </c>
    </row>
    <row r="629" spans="1:12" ht="30" customHeight="1" x14ac:dyDescent="0.2">
      <c r="A629" s="4464"/>
      <c r="B629" s="4488"/>
      <c r="C629" s="4540"/>
      <c r="D629" s="3493">
        <v>50000000</v>
      </c>
      <c r="E629" s="3535"/>
      <c r="F629" s="3493"/>
      <c r="G629" s="3524"/>
      <c r="H629" s="3524"/>
      <c r="I629" s="3546"/>
      <c r="J629" s="3493"/>
      <c r="K629" s="3493"/>
      <c r="L629" s="3650" t="s">
        <v>5375</v>
      </c>
    </row>
    <row r="630" spans="1:12" ht="30" customHeight="1" x14ac:dyDescent="0.2">
      <c r="A630" s="4464"/>
      <c r="B630" s="4488"/>
      <c r="C630" s="4540"/>
      <c r="D630" s="3643">
        <v>2000000</v>
      </c>
      <c r="E630" s="3652"/>
      <c r="F630" s="3640"/>
      <c r="G630" s="3647"/>
      <c r="H630" s="3647"/>
      <c r="I630" s="3651"/>
      <c r="J630" s="3640"/>
      <c r="K630" s="3640"/>
      <c r="L630" s="3650" t="s">
        <v>5376</v>
      </c>
    </row>
    <row r="631" spans="1:12" ht="30" customHeight="1" x14ac:dyDescent="0.2">
      <c r="A631" s="4464"/>
      <c r="B631" s="4488"/>
      <c r="C631" s="4540"/>
      <c r="D631" s="4303" t="s">
        <v>5309</v>
      </c>
      <c r="E631" s="4324"/>
      <c r="F631" s="4324"/>
      <c r="G631" s="4324"/>
      <c r="H631" s="4324"/>
      <c r="I631" s="4324"/>
      <c r="J631" s="4355"/>
      <c r="K631" s="3493"/>
      <c r="L631" s="3549"/>
    </row>
    <row r="632" spans="1:12" ht="30" customHeight="1" x14ac:dyDescent="0.2">
      <c r="A632" s="4464"/>
      <c r="B632" s="4488"/>
      <c r="C632" s="4540"/>
      <c r="D632" s="4395">
        <v>1000000000</v>
      </c>
      <c r="E632" s="5114">
        <v>6.0999999999999999E-2</v>
      </c>
      <c r="F632" s="4395">
        <v>61400000</v>
      </c>
      <c r="G632" s="3853">
        <v>50000000</v>
      </c>
      <c r="H632" s="3853" t="s">
        <v>1879</v>
      </c>
      <c r="I632" s="3853" t="s">
        <v>2927</v>
      </c>
      <c r="J632" s="4413">
        <f>G632+G633</f>
        <v>55400000</v>
      </c>
      <c r="K632" s="4413"/>
      <c r="L632" s="3855" t="s">
        <v>5614</v>
      </c>
    </row>
    <row r="633" spans="1:12" ht="30" customHeight="1" x14ac:dyDescent="0.2">
      <c r="A633" s="4460"/>
      <c r="B633" s="4458"/>
      <c r="C633" s="4538"/>
      <c r="D633" s="4395"/>
      <c r="E633" s="5114"/>
      <c r="F633" s="4395"/>
      <c r="G633" s="3852">
        <v>5400000</v>
      </c>
      <c r="H633" s="3524" t="s">
        <v>5706</v>
      </c>
      <c r="I633" s="3546" t="s">
        <v>2927</v>
      </c>
      <c r="J633" s="4415"/>
      <c r="K633" s="4415"/>
      <c r="L633" s="3549"/>
    </row>
    <row r="634" spans="1:12" ht="30" customHeight="1" x14ac:dyDescent="0.2">
      <c r="A634" s="3496">
        <v>326</v>
      </c>
      <c r="B634" s="19" t="s">
        <v>176</v>
      </c>
      <c r="C634" s="3541" t="s">
        <v>1300</v>
      </c>
      <c r="D634" s="3524">
        <v>500000000</v>
      </c>
      <c r="E634" s="3535">
        <v>0.05</v>
      </c>
      <c r="F634" s="3524">
        <f>D634*E634</f>
        <v>25000000</v>
      </c>
      <c r="G634" s="3800">
        <v>25000000</v>
      </c>
      <c r="H634" s="3800" t="s">
        <v>5604</v>
      </c>
      <c r="I634" s="3814" t="s">
        <v>5101</v>
      </c>
      <c r="J634" s="3800">
        <f>G634</f>
        <v>25000000</v>
      </c>
      <c r="K634" s="3524">
        <f>F634-J634</f>
        <v>0</v>
      </c>
      <c r="L634" s="3522"/>
    </row>
    <row r="635" spans="1:12" ht="30" customHeight="1" x14ac:dyDescent="0.2">
      <c r="A635" s="3538">
        <v>327</v>
      </c>
      <c r="B635" s="3502" t="s">
        <v>1232</v>
      </c>
      <c r="C635" s="3515"/>
      <c r="D635" s="3493">
        <v>60000000</v>
      </c>
      <c r="E635" s="3499">
        <v>0.05</v>
      </c>
      <c r="F635" s="3493">
        <f t="shared" ref="F635:F638" si="57">D635*E635</f>
        <v>3000000</v>
      </c>
      <c r="G635" s="3493"/>
      <c r="H635" s="3493"/>
      <c r="I635" s="3594" t="s">
        <v>1231</v>
      </c>
      <c r="J635" s="3493">
        <f>G635</f>
        <v>0</v>
      </c>
      <c r="K635" s="3493">
        <f t="shared" ref="K635:K639" si="58">F635-J635</f>
        <v>3000000</v>
      </c>
      <c r="L635" s="3573"/>
    </row>
    <row r="636" spans="1:12" ht="30" customHeight="1" x14ac:dyDescent="0.2">
      <c r="A636" s="4459">
        <v>328</v>
      </c>
      <c r="B636" s="4457" t="s">
        <v>2675</v>
      </c>
      <c r="C636" s="4537" t="s">
        <v>942</v>
      </c>
      <c r="D636" s="3524">
        <v>695000000</v>
      </c>
      <c r="E636" s="3535">
        <v>0.06</v>
      </c>
      <c r="F636" s="3524">
        <f>D636*E636</f>
        <v>41700000</v>
      </c>
      <c r="G636" s="3493">
        <v>41700000</v>
      </c>
      <c r="H636" s="3493" t="s">
        <v>5343</v>
      </c>
      <c r="I636" s="3594" t="s">
        <v>4817</v>
      </c>
      <c r="J636" s="3493">
        <f>G636</f>
        <v>41700000</v>
      </c>
      <c r="K636" s="3493">
        <f t="shared" si="58"/>
        <v>0</v>
      </c>
      <c r="L636" s="3573" t="s">
        <v>5436</v>
      </c>
    </row>
    <row r="637" spans="1:12" ht="30" customHeight="1" x14ac:dyDescent="0.2">
      <c r="A637" s="4460"/>
      <c r="B637" s="4458"/>
      <c r="C637" s="4538"/>
      <c r="D637" s="4129">
        <v>200000000</v>
      </c>
      <c r="E637" s="4132"/>
      <c r="F637" s="4129"/>
      <c r="G637" s="4469" t="s">
        <v>5927</v>
      </c>
      <c r="H637" s="4470"/>
      <c r="I637" s="4470"/>
      <c r="J637" s="4471"/>
      <c r="K637" s="4130"/>
      <c r="L637" s="4131"/>
    </row>
    <row r="638" spans="1:12" ht="30" customHeight="1" x14ac:dyDescent="0.2">
      <c r="A638" s="3496">
        <v>329</v>
      </c>
      <c r="B638" s="3542" t="s">
        <v>181</v>
      </c>
      <c r="C638" s="378"/>
      <c r="D638" s="3494"/>
      <c r="E638" s="2521"/>
      <c r="F638" s="3494">
        <f t="shared" si="57"/>
        <v>0</v>
      </c>
      <c r="G638" s="3524"/>
      <c r="H638" s="3524"/>
      <c r="I638" s="3546"/>
      <c r="J638" s="3524"/>
      <c r="K638" s="3494">
        <f t="shared" si="58"/>
        <v>0</v>
      </c>
      <c r="L638" s="3517"/>
    </row>
    <row r="639" spans="1:12" ht="30" customHeight="1" x14ac:dyDescent="0.2">
      <c r="A639" s="3585">
        <v>331</v>
      </c>
      <c r="B639" s="3539" t="s">
        <v>339</v>
      </c>
      <c r="C639" s="3541" t="s">
        <v>371</v>
      </c>
      <c r="D639" s="3524">
        <v>290000000</v>
      </c>
      <c r="E639" s="3535">
        <v>0.06</v>
      </c>
      <c r="F639" s="3524">
        <f t="shared" ref="F639:F642" si="59">D639*E639</f>
        <v>17400000</v>
      </c>
      <c r="G639" s="3524">
        <v>17400000</v>
      </c>
      <c r="H639" s="3524" t="s">
        <v>5593</v>
      </c>
      <c r="I639" s="3524" t="s">
        <v>1840</v>
      </c>
      <c r="J639" s="3524">
        <f>G639</f>
        <v>17400000</v>
      </c>
      <c r="K639" s="3524">
        <f t="shared" si="58"/>
        <v>0</v>
      </c>
      <c r="L639" s="3573"/>
    </row>
    <row r="640" spans="1:12" ht="30" customHeight="1" x14ac:dyDescent="0.2">
      <c r="A640" s="4459">
        <v>333</v>
      </c>
      <c r="B640" s="4457" t="s">
        <v>888</v>
      </c>
      <c r="C640" s="4537" t="s">
        <v>889</v>
      </c>
      <c r="D640" s="3493">
        <v>320000000</v>
      </c>
      <c r="E640" s="3535">
        <v>0.05</v>
      </c>
      <c r="F640" s="3493">
        <f t="shared" si="59"/>
        <v>16000000</v>
      </c>
      <c r="G640" s="4413">
        <v>21000000</v>
      </c>
      <c r="H640" s="4413" t="s">
        <v>5343</v>
      </c>
      <c r="I640" s="4478" t="s">
        <v>1323</v>
      </c>
      <c r="J640" s="4322">
        <f>G640</f>
        <v>21000000</v>
      </c>
      <c r="K640" s="4322">
        <f>(F640+F641)-J640</f>
        <v>0</v>
      </c>
      <c r="L640" s="4643"/>
    </row>
    <row r="641" spans="1:12" ht="30" customHeight="1" x14ac:dyDescent="0.2">
      <c r="A641" s="4460"/>
      <c r="B641" s="4458"/>
      <c r="C641" s="4538"/>
      <c r="D641" s="3493">
        <v>100000000</v>
      </c>
      <c r="E641" s="3535">
        <v>0.05</v>
      </c>
      <c r="F641" s="3493">
        <f t="shared" si="59"/>
        <v>5000000</v>
      </c>
      <c r="G641" s="4415"/>
      <c r="H641" s="4415"/>
      <c r="I641" s="4479"/>
      <c r="J641" s="4322"/>
      <c r="K641" s="4322"/>
      <c r="L641" s="4644"/>
    </row>
    <row r="642" spans="1:12" ht="30" customHeight="1" x14ac:dyDescent="0.2">
      <c r="A642" s="3496">
        <v>335</v>
      </c>
      <c r="B642" s="19" t="s">
        <v>1276</v>
      </c>
      <c r="C642" s="3541" t="s">
        <v>889</v>
      </c>
      <c r="D642" s="3493">
        <v>15000000</v>
      </c>
      <c r="E642" s="3535">
        <v>0.05</v>
      </c>
      <c r="F642" s="3493">
        <f t="shared" si="59"/>
        <v>750000</v>
      </c>
      <c r="G642" s="3493">
        <v>750000</v>
      </c>
      <c r="H642" s="3493" t="s">
        <v>1879</v>
      </c>
      <c r="I642" s="3594" t="s">
        <v>2747</v>
      </c>
      <c r="J642" s="3493">
        <f>G642</f>
        <v>750000</v>
      </c>
      <c r="K642" s="3493">
        <f>F642-J642</f>
        <v>0</v>
      </c>
      <c r="L642" s="3573"/>
    </row>
    <row r="643" spans="1:12" ht="30" customHeight="1" x14ac:dyDescent="0.2">
      <c r="A643" s="3538">
        <v>336</v>
      </c>
      <c r="B643" s="3502" t="s">
        <v>2576</v>
      </c>
      <c r="C643" s="3515" t="s">
        <v>889</v>
      </c>
      <c r="D643" s="3493">
        <v>210000000</v>
      </c>
      <c r="E643" s="3535">
        <v>0.05</v>
      </c>
      <c r="F643" s="3493">
        <f>D643*E643</f>
        <v>10500000</v>
      </c>
      <c r="G643" s="3493">
        <v>10500000</v>
      </c>
      <c r="H643" s="3493" t="s">
        <v>5361</v>
      </c>
      <c r="I643" s="3594" t="s">
        <v>3408</v>
      </c>
      <c r="J643" s="3493">
        <f>G643</f>
        <v>10500000</v>
      </c>
      <c r="K643" s="3493">
        <f>F643-J643</f>
        <v>0</v>
      </c>
      <c r="L643" s="3539"/>
    </row>
    <row r="644" spans="1:12" ht="30" customHeight="1" x14ac:dyDescent="0.2">
      <c r="A644" s="4459">
        <v>337</v>
      </c>
      <c r="B644" s="4457" t="s">
        <v>1304</v>
      </c>
      <c r="C644" s="4537" t="s">
        <v>889</v>
      </c>
      <c r="D644" s="3493">
        <v>80000000</v>
      </c>
      <c r="E644" s="3535">
        <v>7.0000000000000007E-2</v>
      </c>
      <c r="F644" s="3493">
        <f t="shared" ref="F644:F682" si="60">D644*E644</f>
        <v>5600000.0000000009</v>
      </c>
      <c r="G644" s="4907" t="s">
        <v>5351</v>
      </c>
      <c r="H644" s="4908"/>
      <c r="I644" s="4908"/>
      <c r="J644" s="4909"/>
      <c r="K644" s="4413"/>
      <c r="L644" s="3609"/>
    </row>
    <row r="645" spans="1:12" ht="30" customHeight="1" x14ac:dyDescent="0.2">
      <c r="A645" s="4464"/>
      <c r="B645" s="4488"/>
      <c r="C645" s="4540"/>
      <c r="D645" s="3493">
        <v>200000000</v>
      </c>
      <c r="E645" s="3535">
        <v>0.06</v>
      </c>
      <c r="F645" s="3493">
        <f t="shared" si="60"/>
        <v>12000000</v>
      </c>
      <c r="G645" s="4910"/>
      <c r="H645" s="4911"/>
      <c r="I645" s="4911"/>
      <c r="J645" s="4912"/>
      <c r="K645" s="4414"/>
      <c r="L645" s="3502"/>
    </row>
    <row r="646" spans="1:12" ht="30" customHeight="1" x14ac:dyDescent="0.2">
      <c r="A646" s="4464"/>
      <c r="B646" s="4488"/>
      <c r="C646" s="4540"/>
      <c r="D646" s="4056">
        <v>20000000</v>
      </c>
      <c r="E646" s="4063">
        <v>7.0000000000000007E-2</v>
      </c>
      <c r="F646" s="4056">
        <f t="shared" si="60"/>
        <v>1400000.0000000002</v>
      </c>
      <c r="G646" s="4913"/>
      <c r="H646" s="4914"/>
      <c r="I646" s="4914"/>
      <c r="J646" s="4915"/>
      <c r="K646" s="4415"/>
      <c r="L646" s="4061"/>
    </row>
    <row r="647" spans="1:12" ht="30" customHeight="1" x14ac:dyDescent="0.2">
      <c r="A647" s="4464"/>
      <c r="B647" s="4488"/>
      <c r="C647" s="4540"/>
      <c r="D647" s="4056">
        <v>80000000</v>
      </c>
      <c r="E647" s="4063">
        <v>7.0000000000000007E-2</v>
      </c>
      <c r="F647" s="4056">
        <f t="shared" si="60"/>
        <v>5600000.0000000009</v>
      </c>
      <c r="G647" s="4725" t="s">
        <v>5879</v>
      </c>
      <c r="H647" s="4726"/>
      <c r="I647" s="4726"/>
      <c r="J647" s="4727"/>
      <c r="K647" s="4056"/>
      <c r="L647" s="4061"/>
    </row>
    <row r="648" spans="1:12" ht="30" customHeight="1" x14ac:dyDescent="0.2">
      <c r="A648" s="4460"/>
      <c r="B648" s="4458"/>
      <c r="C648" s="4538"/>
      <c r="D648" s="3582">
        <v>380000000</v>
      </c>
      <c r="E648" s="897">
        <v>7.0000000000000007E-2</v>
      </c>
      <c r="F648" s="3582">
        <f t="shared" si="60"/>
        <v>26600000.000000004</v>
      </c>
      <c r="G648" s="1662"/>
      <c r="H648" s="1662"/>
      <c r="I648" s="1662"/>
      <c r="J648" s="3524"/>
      <c r="K648" s="3524"/>
      <c r="L648" s="3551" t="s">
        <v>5340</v>
      </c>
    </row>
    <row r="649" spans="1:12" ht="30" customHeight="1" x14ac:dyDescent="0.2">
      <c r="A649" s="4459"/>
      <c r="B649" s="4457" t="s">
        <v>1677</v>
      </c>
      <c r="C649" s="4537" t="s">
        <v>889</v>
      </c>
      <c r="D649" s="3260">
        <v>235500000</v>
      </c>
      <c r="E649" s="3535">
        <v>0.05</v>
      </c>
      <c r="F649" s="3493">
        <f t="shared" si="60"/>
        <v>11775000</v>
      </c>
      <c r="G649" s="3487"/>
      <c r="H649" s="3489"/>
      <c r="I649" s="3489"/>
      <c r="J649" s="3489"/>
      <c r="K649" s="1605"/>
      <c r="L649" s="3551" t="s">
        <v>5303</v>
      </c>
    </row>
    <row r="650" spans="1:12" ht="30" customHeight="1" x14ac:dyDescent="0.2">
      <c r="A650" s="4464"/>
      <c r="B650" s="4488"/>
      <c r="C650" s="4540"/>
      <c r="D650" s="3256">
        <v>300000000</v>
      </c>
      <c r="E650" s="3258">
        <v>7.0000000000000007E-2</v>
      </c>
      <c r="F650" s="3256">
        <f t="shared" si="60"/>
        <v>21000000.000000004</v>
      </c>
      <c r="G650" s="4469" t="s">
        <v>5293</v>
      </c>
      <c r="H650" s="4470"/>
      <c r="I650" s="4470"/>
      <c r="J650" s="4470"/>
      <c r="K650" s="4471"/>
      <c r="L650" s="3551"/>
    </row>
    <row r="651" spans="1:12" ht="30" customHeight="1" x14ac:dyDescent="0.2">
      <c r="A651" s="4464"/>
      <c r="B651" s="4488"/>
      <c r="C651" s="4540"/>
      <c r="D651" s="3256">
        <v>30000000</v>
      </c>
      <c r="E651" s="3258">
        <v>7.0000000000000007E-2</v>
      </c>
      <c r="F651" s="3256">
        <f t="shared" si="60"/>
        <v>2100000</v>
      </c>
      <c r="G651" s="4469" t="s">
        <v>5302</v>
      </c>
      <c r="H651" s="4470"/>
      <c r="I651" s="4470"/>
      <c r="J651" s="4470"/>
      <c r="K651" s="4471"/>
      <c r="L651" s="3551"/>
    </row>
    <row r="652" spans="1:12" ht="30" customHeight="1" x14ac:dyDescent="0.2">
      <c r="A652" s="4464"/>
      <c r="B652" s="4488"/>
      <c r="C652" s="4540"/>
      <c r="D652" s="3257">
        <v>20000000</v>
      </c>
      <c r="E652" s="3259">
        <v>7.0000000000000007E-2</v>
      </c>
      <c r="F652" s="3257">
        <f>D652*E652</f>
        <v>1400000.0000000002</v>
      </c>
      <c r="G652" s="4469" t="s">
        <v>5299</v>
      </c>
      <c r="H652" s="4470"/>
      <c r="I652" s="4470"/>
      <c r="J652" s="4470"/>
      <c r="K652" s="4471"/>
      <c r="L652" s="3551"/>
    </row>
    <row r="653" spans="1:12" ht="30" customHeight="1" x14ac:dyDescent="0.2">
      <c r="A653" s="4464"/>
      <c r="B653" s="4488"/>
      <c r="C653" s="4540"/>
      <c r="D653" s="3257">
        <v>12000000</v>
      </c>
      <c r="E653" s="3259">
        <v>7.0000000000000007E-2</v>
      </c>
      <c r="F653" s="3257">
        <f>D653*E653</f>
        <v>840000.00000000012</v>
      </c>
      <c r="G653" s="4469" t="s">
        <v>5294</v>
      </c>
      <c r="H653" s="4470"/>
      <c r="I653" s="4470"/>
      <c r="J653" s="4470"/>
      <c r="K653" s="4471"/>
      <c r="L653" s="3551"/>
    </row>
    <row r="654" spans="1:12" ht="30" customHeight="1" x14ac:dyDescent="0.2">
      <c r="A654" s="4464"/>
      <c r="B654" s="4488"/>
      <c r="C654" s="4540"/>
      <c r="D654" s="3773">
        <f>SUM(D650:D653)</f>
        <v>362000000</v>
      </c>
      <c r="E654" s="3793">
        <v>7.0000000000000007E-2</v>
      </c>
      <c r="F654" s="3773">
        <f>D654*E654</f>
        <v>25340000.000000004</v>
      </c>
      <c r="G654" s="4469" t="s">
        <v>5552</v>
      </c>
      <c r="H654" s="4470"/>
      <c r="I654" s="4470"/>
      <c r="J654" s="4470"/>
      <c r="K654" s="4471"/>
      <c r="L654" s="3551"/>
    </row>
    <row r="655" spans="1:12" ht="30" customHeight="1" x14ac:dyDescent="0.2">
      <c r="A655" s="4464"/>
      <c r="B655" s="4488"/>
      <c r="C655" s="4540"/>
      <c r="D655" s="4807">
        <f>D649+D654</f>
        <v>597500000</v>
      </c>
      <c r="E655" s="4808"/>
      <c r="F655" s="3257">
        <f>F649+F654</f>
        <v>37115000</v>
      </c>
      <c r="G655" s="3487"/>
      <c r="H655" s="3489"/>
      <c r="I655" s="3489"/>
      <c r="J655" s="3489"/>
      <c r="K655" s="1605"/>
      <c r="L655" s="3551"/>
    </row>
    <row r="656" spans="1:12" ht="30" customHeight="1" x14ac:dyDescent="0.2">
      <c r="A656" s="4464"/>
      <c r="B656" s="4488"/>
      <c r="C656" s="4540"/>
      <c r="D656" s="3588">
        <v>45000000</v>
      </c>
      <c r="E656" s="3553">
        <v>7.0000000000000007E-2</v>
      </c>
      <c r="F656" s="3588">
        <f>D656*E656</f>
        <v>3150000.0000000005</v>
      </c>
      <c r="G656" s="4469" t="s">
        <v>5295</v>
      </c>
      <c r="H656" s="4470"/>
      <c r="I656" s="4470"/>
      <c r="J656" s="4470"/>
      <c r="K656" s="4471"/>
      <c r="L656" s="3551"/>
    </row>
    <row r="657" spans="1:12" ht="30" customHeight="1" x14ac:dyDescent="0.2">
      <c r="A657" s="4464"/>
      <c r="B657" s="4488"/>
      <c r="C657" s="4540"/>
      <c r="D657" s="3588">
        <v>100000000</v>
      </c>
      <c r="E657" s="3553">
        <v>7.0000000000000007E-2</v>
      </c>
      <c r="F657" s="3588">
        <f>D657*E657</f>
        <v>7000000.0000000009</v>
      </c>
      <c r="G657" s="4469" t="s">
        <v>5296</v>
      </c>
      <c r="H657" s="4470"/>
      <c r="I657" s="4470"/>
      <c r="J657" s="4470"/>
      <c r="K657" s="4471"/>
      <c r="L657" s="3551"/>
    </row>
    <row r="658" spans="1:12" ht="30" customHeight="1" x14ac:dyDescent="0.2">
      <c r="A658" s="4464"/>
      <c r="B658" s="4488"/>
      <c r="C658" s="4540"/>
      <c r="D658" s="3588">
        <v>80000000</v>
      </c>
      <c r="E658" s="3553">
        <v>7.0000000000000007E-2</v>
      </c>
      <c r="F658" s="3588">
        <f t="shared" ref="F658:F659" si="61">D658*E658</f>
        <v>5600000.0000000009</v>
      </c>
      <c r="G658" s="4469" t="s">
        <v>5297</v>
      </c>
      <c r="H658" s="4470"/>
      <c r="I658" s="4470"/>
      <c r="J658" s="4470"/>
      <c r="K658" s="4471"/>
      <c r="L658" s="3551"/>
    </row>
    <row r="659" spans="1:12" ht="30" customHeight="1" x14ac:dyDescent="0.2">
      <c r="A659" s="4464"/>
      <c r="B659" s="4488"/>
      <c r="C659" s="4540"/>
      <c r="D659" s="3588">
        <v>55000000</v>
      </c>
      <c r="E659" s="3553">
        <v>7.0000000000000007E-2</v>
      </c>
      <c r="F659" s="3588">
        <f t="shared" si="61"/>
        <v>3850000.0000000005</v>
      </c>
      <c r="G659" s="4469" t="s">
        <v>5298</v>
      </c>
      <c r="H659" s="4470"/>
      <c r="I659" s="4470"/>
      <c r="J659" s="4470"/>
      <c r="K659" s="4471"/>
      <c r="L659" s="3551"/>
    </row>
    <row r="660" spans="1:12" ht="30" customHeight="1" x14ac:dyDescent="0.2">
      <c r="A660" s="4464"/>
      <c r="B660" s="4488"/>
      <c r="C660" s="4540"/>
      <c r="D660" s="4635">
        <f>D655+D656+D657+D658+D659</f>
        <v>877500000</v>
      </c>
      <c r="E660" s="4637"/>
      <c r="F660" s="3588">
        <f>F655+F656+F657+F658+F659</f>
        <v>56715000</v>
      </c>
      <c r="G660" s="4623" t="s">
        <v>3673</v>
      </c>
      <c r="H660" s="4624"/>
      <c r="I660" s="4624"/>
      <c r="J660" s="4624"/>
      <c r="K660" s="4625"/>
      <c r="L660" s="3551"/>
    </row>
    <row r="661" spans="1:12" ht="30" customHeight="1" x14ac:dyDescent="0.2">
      <c r="A661" s="4464"/>
      <c r="B661" s="4488"/>
      <c r="C661" s="4540"/>
      <c r="D661" s="3592">
        <v>150000000</v>
      </c>
      <c r="E661" s="3569">
        <v>7.0000000000000007E-2</v>
      </c>
      <c r="F661" s="3592">
        <f>D661*E661</f>
        <v>10500000.000000002</v>
      </c>
      <c r="G661" s="4469" t="s">
        <v>5301</v>
      </c>
      <c r="H661" s="4470"/>
      <c r="I661" s="4470"/>
      <c r="J661" s="4470"/>
      <c r="K661" s="4471"/>
      <c r="L661" s="3551"/>
    </row>
    <row r="662" spans="1:12" ht="30" customHeight="1" x14ac:dyDescent="0.2">
      <c r="A662" s="4464"/>
      <c r="B662" s="4488"/>
      <c r="C662" s="4540"/>
      <c r="D662" s="3592">
        <v>100000000</v>
      </c>
      <c r="E662" s="3569">
        <v>7.0000000000000007E-2</v>
      </c>
      <c r="F662" s="3592">
        <f>D662*E662</f>
        <v>7000000.0000000009</v>
      </c>
      <c r="G662" s="4469" t="s">
        <v>5300</v>
      </c>
      <c r="H662" s="4470"/>
      <c r="I662" s="4470"/>
      <c r="J662" s="4470"/>
      <c r="K662" s="4471"/>
      <c r="L662" s="3551"/>
    </row>
    <row r="663" spans="1:12" ht="30" customHeight="1" x14ac:dyDescent="0.2">
      <c r="A663" s="4464"/>
      <c r="B663" s="4488"/>
      <c r="C663" s="4540"/>
      <c r="D663" s="4822">
        <f>D660+D661+D662</f>
        <v>1127500000</v>
      </c>
      <c r="E663" s="4823"/>
      <c r="F663" s="3592">
        <f>F660+F661+F662</f>
        <v>74215000</v>
      </c>
      <c r="G663" s="4804" t="s">
        <v>3882</v>
      </c>
      <c r="H663" s="4805"/>
      <c r="I663" s="4805"/>
      <c r="J663" s="4805"/>
      <c r="K663" s="4806"/>
      <c r="L663" s="3551"/>
    </row>
    <row r="664" spans="1:12" ht="30" customHeight="1" x14ac:dyDescent="0.2">
      <c r="A664" s="4464"/>
      <c r="B664" s="4488"/>
      <c r="C664" s="4540"/>
      <c r="D664" s="3565">
        <v>70000000</v>
      </c>
      <c r="E664" s="3254">
        <v>7.0000000000000007E-2</v>
      </c>
      <c r="F664" s="3565">
        <f>D664*E664</f>
        <v>4900000.0000000009</v>
      </c>
      <c r="G664" s="4469" t="s">
        <v>5551</v>
      </c>
      <c r="H664" s="4470"/>
      <c r="I664" s="4470"/>
      <c r="J664" s="4470"/>
      <c r="K664" s="4471"/>
      <c r="L664" s="3551"/>
    </row>
    <row r="665" spans="1:12" ht="30" customHeight="1" x14ac:dyDescent="0.2">
      <c r="A665" s="4464"/>
      <c r="B665" s="4488"/>
      <c r="C665" s="4540"/>
      <c r="D665" s="4601">
        <f>D663+D664</f>
        <v>1197500000</v>
      </c>
      <c r="E665" s="4602"/>
      <c r="F665" s="3565">
        <f>F663+F664</f>
        <v>79115000</v>
      </c>
      <c r="G665" s="5045" t="s">
        <v>4368</v>
      </c>
      <c r="H665" s="5046"/>
      <c r="I665" s="5046"/>
      <c r="J665" s="5046"/>
      <c r="K665" s="5047"/>
      <c r="L665" s="3551"/>
    </row>
    <row r="666" spans="1:12" ht="30" customHeight="1" x14ac:dyDescent="0.2">
      <c r="A666" s="4464"/>
      <c r="B666" s="4488"/>
      <c r="C666" s="4540"/>
      <c r="D666" s="3248">
        <v>79115000</v>
      </c>
      <c r="E666" s="3255">
        <v>7.0000000000000007E-2</v>
      </c>
      <c r="F666" s="3248">
        <f>D666*E666</f>
        <v>5538050.0000000009</v>
      </c>
      <c r="G666" s="4469" t="s">
        <v>4976</v>
      </c>
      <c r="H666" s="4470"/>
      <c r="I666" s="4470"/>
      <c r="J666" s="4470"/>
      <c r="K666" s="4471"/>
      <c r="L666" s="3551"/>
    </row>
    <row r="667" spans="1:12" ht="30" customHeight="1" x14ac:dyDescent="0.2">
      <c r="A667" s="4464"/>
      <c r="B667" s="4488"/>
      <c r="C667" s="4540"/>
      <c r="D667" s="3248">
        <v>100000000</v>
      </c>
      <c r="E667" s="3255">
        <v>7.0000000000000007E-2</v>
      </c>
      <c r="F667" s="3248">
        <f>D667*E667</f>
        <v>7000000.0000000009</v>
      </c>
      <c r="G667" s="4469" t="s">
        <v>4975</v>
      </c>
      <c r="H667" s="4470"/>
      <c r="I667" s="4470"/>
      <c r="J667" s="4470"/>
      <c r="K667" s="4471"/>
      <c r="L667" s="3551"/>
    </row>
    <row r="668" spans="1:12" ht="30" customHeight="1" x14ac:dyDescent="0.2">
      <c r="A668" s="4464"/>
      <c r="B668" s="4488"/>
      <c r="C668" s="4540"/>
      <c r="D668" s="3248">
        <f>71051000-166000</f>
        <v>70885000</v>
      </c>
      <c r="E668" s="3255">
        <v>7.0000000000000007E-2</v>
      </c>
      <c r="F668" s="3248">
        <f>D668*E668</f>
        <v>4961950.0000000009</v>
      </c>
      <c r="G668" s="4919" t="s">
        <v>5167</v>
      </c>
      <c r="H668" s="4920"/>
      <c r="I668" s="4920"/>
      <c r="J668" s="4920"/>
      <c r="K668" s="4921"/>
      <c r="L668" s="3551"/>
    </row>
    <row r="669" spans="1:12" ht="30" customHeight="1" x14ac:dyDescent="0.2">
      <c r="A669" s="4464"/>
      <c r="B669" s="4488"/>
      <c r="C669" s="4540"/>
      <c r="D669" s="3248">
        <v>100000000</v>
      </c>
      <c r="E669" s="3249">
        <v>7.0000000000000007E-2</v>
      </c>
      <c r="F669" s="3248">
        <f>D669*E669</f>
        <v>7000000.0000000009</v>
      </c>
      <c r="G669" s="4469" t="s">
        <v>5020</v>
      </c>
      <c r="H669" s="4470"/>
      <c r="I669" s="4470"/>
      <c r="J669" s="4470"/>
      <c r="K669" s="4471"/>
      <c r="L669" s="3551"/>
    </row>
    <row r="670" spans="1:12" ht="30" customHeight="1" x14ac:dyDescent="0.2">
      <c r="A670" s="4464"/>
      <c r="B670" s="4488"/>
      <c r="C670" s="4540"/>
      <c r="D670" s="5101">
        <f>D665+D666+D667+D668+D669</f>
        <v>1547500000</v>
      </c>
      <c r="E670" s="5102"/>
      <c r="F670" s="5107">
        <f>F665+F666+F667+F668+F669</f>
        <v>103615000</v>
      </c>
      <c r="G670" s="5048" t="s">
        <v>4977</v>
      </c>
      <c r="H670" s="5049"/>
      <c r="I670" s="5049"/>
      <c r="J670" s="5049"/>
      <c r="K670" s="5050"/>
      <c r="L670" s="1541" t="s">
        <v>4978</v>
      </c>
    </row>
    <row r="671" spans="1:12" ht="30" customHeight="1" x14ac:dyDescent="0.2">
      <c r="A671" s="4464"/>
      <c r="B671" s="4488"/>
      <c r="C671" s="4540"/>
      <c r="D671" s="5103"/>
      <c r="E671" s="5104"/>
      <c r="F671" s="5108"/>
      <c r="G671" s="3938">
        <v>33615000</v>
      </c>
      <c r="H671" s="4322" t="s">
        <v>5370</v>
      </c>
      <c r="I671" s="4325" t="s">
        <v>1720</v>
      </c>
      <c r="J671" s="4322">
        <f>G671+G672</f>
        <v>33781000</v>
      </c>
      <c r="K671" s="4413">
        <f>F670-G671</f>
        <v>70000000</v>
      </c>
      <c r="L671" s="3846" t="s">
        <v>4908</v>
      </c>
    </row>
    <row r="672" spans="1:12" ht="30" customHeight="1" x14ac:dyDescent="0.2">
      <c r="A672" s="4464"/>
      <c r="B672" s="4488"/>
      <c r="C672" s="4540"/>
      <c r="D672" s="5105"/>
      <c r="E672" s="5106"/>
      <c r="F672" s="5109"/>
      <c r="G672" s="3938">
        <v>166000</v>
      </c>
      <c r="H672" s="4322"/>
      <c r="I672" s="4564"/>
      <c r="J672" s="4322"/>
      <c r="K672" s="4415"/>
      <c r="L672" s="3846"/>
    </row>
    <row r="673" spans="1:17" ht="30" customHeight="1" x14ac:dyDescent="0.2">
      <c r="A673" s="4464"/>
      <c r="B673" s="4488"/>
      <c r="C673" s="4540"/>
      <c r="D673" s="3848">
        <v>70000000</v>
      </c>
      <c r="E673" s="3836">
        <v>7.0000000000000007E-2</v>
      </c>
      <c r="F673" s="3848">
        <f t="shared" ref="F673:F680" si="62">D673*E673</f>
        <v>4900000.0000000009</v>
      </c>
      <c r="G673" s="4469" t="s">
        <v>5550</v>
      </c>
      <c r="H673" s="4470"/>
      <c r="I673" s="4470"/>
      <c r="J673" s="4470"/>
      <c r="K673" s="4471"/>
      <c r="L673" s="3846"/>
    </row>
    <row r="674" spans="1:17" ht="30" customHeight="1" x14ac:dyDescent="0.2">
      <c r="A674" s="4464"/>
      <c r="B674" s="4488"/>
      <c r="C674" s="4540"/>
      <c r="D674" s="3848">
        <v>34000000</v>
      </c>
      <c r="E674" s="3971">
        <v>7.0000000000000007E-2</v>
      </c>
      <c r="F674" s="3848">
        <f t="shared" si="62"/>
        <v>2380000</v>
      </c>
      <c r="G674" s="4469" t="s">
        <v>5678</v>
      </c>
      <c r="H674" s="4470"/>
      <c r="I674" s="4470"/>
      <c r="J674" s="4470"/>
      <c r="K674" s="4471"/>
      <c r="L674" s="3846"/>
    </row>
    <row r="675" spans="1:17" ht="30" customHeight="1" x14ac:dyDescent="0.2">
      <c r="A675" s="4464"/>
      <c r="B675" s="4488"/>
      <c r="C675" s="4540"/>
      <c r="D675" s="3848">
        <v>100000000</v>
      </c>
      <c r="E675" s="295">
        <v>7.0000000000000007E-2</v>
      </c>
      <c r="F675" s="3848">
        <f t="shared" si="62"/>
        <v>7000000.0000000009</v>
      </c>
      <c r="G675" s="4469" t="s">
        <v>5679</v>
      </c>
      <c r="H675" s="4470"/>
      <c r="I675" s="4470"/>
      <c r="J675" s="4470"/>
      <c r="K675" s="4471"/>
      <c r="L675" s="3846"/>
    </row>
    <row r="676" spans="1:17" ht="30" customHeight="1" x14ac:dyDescent="0.2">
      <c r="A676" s="4464"/>
      <c r="B676" s="4488"/>
      <c r="C676" s="4540"/>
      <c r="D676" s="3848">
        <v>66000000</v>
      </c>
      <c r="E676" s="295">
        <v>7.0000000000000007E-2</v>
      </c>
      <c r="F676" s="3848">
        <f t="shared" si="62"/>
        <v>4620000</v>
      </c>
      <c r="G676" s="4469" t="s">
        <v>5681</v>
      </c>
      <c r="H676" s="4470"/>
      <c r="I676" s="4470"/>
      <c r="J676" s="4470"/>
      <c r="K676" s="4471"/>
      <c r="L676" s="3846"/>
    </row>
    <row r="677" spans="1:17" ht="30" customHeight="1" x14ac:dyDescent="0.2">
      <c r="A677" s="4464"/>
      <c r="B677" s="4488"/>
      <c r="C677" s="4540"/>
      <c r="D677" s="3848">
        <v>100000000</v>
      </c>
      <c r="E677" s="295">
        <v>7.0000000000000007E-2</v>
      </c>
      <c r="F677" s="3848">
        <f t="shared" si="62"/>
        <v>7000000.0000000009</v>
      </c>
      <c r="G677" s="4469" t="s">
        <v>5680</v>
      </c>
      <c r="H677" s="4470"/>
      <c r="I677" s="4470"/>
      <c r="J677" s="4470"/>
      <c r="K677" s="4471"/>
      <c r="L677" s="3846"/>
    </row>
    <row r="678" spans="1:17" ht="30" customHeight="1" x14ac:dyDescent="0.2">
      <c r="A678" s="4464"/>
      <c r="B678" s="4488"/>
      <c r="C678" s="4540"/>
      <c r="D678" s="3848">
        <v>100000000</v>
      </c>
      <c r="E678" s="295">
        <v>7.0000000000000007E-2</v>
      </c>
      <c r="F678" s="3848">
        <f t="shared" si="62"/>
        <v>7000000.0000000009</v>
      </c>
      <c r="G678" s="4469" t="s">
        <v>5682</v>
      </c>
      <c r="H678" s="4470"/>
      <c r="I678" s="4470"/>
      <c r="J678" s="4470"/>
      <c r="K678" s="4471"/>
      <c r="L678" s="3846"/>
    </row>
    <row r="679" spans="1:17" ht="30" customHeight="1" x14ac:dyDescent="0.2">
      <c r="A679" s="4464"/>
      <c r="B679" s="4488"/>
      <c r="C679" s="4540"/>
      <c r="D679" s="3848">
        <v>100000000</v>
      </c>
      <c r="E679" s="295">
        <v>7.0000000000000007E-2</v>
      </c>
      <c r="F679" s="3848">
        <f t="shared" si="62"/>
        <v>7000000.0000000009</v>
      </c>
      <c r="G679" s="4469" t="s">
        <v>5682</v>
      </c>
      <c r="H679" s="4470"/>
      <c r="I679" s="4470"/>
      <c r="J679" s="4470"/>
      <c r="K679" s="4471"/>
      <c r="L679" s="3846"/>
    </row>
    <row r="680" spans="1:17" ht="30" customHeight="1" x14ac:dyDescent="0.2">
      <c r="A680" s="4464"/>
      <c r="B680" s="4488"/>
      <c r="C680" s="4540"/>
      <c r="D680" s="3848">
        <v>100000000</v>
      </c>
      <c r="E680" s="3972">
        <v>7.0000000000000007E-2</v>
      </c>
      <c r="F680" s="3848">
        <f t="shared" si="62"/>
        <v>7000000.0000000009</v>
      </c>
      <c r="G680" s="4469" t="s">
        <v>5683</v>
      </c>
      <c r="H680" s="4470"/>
      <c r="I680" s="4470"/>
      <c r="J680" s="4470"/>
      <c r="K680" s="4471"/>
      <c r="L680" s="3846"/>
    </row>
    <row r="681" spans="1:17" ht="30" customHeight="1" x14ac:dyDescent="0.2">
      <c r="A681" s="4460"/>
      <c r="B681" s="4458"/>
      <c r="C681" s="4538"/>
      <c r="D681" s="5070">
        <f>D670+D673+D674+D675+D676+D677+D678+D679+D680</f>
        <v>2217500000</v>
      </c>
      <c r="E681" s="5071"/>
      <c r="F681" s="3848">
        <f>F670+F673+F674+F675+F676+F677+F678+F679+F680</f>
        <v>150515000</v>
      </c>
      <c r="G681" s="4469"/>
      <c r="H681" s="4470"/>
      <c r="I681" s="4470"/>
      <c r="J681" s="4471"/>
      <c r="K681" s="233"/>
      <c r="L681" s="3847"/>
    </row>
    <row r="682" spans="1:17" ht="30" customHeight="1" x14ac:dyDescent="0.2">
      <c r="A682" s="3586">
        <v>339</v>
      </c>
      <c r="B682" s="3543" t="s">
        <v>170</v>
      </c>
      <c r="C682" s="3515" t="s">
        <v>1306</v>
      </c>
      <c r="D682" s="3524">
        <v>200000000</v>
      </c>
      <c r="E682" s="3535">
        <v>7.0000000000000007E-2</v>
      </c>
      <c r="F682" s="3524">
        <f t="shared" si="60"/>
        <v>14000000.000000002</v>
      </c>
      <c r="G682" s="233"/>
      <c r="H682" s="233"/>
      <c r="I682" s="1389"/>
      <c r="J682" s="233"/>
      <c r="K682" s="387"/>
      <c r="L682" s="3567"/>
      <c r="M682" s="386"/>
      <c r="N682" s="386"/>
      <c r="O682" s="386"/>
      <c r="P682" s="386"/>
      <c r="Q682" s="386"/>
    </row>
    <row r="683" spans="1:17" ht="30" customHeight="1" x14ac:dyDescent="0.2">
      <c r="A683" s="1029"/>
      <c r="B683" s="19" t="s">
        <v>67</v>
      </c>
      <c r="C683" s="378" t="s">
        <v>1138</v>
      </c>
      <c r="D683" s="3493">
        <v>111000000</v>
      </c>
      <c r="E683" s="3535">
        <v>0.05</v>
      </c>
      <c r="F683" s="3493">
        <v>6000000</v>
      </c>
      <c r="G683" s="3524">
        <v>6000000</v>
      </c>
      <c r="H683" s="3524" t="s">
        <v>6002</v>
      </c>
      <c r="I683" s="3524" t="s">
        <v>1720</v>
      </c>
      <c r="J683" s="3524">
        <f>G683</f>
        <v>6000000</v>
      </c>
      <c r="K683" s="3533">
        <f>F683-J683</f>
        <v>0</v>
      </c>
      <c r="L683" s="4469" t="s">
        <v>5562</v>
      </c>
      <c r="M683" s="4470"/>
      <c r="N683" s="4470"/>
      <c r="O683" s="4471"/>
      <c r="P683" s="386"/>
      <c r="Q683" s="386"/>
    </row>
    <row r="684" spans="1:17" ht="30" customHeight="1" x14ac:dyDescent="0.2">
      <c r="A684" s="3615">
        <v>341</v>
      </c>
      <c r="B684" s="3614" t="s">
        <v>1357</v>
      </c>
      <c r="C684" s="3613" t="s">
        <v>889</v>
      </c>
      <c r="D684" s="3608">
        <v>150000000</v>
      </c>
      <c r="E684" s="3612">
        <f>F684/D684</f>
        <v>4.6666666666666669E-2</v>
      </c>
      <c r="F684" s="3608">
        <v>7000000</v>
      </c>
      <c r="G684" s="3493">
        <v>7000000</v>
      </c>
      <c r="H684" s="3493" t="s">
        <v>5343</v>
      </c>
      <c r="I684" s="3520" t="s">
        <v>4844</v>
      </c>
      <c r="J684" s="3608">
        <f>G684</f>
        <v>7000000</v>
      </c>
      <c r="K684" s="3598">
        <f>F684-J684</f>
        <v>0</v>
      </c>
      <c r="L684" s="3567"/>
      <c r="M684" s="386"/>
      <c r="N684" s="386"/>
      <c r="O684" s="386"/>
      <c r="P684" s="386"/>
      <c r="Q684" s="386"/>
    </row>
    <row r="685" spans="1:17" ht="30" customHeight="1" x14ac:dyDescent="0.2">
      <c r="A685" s="3496">
        <v>342</v>
      </c>
      <c r="B685" s="3542" t="s">
        <v>71</v>
      </c>
      <c r="C685" s="4289" t="s">
        <v>2363</v>
      </c>
      <c r="D685" s="3493">
        <v>70000000</v>
      </c>
      <c r="E685" s="3535">
        <v>0.05</v>
      </c>
      <c r="F685" s="3493">
        <f>D685*E685</f>
        <v>3500000</v>
      </c>
      <c r="G685" s="3493">
        <v>3500000</v>
      </c>
      <c r="H685" s="3493" t="s">
        <v>5437</v>
      </c>
      <c r="I685" s="3520" t="s">
        <v>4110</v>
      </c>
      <c r="J685" s="3493">
        <f t="shared" ref="J685:J703" si="63">G685</f>
        <v>3500000</v>
      </c>
      <c r="K685" s="3533">
        <f>F685-J685</f>
        <v>0</v>
      </c>
      <c r="L685" s="3567"/>
      <c r="M685" s="386"/>
      <c r="N685" s="386"/>
      <c r="O685" s="386"/>
      <c r="P685" s="386"/>
      <c r="Q685" s="386"/>
    </row>
    <row r="686" spans="1:17" ht="30" customHeight="1" x14ac:dyDescent="0.2">
      <c r="A686" s="1029">
        <v>343</v>
      </c>
      <c r="B686" s="19" t="s">
        <v>1365</v>
      </c>
      <c r="C686" s="3541" t="s">
        <v>1796</v>
      </c>
      <c r="D686" s="3524">
        <v>8000000</v>
      </c>
      <c r="E686" s="3535">
        <v>0.04</v>
      </c>
      <c r="F686" s="3524">
        <f>D686*E686</f>
        <v>320000</v>
      </c>
      <c r="G686" s="3524">
        <v>320000</v>
      </c>
      <c r="H686" s="3524" t="s">
        <v>6002</v>
      </c>
      <c r="I686" s="3524" t="s">
        <v>1366</v>
      </c>
      <c r="J686" s="3524">
        <f t="shared" si="63"/>
        <v>320000</v>
      </c>
      <c r="K686" s="3488">
        <f>F686-J686</f>
        <v>0</v>
      </c>
      <c r="L686" s="3532"/>
      <c r="M686" s="386"/>
      <c r="N686" s="386"/>
      <c r="O686" s="386"/>
      <c r="P686" s="386"/>
      <c r="Q686" s="386"/>
    </row>
    <row r="687" spans="1:17" ht="30" customHeight="1" x14ac:dyDescent="0.2">
      <c r="A687" s="3497">
        <v>344</v>
      </c>
      <c r="B687" s="3502" t="s">
        <v>1373</v>
      </c>
      <c r="C687" s="3515"/>
      <c r="D687" s="3512"/>
      <c r="E687" s="3513"/>
      <c r="F687" s="3512"/>
      <c r="G687" s="3493">
        <v>6500000</v>
      </c>
      <c r="H687" s="3493" t="s">
        <v>5437</v>
      </c>
      <c r="I687" s="3520" t="s">
        <v>5439</v>
      </c>
      <c r="J687" s="3493">
        <f t="shared" si="63"/>
        <v>6500000</v>
      </c>
      <c r="K687" s="3534">
        <f>F687-J687</f>
        <v>-6500000</v>
      </c>
      <c r="L687" s="3567"/>
      <c r="M687" s="386"/>
      <c r="N687" s="386"/>
      <c r="O687" s="386"/>
      <c r="P687" s="386"/>
      <c r="Q687" s="386"/>
    </row>
    <row r="688" spans="1:17" ht="30" customHeight="1" x14ac:dyDescent="0.2">
      <c r="A688" s="3497">
        <v>345</v>
      </c>
      <c r="B688" s="3502" t="s">
        <v>2080</v>
      </c>
      <c r="C688" s="3515" t="s">
        <v>1299</v>
      </c>
      <c r="D688" s="3493">
        <v>60000000</v>
      </c>
      <c r="E688" s="3535">
        <v>7.0000000000000007E-2</v>
      </c>
      <c r="F688" s="3493">
        <f>D688*E688</f>
        <v>4200000</v>
      </c>
      <c r="G688" s="3493">
        <v>4200000</v>
      </c>
      <c r="H688" s="3493" t="s">
        <v>5744</v>
      </c>
      <c r="I688" s="3520" t="s">
        <v>4128</v>
      </c>
      <c r="J688" s="3493">
        <f t="shared" si="63"/>
        <v>4200000</v>
      </c>
      <c r="K688" s="3533">
        <f>G688-J688</f>
        <v>0</v>
      </c>
      <c r="L688" s="3567"/>
      <c r="M688" s="386"/>
      <c r="N688" s="386"/>
      <c r="O688" s="386"/>
      <c r="P688" s="386"/>
      <c r="Q688" s="386"/>
    </row>
    <row r="689" spans="1:17" ht="30" customHeight="1" x14ac:dyDescent="0.2">
      <c r="A689" s="3497">
        <v>346</v>
      </c>
      <c r="B689" s="3502" t="s">
        <v>1380</v>
      </c>
      <c r="C689" s="3515" t="s">
        <v>1172</v>
      </c>
      <c r="D689" s="3493">
        <v>5000000</v>
      </c>
      <c r="E689" s="3535">
        <v>0.05</v>
      </c>
      <c r="F689" s="3493">
        <f>D689*E689</f>
        <v>250000</v>
      </c>
      <c r="G689" s="3493">
        <v>250000</v>
      </c>
      <c r="H689" s="3493" t="s">
        <v>1879</v>
      </c>
      <c r="I689" s="3520" t="s">
        <v>1381</v>
      </c>
      <c r="J689" s="3493">
        <f t="shared" si="63"/>
        <v>250000</v>
      </c>
      <c r="K689" s="3533">
        <f t="shared" ref="K689:K698" si="64">F689-J689</f>
        <v>0</v>
      </c>
      <c r="L689" s="3567"/>
      <c r="M689" s="386"/>
      <c r="N689" s="386"/>
      <c r="O689" s="386"/>
      <c r="P689" s="386"/>
      <c r="Q689" s="386"/>
    </row>
    <row r="690" spans="1:17" ht="30" customHeight="1" x14ac:dyDescent="0.2">
      <c r="A690" s="4459">
        <v>347</v>
      </c>
      <c r="B690" s="4626" t="s">
        <v>178</v>
      </c>
      <c r="C690" s="4537" t="s">
        <v>1796</v>
      </c>
      <c r="D690" s="4413">
        <v>130000000</v>
      </c>
      <c r="E690" s="4476">
        <v>0.05</v>
      </c>
      <c r="F690" s="4413">
        <f>D690*E690</f>
        <v>6500000</v>
      </c>
      <c r="G690" s="3493">
        <v>6500000</v>
      </c>
      <c r="H690" s="3493" t="s">
        <v>5437</v>
      </c>
      <c r="I690" s="3520" t="s">
        <v>3952</v>
      </c>
      <c r="J690" s="3493">
        <f t="shared" si="63"/>
        <v>6500000</v>
      </c>
      <c r="K690" s="3533">
        <f t="shared" si="64"/>
        <v>0</v>
      </c>
      <c r="L690" s="3567" t="s">
        <v>4907</v>
      </c>
      <c r="M690" s="386"/>
      <c r="N690" s="386"/>
      <c r="O690" s="386"/>
      <c r="P690" s="386"/>
      <c r="Q690" s="386"/>
    </row>
    <row r="691" spans="1:17" ht="30" customHeight="1" x14ac:dyDescent="0.2">
      <c r="A691" s="4460"/>
      <c r="B691" s="4628"/>
      <c r="C691" s="4538"/>
      <c r="D691" s="4415"/>
      <c r="E691" s="4477"/>
      <c r="F691" s="4415"/>
      <c r="G691" s="4169">
        <v>6500000</v>
      </c>
      <c r="H691" s="4169" t="s">
        <v>6002</v>
      </c>
      <c r="I691" s="4173" t="s">
        <v>3952</v>
      </c>
      <c r="J691" s="4169">
        <f t="shared" si="63"/>
        <v>6500000</v>
      </c>
      <c r="K691" s="4178">
        <f>F690-J691</f>
        <v>0</v>
      </c>
      <c r="L691" s="4183" t="s">
        <v>4908</v>
      </c>
      <c r="M691" s="386"/>
      <c r="N691" s="386"/>
      <c r="O691" s="386"/>
      <c r="P691" s="386"/>
      <c r="Q691" s="386"/>
    </row>
    <row r="692" spans="1:17" ht="30" customHeight="1" x14ac:dyDescent="0.2">
      <c r="A692" s="3538">
        <v>348</v>
      </c>
      <c r="B692" s="19" t="s">
        <v>1408</v>
      </c>
      <c r="C692" s="3541" t="s">
        <v>1306</v>
      </c>
      <c r="D692" s="3524">
        <v>50000000</v>
      </c>
      <c r="E692" s="3535">
        <v>0.04</v>
      </c>
      <c r="F692" s="3524">
        <f>D692*E692</f>
        <v>2000000</v>
      </c>
      <c r="G692" s="3524">
        <v>2000000</v>
      </c>
      <c r="H692" s="3524" t="s">
        <v>6002</v>
      </c>
      <c r="I692" s="3520" t="s">
        <v>6004</v>
      </c>
      <c r="J692" s="3493">
        <f t="shared" si="63"/>
        <v>2000000</v>
      </c>
      <c r="K692" s="3533">
        <f t="shared" si="64"/>
        <v>0</v>
      </c>
      <c r="L692" s="3567"/>
      <c r="M692" s="386"/>
      <c r="N692" s="386"/>
      <c r="O692" s="386"/>
      <c r="P692" s="386"/>
      <c r="Q692" s="386"/>
    </row>
    <row r="693" spans="1:17" ht="30" customHeight="1" x14ac:dyDescent="0.2">
      <c r="A693" s="3497">
        <v>350</v>
      </c>
      <c r="B693" s="3502" t="s">
        <v>1554</v>
      </c>
      <c r="C693" s="3515"/>
      <c r="D693" s="3493">
        <v>110000000</v>
      </c>
      <c r="E693" s="4783" t="s">
        <v>1556</v>
      </c>
      <c r="F693" s="4784"/>
      <c r="G693" s="3493"/>
      <c r="H693" s="3493"/>
      <c r="I693" s="3520" t="s">
        <v>3469</v>
      </c>
      <c r="J693" s="3493">
        <f t="shared" si="63"/>
        <v>0</v>
      </c>
      <c r="K693" s="3534">
        <f t="shared" si="64"/>
        <v>0</v>
      </c>
      <c r="L693" s="3567"/>
      <c r="M693" s="386"/>
      <c r="N693" s="386"/>
      <c r="O693" s="386"/>
      <c r="P693" s="386"/>
      <c r="Q693" s="386"/>
    </row>
    <row r="694" spans="1:17" ht="30" customHeight="1" x14ac:dyDescent="0.2">
      <c r="A694" s="3538"/>
      <c r="B694" s="19" t="s">
        <v>1558</v>
      </c>
      <c r="C694" s="3541" t="s">
        <v>1172</v>
      </c>
      <c r="D694" s="3524">
        <v>680000000</v>
      </c>
      <c r="E694" s="3535">
        <v>7.0000000000000007E-2</v>
      </c>
      <c r="F694" s="3524">
        <f t="shared" ref="F694:F704" si="65">D694*E694</f>
        <v>47600000.000000007</v>
      </c>
      <c r="G694" s="3524">
        <v>47600000</v>
      </c>
      <c r="H694" s="3524" t="s">
        <v>5350</v>
      </c>
      <c r="I694" s="3524" t="s">
        <v>2460</v>
      </c>
      <c r="J694" s="3524">
        <f t="shared" si="63"/>
        <v>47600000</v>
      </c>
      <c r="K694" s="3533">
        <f t="shared" si="64"/>
        <v>0</v>
      </c>
      <c r="L694" s="3555"/>
      <c r="M694" s="386"/>
      <c r="N694" s="386"/>
      <c r="O694" s="386"/>
      <c r="P694" s="386"/>
      <c r="Q694" s="386"/>
    </row>
    <row r="695" spans="1:17" ht="30" customHeight="1" x14ac:dyDescent="0.2">
      <c r="A695" s="4459">
        <v>352</v>
      </c>
      <c r="B695" s="4457" t="s">
        <v>1561</v>
      </c>
      <c r="C695" s="4537" t="s">
        <v>1081</v>
      </c>
      <c r="D695" s="4413">
        <v>50000000</v>
      </c>
      <c r="E695" s="4476">
        <v>7.0000000000000007E-2</v>
      </c>
      <c r="F695" s="4413">
        <f t="shared" si="65"/>
        <v>3500000.0000000005</v>
      </c>
      <c r="G695" s="3493">
        <v>3500000</v>
      </c>
      <c r="H695" s="3493" t="s">
        <v>5343</v>
      </c>
      <c r="I695" s="3594" t="s">
        <v>3517</v>
      </c>
      <c r="J695" s="3493">
        <f t="shared" si="63"/>
        <v>3500000</v>
      </c>
      <c r="K695" s="3533">
        <f t="shared" si="64"/>
        <v>0</v>
      </c>
      <c r="L695" s="3567" t="s">
        <v>4907</v>
      </c>
      <c r="M695" s="386"/>
      <c r="N695" s="386"/>
      <c r="O695" s="386"/>
      <c r="P695" s="386"/>
      <c r="Q695" s="386"/>
    </row>
    <row r="696" spans="1:17" ht="30" customHeight="1" x14ac:dyDescent="0.2">
      <c r="A696" s="4460"/>
      <c r="B696" s="4458"/>
      <c r="C696" s="4538"/>
      <c r="D696" s="4415"/>
      <c r="E696" s="4477"/>
      <c r="F696" s="4415"/>
      <c r="G696" s="4198">
        <v>3500000</v>
      </c>
      <c r="H696" s="4198" t="s">
        <v>6007</v>
      </c>
      <c r="I696" s="4213" t="s">
        <v>3517</v>
      </c>
      <c r="J696" s="4198">
        <f t="shared" si="63"/>
        <v>3500000</v>
      </c>
      <c r="K696" s="4203">
        <f>F695-J696</f>
        <v>0</v>
      </c>
      <c r="L696" s="4208" t="s">
        <v>4908</v>
      </c>
      <c r="M696" s="386"/>
      <c r="N696" s="386"/>
      <c r="O696" s="386"/>
      <c r="P696" s="386"/>
      <c r="Q696" s="386"/>
    </row>
    <row r="697" spans="1:17" ht="30" customHeight="1" x14ac:dyDescent="0.2">
      <c r="A697" s="4614">
        <v>353</v>
      </c>
      <c r="B697" s="4615" t="s">
        <v>1565</v>
      </c>
      <c r="C697" s="3541" t="s">
        <v>1172</v>
      </c>
      <c r="D697" s="3493">
        <v>50000000</v>
      </c>
      <c r="E697" s="3535">
        <v>0.05</v>
      </c>
      <c r="F697" s="3493">
        <f t="shared" si="65"/>
        <v>2500000</v>
      </c>
      <c r="G697" s="3493">
        <v>2500000</v>
      </c>
      <c r="H697" s="3493" t="s">
        <v>1649</v>
      </c>
      <c r="I697" s="3520" t="s">
        <v>3718</v>
      </c>
      <c r="J697" s="3493">
        <f t="shared" si="63"/>
        <v>2500000</v>
      </c>
      <c r="K697" s="3533">
        <f t="shared" si="64"/>
        <v>0</v>
      </c>
      <c r="L697" s="3567"/>
      <c r="M697" s="386"/>
      <c r="N697" s="386"/>
      <c r="O697" s="386"/>
      <c r="P697" s="386"/>
      <c r="Q697" s="386"/>
    </row>
    <row r="698" spans="1:17" ht="30" customHeight="1" x14ac:dyDescent="0.2">
      <c r="A698" s="4614"/>
      <c r="B698" s="4615"/>
      <c r="C698" s="3541" t="s">
        <v>1299</v>
      </c>
      <c r="D698" s="3493">
        <v>20000000</v>
      </c>
      <c r="E698" s="3535">
        <v>0.05</v>
      </c>
      <c r="F698" s="3493">
        <f t="shared" si="65"/>
        <v>1000000</v>
      </c>
      <c r="G698" s="1456">
        <v>1000000</v>
      </c>
      <c r="H698" s="1456" t="s">
        <v>5744</v>
      </c>
      <c r="I698" s="1456" t="s">
        <v>3718</v>
      </c>
      <c r="J698" s="1456">
        <f t="shared" si="63"/>
        <v>1000000</v>
      </c>
      <c r="K698" s="3533">
        <f t="shared" si="64"/>
        <v>0</v>
      </c>
      <c r="L698" s="3567"/>
      <c r="M698" s="386"/>
      <c r="N698" s="386"/>
      <c r="O698" s="386"/>
      <c r="P698" s="386"/>
      <c r="Q698" s="386"/>
    </row>
    <row r="699" spans="1:17" ht="30" customHeight="1" x14ac:dyDescent="0.2">
      <c r="A699" s="4459">
        <v>355</v>
      </c>
      <c r="B699" s="4457" t="s">
        <v>1582</v>
      </c>
      <c r="C699" s="4537" t="s">
        <v>2644</v>
      </c>
      <c r="D699" s="3493">
        <v>115000000</v>
      </c>
      <c r="E699" s="3535">
        <v>0.05</v>
      </c>
      <c r="F699" s="3493">
        <f t="shared" si="65"/>
        <v>5750000</v>
      </c>
      <c r="G699" s="4413">
        <v>13250000</v>
      </c>
      <c r="H699" s="4413" t="s">
        <v>5361</v>
      </c>
      <c r="I699" s="4789" t="s">
        <v>3411</v>
      </c>
      <c r="J699" s="4413">
        <f t="shared" si="63"/>
        <v>13250000</v>
      </c>
      <c r="K699" s="4603">
        <f>F702-J699</f>
        <v>0</v>
      </c>
      <c r="L699" s="3567"/>
      <c r="M699" s="386"/>
      <c r="N699" s="386"/>
      <c r="O699" s="386"/>
      <c r="P699" s="386"/>
      <c r="Q699" s="386"/>
    </row>
    <row r="700" spans="1:17" ht="30" customHeight="1" x14ac:dyDescent="0.2">
      <c r="A700" s="4464"/>
      <c r="B700" s="4488"/>
      <c r="C700" s="4540"/>
      <c r="D700" s="3493">
        <v>100000000</v>
      </c>
      <c r="E700" s="3535">
        <v>0.05</v>
      </c>
      <c r="F700" s="3493">
        <f t="shared" si="65"/>
        <v>5000000</v>
      </c>
      <c r="G700" s="4414"/>
      <c r="H700" s="4414"/>
      <c r="I700" s="4871"/>
      <c r="J700" s="4414"/>
      <c r="K700" s="4609"/>
      <c r="L700" s="3554" t="s">
        <v>5239</v>
      </c>
      <c r="M700" s="386"/>
      <c r="N700" s="386"/>
      <c r="O700" s="386"/>
      <c r="P700" s="386"/>
      <c r="Q700" s="386"/>
    </row>
    <row r="701" spans="1:17" ht="30" customHeight="1" x14ac:dyDescent="0.2">
      <c r="A701" s="4464"/>
      <c r="B701" s="4488"/>
      <c r="C701" s="4540"/>
      <c r="D701" s="3493">
        <v>50000000</v>
      </c>
      <c r="E701" s="3535">
        <v>0.05</v>
      </c>
      <c r="F701" s="3493">
        <f t="shared" si="65"/>
        <v>2500000</v>
      </c>
      <c r="G701" s="4414"/>
      <c r="H701" s="4414"/>
      <c r="I701" s="4871"/>
      <c r="J701" s="4414"/>
      <c r="K701" s="4609"/>
      <c r="L701" s="3554" t="s">
        <v>5240</v>
      </c>
      <c r="M701" s="386"/>
      <c r="N701" s="386"/>
      <c r="O701" s="386"/>
      <c r="P701" s="386"/>
      <c r="Q701" s="386"/>
    </row>
    <row r="702" spans="1:17" ht="30" customHeight="1" x14ac:dyDescent="0.2">
      <c r="A702" s="4460"/>
      <c r="B702" s="4458"/>
      <c r="C702" s="4538"/>
      <c r="D702" s="3582">
        <f>SUM(D699:D701)</f>
        <v>265000000</v>
      </c>
      <c r="E702" s="897">
        <v>0.05</v>
      </c>
      <c r="F702" s="3582">
        <f>D702*E702</f>
        <v>13250000</v>
      </c>
      <c r="G702" s="4415"/>
      <c r="H702" s="4415"/>
      <c r="I702" s="4790"/>
      <c r="J702" s="4415"/>
      <c r="K702" s="4604"/>
      <c r="L702" s="3554"/>
      <c r="M702" s="386"/>
      <c r="N702" s="386"/>
      <c r="O702" s="386"/>
      <c r="P702" s="386"/>
      <c r="Q702" s="386"/>
    </row>
    <row r="703" spans="1:17" ht="30" customHeight="1" x14ac:dyDescent="0.2">
      <c r="A703" s="4459">
        <v>356</v>
      </c>
      <c r="B703" s="4457" t="s">
        <v>1590</v>
      </c>
      <c r="C703" s="4537"/>
      <c r="D703" s="3493">
        <v>60000000</v>
      </c>
      <c r="E703" s="3535">
        <v>0.04</v>
      </c>
      <c r="F703" s="3493">
        <f t="shared" si="65"/>
        <v>2400000</v>
      </c>
      <c r="G703" s="4413">
        <v>2800000</v>
      </c>
      <c r="H703" s="4413" t="s">
        <v>5437</v>
      </c>
      <c r="I703" s="4789" t="s">
        <v>3924</v>
      </c>
      <c r="J703" s="4413">
        <f t="shared" si="63"/>
        <v>2800000</v>
      </c>
      <c r="K703" s="4603">
        <f>(F703+F704)-J703</f>
        <v>0</v>
      </c>
      <c r="L703" s="4603"/>
      <c r="M703" s="386"/>
      <c r="N703" s="386"/>
      <c r="O703" s="386"/>
      <c r="P703" s="386"/>
      <c r="Q703" s="386"/>
    </row>
    <row r="704" spans="1:17" ht="30" customHeight="1" x14ac:dyDescent="0.2">
      <c r="A704" s="4460"/>
      <c r="B704" s="4458"/>
      <c r="C704" s="4538"/>
      <c r="D704" s="3493">
        <v>10000000</v>
      </c>
      <c r="E704" s="3535">
        <v>0.04</v>
      </c>
      <c r="F704" s="3493">
        <f t="shared" si="65"/>
        <v>400000</v>
      </c>
      <c r="G704" s="4415"/>
      <c r="H704" s="4415"/>
      <c r="I704" s="4790"/>
      <c r="J704" s="4415"/>
      <c r="K704" s="4604"/>
      <c r="L704" s="4604"/>
      <c r="M704" s="386"/>
      <c r="N704" s="386"/>
      <c r="O704" s="386"/>
      <c r="P704" s="386"/>
      <c r="Q704" s="386"/>
    </row>
    <row r="705" spans="1:17" ht="30" customHeight="1" x14ac:dyDescent="0.2">
      <c r="A705" s="3497">
        <v>357</v>
      </c>
      <c r="B705" s="3502" t="s">
        <v>1592</v>
      </c>
      <c r="C705" s="3515"/>
      <c r="D705" s="3493">
        <v>70000000</v>
      </c>
      <c r="E705" s="2521"/>
      <c r="F705" s="3512"/>
      <c r="G705" s="3493"/>
      <c r="H705" s="3493"/>
      <c r="I705" s="473"/>
      <c r="J705" s="3493"/>
      <c r="K705" s="3534"/>
      <c r="L705" s="3567"/>
      <c r="M705" s="386"/>
      <c r="N705" s="386"/>
      <c r="O705" s="386"/>
      <c r="P705" s="386"/>
      <c r="Q705" s="386"/>
    </row>
    <row r="706" spans="1:17" ht="30" customHeight="1" x14ac:dyDescent="0.2">
      <c r="A706" s="1029">
        <v>358</v>
      </c>
      <c r="B706" s="3539" t="s">
        <v>1597</v>
      </c>
      <c r="C706" s="3541"/>
      <c r="D706" s="3494"/>
      <c r="E706" s="2521"/>
      <c r="F706" s="3494"/>
      <c r="G706" s="3524"/>
      <c r="H706" s="3524"/>
      <c r="I706" s="2696" t="s">
        <v>1598</v>
      </c>
      <c r="J706" s="3524">
        <f>G706</f>
        <v>0</v>
      </c>
      <c r="K706" s="1031">
        <f>F706-J706</f>
        <v>0</v>
      </c>
      <c r="L706" s="3567" t="s">
        <v>4132</v>
      </c>
      <c r="M706" s="386"/>
      <c r="N706" s="386"/>
      <c r="O706" s="386"/>
      <c r="P706" s="386"/>
      <c r="Q706" s="386"/>
    </row>
    <row r="707" spans="1:17" ht="30" customHeight="1" x14ac:dyDescent="0.2">
      <c r="A707" s="4137">
        <v>359</v>
      </c>
      <c r="B707" s="4156" t="s">
        <v>1599</v>
      </c>
      <c r="C707" s="4157"/>
      <c r="D707" s="4136"/>
      <c r="E707" s="2521"/>
      <c r="F707" s="4136"/>
      <c r="G707" s="3493">
        <v>2000000</v>
      </c>
      <c r="H707" s="3493" t="s">
        <v>5934</v>
      </c>
      <c r="I707" s="473" t="s">
        <v>1600</v>
      </c>
      <c r="J707" s="4133">
        <f>G707</f>
        <v>2000000</v>
      </c>
      <c r="K707" s="1031">
        <f>F707-J707</f>
        <v>-2000000</v>
      </c>
      <c r="L707" s="4153"/>
      <c r="M707" s="386"/>
      <c r="N707" s="386"/>
      <c r="O707" s="386"/>
      <c r="P707" s="386"/>
      <c r="Q707" s="386"/>
    </row>
    <row r="708" spans="1:17" ht="30" customHeight="1" x14ac:dyDescent="0.2">
      <c r="A708" s="4614">
        <v>360</v>
      </c>
      <c r="B708" s="4615" t="s">
        <v>1614</v>
      </c>
      <c r="C708" s="4620" t="s">
        <v>889</v>
      </c>
      <c r="D708" s="3524">
        <v>290000000</v>
      </c>
      <c r="E708" s="3535">
        <v>0.05</v>
      </c>
      <c r="F708" s="3524">
        <f>D708*E708</f>
        <v>14500000</v>
      </c>
      <c r="G708" s="4413">
        <v>36100000</v>
      </c>
      <c r="H708" s="4789" t="s">
        <v>5348</v>
      </c>
      <c r="I708" s="4789" t="s">
        <v>1611</v>
      </c>
      <c r="J708" s="4413">
        <f>G708+G709</f>
        <v>36100000</v>
      </c>
      <c r="K708" s="4603">
        <f>F710-J708</f>
        <v>0</v>
      </c>
      <c r="L708" s="4788"/>
      <c r="M708" s="386"/>
      <c r="N708" s="386"/>
      <c r="O708" s="386"/>
      <c r="P708" s="386"/>
      <c r="Q708" s="386"/>
    </row>
    <row r="709" spans="1:17" ht="30" customHeight="1" x14ac:dyDescent="0.2">
      <c r="A709" s="4614"/>
      <c r="B709" s="4615"/>
      <c r="C709" s="4620"/>
      <c r="D709" s="3524">
        <v>210000000</v>
      </c>
      <c r="E709" s="3535">
        <v>0.06</v>
      </c>
      <c r="F709" s="3524">
        <f>D709*E709</f>
        <v>12600000</v>
      </c>
      <c r="G709" s="4414"/>
      <c r="H709" s="4871"/>
      <c r="I709" s="4871"/>
      <c r="J709" s="4414"/>
      <c r="K709" s="4609"/>
      <c r="L709" s="4675"/>
      <c r="M709" s="386"/>
      <c r="N709" s="386"/>
      <c r="O709" s="386"/>
      <c r="P709" s="386"/>
      <c r="Q709" s="386"/>
    </row>
    <row r="710" spans="1:17" ht="30" customHeight="1" x14ac:dyDescent="0.2">
      <c r="A710" s="4614"/>
      <c r="B710" s="4615"/>
      <c r="C710" s="4620"/>
      <c r="D710" s="3595">
        <v>150000000</v>
      </c>
      <c r="E710" s="897"/>
      <c r="F710" s="3595">
        <v>36100000</v>
      </c>
      <c r="G710" s="4415"/>
      <c r="H710" s="4790"/>
      <c r="I710" s="4790"/>
      <c r="J710" s="4415"/>
      <c r="K710" s="4604"/>
      <c r="L710" s="3555"/>
      <c r="M710" s="386"/>
      <c r="N710" s="386"/>
      <c r="O710" s="386"/>
      <c r="P710" s="386"/>
      <c r="Q710" s="386"/>
    </row>
    <row r="711" spans="1:17" ht="30" customHeight="1" x14ac:dyDescent="0.2">
      <c r="A711" s="4614">
        <v>361</v>
      </c>
      <c r="B711" s="4457" t="s">
        <v>1612</v>
      </c>
      <c r="C711" s="4537"/>
      <c r="D711" s="4413">
        <v>2815000000</v>
      </c>
      <c r="E711" s="4476"/>
      <c r="F711" s="4413">
        <v>97400000</v>
      </c>
      <c r="G711" s="3493">
        <v>18000000</v>
      </c>
      <c r="H711" s="4303" t="s">
        <v>5158</v>
      </c>
      <c r="I711" s="4355"/>
      <c r="J711" s="4322">
        <f>G711+G712+G713</f>
        <v>47400000</v>
      </c>
      <c r="K711" s="4332">
        <f>F711-J711</f>
        <v>50000000</v>
      </c>
      <c r="L711" s="3566" t="s">
        <v>4627</v>
      </c>
      <c r="M711" s="386"/>
      <c r="N711" s="386"/>
      <c r="O711" s="386"/>
      <c r="P711" s="386"/>
      <c r="Q711" s="386"/>
    </row>
    <row r="712" spans="1:17" ht="30" customHeight="1" x14ac:dyDescent="0.2">
      <c r="A712" s="4614"/>
      <c r="B712" s="4488"/>
      <c r="C712" s="4540"/>
      <c r="D712" s="4414"/>
      <c r="E712" s="4516"/>
      <c r="F712" s="4414"/>
      <c r="G712" s="3625">
        <v>19475000</v>
      </c>
      <c r="H712" s="5098" t="s">
        <v>5372</v>
      </c>
      <c r="I712" s="5099"/>
      <c r="J712" s="4322"/>
      <c r="K712" s="4332"/>
      <c r="L712" s="3822" t="s">
        <v>4628</v>
      </c>
      <c r="M712" s="386"/>
      <c r="N712" s="386"/>
      <c r="O712" s="386"/>
      <c r="P712" s="386"/>
      <c r="Q712" s="386"/>
    </row>
    <row r="713" spans="1:17" ht="30" customHeight="1" x14ac:dyDescent="0.2">
      <c r="A713" s="4614"/>
      <c r="B713" s="4488"/>
      <c r="C713" s="4540"/>
      <c r="D713" s="4414"/>
      <c r="E713" s="4516"/>
      <c r="F713" s="4414"/>
      <c r="G713" s="3800">
        <v>9925000</v>
      </c>
      <c r="H713" s="3800" t="s">
        <v>5370</v>
      </c>
      <c r="I713" s="3800" t="s">
        <v>5546</v>
      </c>
      <c r="J713" s="4322"/>
      <c r="K713" s="4332"/>
      <c r="L713" s="3566"/>
      <c r="M713" s="386"/>
      <c r="N713" s="386"/>
      <c r="O713" s="386"/>
      <c r="P713" s="386"/>
      <c r="Q713" s="386"/>
    </row>
    <row r="714" spans="1:17" ht="30" customHeight="1" x14ac:dyDescent="0.2">
      <c r="A714" s="4614"/>
      <c r="B714" s="4488"/>
      <c r="C714" s="4540"/>
      <c r="D714" s="4415"/>
      <c r="E714" s="4477"/>
      <c r="F714" s="4415"/>
      <c r="G714" s="4303" t="s">
        <v>5547</v>
      </c>
      <c r="H714" s="4324"/>
      <c r="I714" s="4355"/>
      <c r="J714" s="4322"/>
      <c r="K714" s="4332"/>
      <c r="L714" s="3566"/>
      <c r="M714" s="386"/>
      <c r="N714" s="386"/>
      <c r="O714" s="386"/>
      <c r="P714" s="386"/>
      <c r="Q714" s="386"/>
    </row>
    <row r="715" spans="1:17" ht="30" customHeight="1" x14ac:dyDescent="0.2">
      <c r="A715" s="3496"/>
      <c r="B715" s="3539" t="s">
        <v>4181</v>
      </c>
      <c r="C715" s="3541"/>
      <c r="D715" s="3524">
        <v>30000000</v>
      </c>
      <c r="E715" s="3535">
        <v>6.5000000000000002E-2</v>
      </c>
      <c r="F715" s="3524">
        <f>D715*E715</f>
        <v>1950000</v>
      </c>
      <c r="G715" s="3524">
        <v>2000000</v>
      </c>
      <c r="H715" s="3524" t="s">
        <v>1972</v>
      </c>
      <c r="I715" s="3524" t="s">
        <v>2369</v>
      </c>
      <c r="J715" s="3524">
        <f>G715</f>
        <v>2000000</v>
      </c>
      <c r="K715" s="3488">
        <f>F715-J715</f>
        <v>-50000</v>
      </c>
      <c r="L715" s="3567" t="s">
        <v>5738</v>
      </c>
      <c r="M715" s="3567"/>
      <c r="N715" s="3567"/>
      <c r="O715" s="3567"/>
      <c r="P715" s="386"/>
      <c r="Q715" s="386"/>
    </row>
    <row r="716" spans="1:17" ht="30" customHeight="1" x14ac:dyDescent="0.2">
      <c r="A716" s="3538">
        <v>362</v>
      </c>
      <c r="B716" s="19" t="s">
        <v>1619</v>
      </c>
      <c r="C716" s="3541" t="s">
        <v>1652</v>
      </c>
      <c r="D716" s="3493">
        <v>360000000</v>
      </c>
      <c r="E716" s="3535">
        <v>4.4999999999999998E-2</v>
      </c>
      <c r="F716" s="3493">
        <v>16500000</v>
      </c>
      <c r="G716" s="3493">
        <v>16500000</v>
      </c>
      <c r="H716" s="3493" t="s">
        <v>1649</v>
      </c>
      <c r="I716" s="473" t="s">
        <v>4778</v>
      </c>
      <c r="J716" s="3493">
        <f t="shared" ref="J716:J729" si="66">G716</f>
        <v>16500000</v>
      </c>
      <c r="K716" s="3533">
        <f t="shared" ref="K716:K729" si="67">F716-J716</f>
        <v>0</v>
      </c>
      <c r="L716" s="3567"/>
      <c r="M716" s="3567"/>
      <c r="N716" s="3567"/>
      <c r="O716" s="3567"/>
      <c r="P716" s="386"/>
      <c r="Q716" s="386"/>
    </row>
    <row r="717" spans="1:17" ht="30" customHeight="1" x14ac:dyDescent="0.2">
      <c r="A717" s="3497">
        <v>363</v>
      </c>
      <c r="B717" s="3502" t="s">
        <v>1641</v>
      </c>
      <c r="C717" s="3515"/>
      <c r="D717" s="3699">
        <v>33000000</v>
      </c>
      <c r="E717" s="3718">
        <v>0.05</v>
      </c>
      <c r="F717" s="3699">
        <f>D717*E717</f>
        <v>1650000</v>
      </c>
      <c r="G717" s="3699">
        <v>1650000</v>
      </c>
      <c r="H717" s="3699" t="s">
        <v>1649</v>
      </c>
      <c r="I717" s="473" t="s">
        <v>1621</v>
      </c>
      <c r="J717" s="3699">
        <f t="shared" si="66"/>
        <v>1650000</v>
      </c>
      <c r="K717" s="3714">
        <f t="shared" si="67"/>
        <v>0</v>
      </c>
      <c r="L717" s="3567"/>
      <c r="M717" s="386"/>
      <c r="N717" s="386"/>
      <c r="O717" s="386"/>
      <c r="P717" s="386"/>
      <c r="Q717" s="386"/>
    </row>
    <row r="718" spans="1:17" ht="30" customHeight="1" x14ac:dyDescent="0.2">
      <c r="A718" s="4459">
        <v>364</v>
      </c>
      <c r="B718" s="4457" t="s">
        <v>1637</v>
      </c>
      <c r="C718" s="4537"/>
      <c r="D718" s="3512"/>
      <c r="E718" s="2521"/>
      <c r="F718" s="3512"/>
      <c r="G718" s="3493"/>
      <c r="H718" s="3493"/>
      <c r="I718" s="473" t="s">
        <v>4041</v>
      </c>
      <c r="J718" s="3493">
        <f t="shared" si="66"/>
        <v>0</v>
      </c>
      <c r="K718" s="3534">
        <f t="shared" si="67"/>
        <v>0</v>
      </c>
      <c r="L718" s="3567"/>
      <c r="M718" s="386"/>
      <c r="N718" s="386"/>
      <c r="O718" s="386"/>
      <c r="P718" s="386"/>
      <c r="Q718" s="386"/>
    </row>
    <row r="719" spans="1:17" ht="30" customHeight="1" x14ac:dyDescent="0.2">
      <c r="A719" s="4460"/>
      <c r="B719" s="4458"/>
      <c r="C719" s="4538"/>
      <c r="D719" s="3512"/>
      <c r="E719" s="2521"/>
      <c r="F719" s="3512"/>
      <c r="G719" s="3493"/>
      <c r="H719" s="3493"/>
      <c r="I719" s="473"/>
      <c r="J719" s="3493"/>
      <c r="K719" s="3534"/>
      <c r="L719" s="3555" t="s">
        <v>4875</v>
      </c>
      <c r="M719" s="386"/>
      <c r="N719" s="386"/>
      <c r="O719" s="386"/>
      <c r="P719" s="386"/>
      <c r="Q719" s="386"/>
    </row>
    <row r="720" spans="1:17" ht="30" customHeight="1" x14ac:dyDescent="0.2">
      <c r="A720" s="3538">
        <v>365</v>
      </c>
      <c r="B720" s="3539" t="s">
        <v>1639</v>
      </c>
      <c r="C720" s="3541" t="s">
        <v>1718</v>
      </c>
      <c r="D720" s="3493">
        <v>250000000</v>
      </c>
      <c r="E720" s="3535">
        <v>0.05</v>
      </c>
      <c r="F720" s="3493">
        <f>D720*E720</f>
        <v>12500000</v>
      </c>
      <c r="G720" s="3524">
        <v>12500000</v>
      </c>
      <c r="H720" s="3524" t="s">
        <v>2019</v>
      </c>
      <c r="I720" s="3524" t="s">
        <v>2808</v>
      </c>
      <c r="J720" s="3524">
        <f t="shared" si="66"/>
        <v>12500000</v>
      </c>
      <c r="K720" s="3533">
        <f t="shared" si="67"/>
        <v>0</v>
      </c>
      <c r="L720" s="3555"/>
      <c r="M720" s="386"/>
      <c r="N720" s="386"/>
      <c r="O720" s="386"/>
      <c r="P720" s="386"/>
      <c r="Q720" s="386"/>
    </row>
    <row r="721" spans="1:17" ht="30" customHeight="1" x14ac:dyDescent="0.2">
      <c r="A721" s="4459">
        <v>366</v>
      </c>
      <c r="B721" s="4457" t="s">
        <v>4686</v>
      </c>
      <c r="C721" s="4537" t="s">
        <v>1107</v>
      </c>
      <c r="D721" s="4042">
        <v>70000000</v>
      </c>
      <c r="E721" s="897">
        <v>6.3E-2</v>
      </c>
      <c r="F721" s="4042">
        <v>4400000</v>
      </c>
      <c r="G721" s="4413">
        <v>11150000</v>
      </c>
      <c r="H721" s="4413" t="s">
        <v>5865</v>
      </c>
      <c r="I721" s="4789" t="s">
        <v>3773</v>
      </c>
      <c r="J721" s="4413">
        <f>G721</f>
        <v>11150000</v>
      </c>
      <c r="K721" s="4603">
        <f>(F721+F728)-J721</f>
        <v>0</v>
      </c>
      <c r="L721" s="3567"/>
      <c r="M721" s="386"/>
      <c r="N721" s="386"/>
      <c r="O721" s="386"/>
      <c r="P721" s="386"/>
      <c r="Q721" s="386"/>
    </row>
    <row r="722" spans="1:17" ht="30" customHeight="1" x14ac:dyDescent="0.2">
      <c r="A722" s="4464"/>
      <c r="B722" s="4488"/>
      <c r="C722" s="4540"/>
      <c r="D722" s="4038">
        <v>96900000</v>
      </c>
      <c r="E722" s="3499">
        <v>0.05</v>
      </c>
      <c r="F722" s="3493">
        <f>D722*E722</f>
        <v>4845000</v>
      </c>
      <c r="G722" s="4414"/>
      <c r="H722" s="4414"/>
      <c r="I722" s="4871"/>
      <c r="J722" s="4414"/>
      <c r="K722" s="4609"/>
      <c r="L722" s="2814" t="s">
        <v>4798</v>
      </c>
      <c r="M722" s="386"/>
      <c r="N722" s="386"/>
      <c r="O722" s="386"/>
      <c r="P722" s="386"/>
      <c r="Q722" s="386"/>
    </row>
    <row r="723" spans="1:17" ht="30" customHeight="1" x14ac:dyDescent="0.2">
      <c r="A723" s="4464"/>
      <c r="B723" s="4488"/>
      <c r="C723" s="4540"/>
      <c r="D723" s="4038">
        <v>7100000</v>
      </c>
      <c r="E723" s="4039">
        <v>0.05</v>
      </c>
      <c r="F723" s="4038">
        <f t="shared" ref="F723:F727" si="68">D723*E723</f>
        <v>355000</v>
      </c>
      <c r="G723" s="4414"/>
      <c r="H723" s="4414"/>
      <c r="I723" s="4871"/>
      <c r="J723" s="4414"/>
      <c r="K723" s="4609"/>
      <c r="L723" s="2814" t="s">
        <v>4687</v>
      </c>
      <c r="M723" s="386"/>
      <c r="N723" s="386"/>
      <c r="O723" s="386"/>
      <c r="P723" s="386"/>
      <c r="Q723" s="386"/>
    </row>
    <row r="724" spans="1:17" ht="30" customHeight="1" x14ac:dyDescent="0.2">
      <c r="A724" s="4464"/>
      <c r="B724" s="4488"/>
      <c r="C724" s="4540"/>
      <c r="D724" s="4038">
        <v>3000000</v>
      </c>
      <c r="E724" s="4039">
        <v>0.05</v>
      </c>
      <c r="F724" s="4038">
        <f t="shared" si="68"/>
        <v>150000</v>
      </c>
      <c r="G724" s="4414"/>
      <c r="H724" s="4414"/>
      <c r="I724" s="4871"/>
      <c r="J724" s="4414"/>
      <c r="K724" s="4609"/>
      <c r="L724" s="2814" t="s">
        <v>4688</v>
      </c>
      <c r="M724" s="386"/>
      <c r="N724" s="386"/>
      <c r="O724" s="386"/>
      <c r="P724" s="386"/>
      <c r="Q724" s="386"/>
    </row>
    <row r="725" spans="1:17" ht="30" customHeight="1" x14ac:dyDescent="0.2">
      <c r="A725" s="4464"/>
      <c r="B725" s="4488"/>
      <c r="C725" s="4540"/>
      <c r="D725" s="4038">
        <v>10000000</v>
      </c>
      <c r="E725" s="4039">
        <v>0.05</v>
      </c>
      <c r="F725" s="4038">
        <f t="shared" si="68"/>
        <v>500000</v>
      </c>
      <c r="G725" s="4414"/>
      <c r="H725" s="4414"/>
      <c r="I725" s="4871"/>
      <c r="J725" s="4414"/>
      <c r="K725" s="4609"/>
      <c r="L725" s="2814" t="s">
        <v>4690</v>
      </c>
      <c r="M725" s="386"/>
      <c r="N725" s="386"/>
      <c r="O725" s="386"/>
      <c r="P725" s="386"/>
      <c r="Q725" s="386"/>
    </row>
    <row r="726" spans="1:17" ht="30" customHeight="1" x14ac:dyDescent="0.2">
      <c r="A726" s="4464"/>
      <c r="B726" s="4488"/>
      <c r="C726" s="4540"/>
      <c r="D726" s="4038">
        <v>10000000</v>
      </c>
      <c r="E726" s="4039">
        <v>0.05</v>
      </c>
      <c r="F726" s="4038">
        <f t="shared" si="68"/>
        <v>500000</v>
      </c>
      <c r="G726" s="4414"/>
      <c r="H726" s="4414"/>
      <c r="I726" s="4871"/>
      <c r="J726" s="4414"/>
      <c r="K726" s="4609"/>
      <c r="L726" s="2814" t="s">
        <v>4689</v>
      </c>
      <c r="M726" s="386"/>
      <c r="N726" s="386"/>
      <c r="O726" s="386"/>
      <c r="P726" s="386"/>
      <c r="Q726" s="386"/>
    </row>
    <row r="727" spans="1:17" ht="30" customHeight="1" x14ac:dyDescent="0.2">
      <c r="A727" s="4464"/>
      <c r="B727" s="4488"/>
      <c r="C727" s="4540"/>
      <c r="D727" s="4038">
        <v>8000000</v>
      </c>
      <c r="E727" s="4039">
        <v>0.05</v>
      </c>
      <c r="F727" s="4038">
        <f t="shared" si="68"/>
        <v>400000</v>
      </c>
      <c r="G727" s="4414"/>
      <c r="H727" s="4414"/>
      <c r="I727" s="4871"/>
      <c r="J727" s="4414"/>
      <c r="K727" s="4609"/>
      <c r="L727" s="2814" t="s">
        <v>4691</v>
      </c>
      <c r="M727" s="386"/>
      <c r="N727" s="386"/>
      <c r="O727" s="386"/>
      <c r="P727" s="386"/>
      <c r="Q727" s="386"/>
    </row>
    <row r="728" spans="1:17" ht="30" customHeight="1" x14ac:dyDescent="0.2">
      <c r="A728" s="4460"/>
      <c r="B728" s="4458"/>
      <c r="C728" s="4538"/>
      <c r="D728" s="3582">
        <f>SUM(D722:D727)</f>
        <v>135000000</v>
      </c>
      <c r="E728" s="897">
        <v>0.05</v>
      </c>
      <c r="F728" s="4041">
        <f>D728*E728</f>
        <v>6750000</v>
      </c>
      <c r="G728" s="4415"/>
      <c r="H728" s="4415"/>
      <c r="I728" s="4790"/>
      <c r="J728" s="4415"/>
      <c r="K728" s="4604"/>
      <c r="L728" s="3567" t="s">
        <v>4692</v>
      </c>
      <c r="M728" s="386"/>
      <c r="N728" s="386"/>
      <c r="O728" s="386"/>
      <c r="P728" s="386"/>
      <c r="Q728" s="386"/>
    </row>
    <row r="729" spans="1:17" ht="30" customHeight="1" x14ac:dyDescent="0.2">
      <c r="A729" s="3497">
        <v>367</v>
      </c>
      <c r="B729" s="3502" t="s">
        <v>1666</v>
      </c>
      <c r="C729" s="3515" t="s">
        <v>1172</v>
      </c>
      <c r="D729" s="3493">
        <v>25000000</v>
      </c>
      <c r="E729" s="3535">
        <v>0.05</v>
      </c>
      <c r="F729" s="3493">
        <f>D729*E729</f>
        <v>1250000</v>
      </c>
      <c r="G729" s="3493">
        <v>1250000</v>
      </c>
      <c r="H729" s="3493" t="s">
        <v>1649</v>
      </c>
      <c r="I729" s="473" t="s">
        <v>5475</v>
      </c>
      <c r="J729" s="3493">
        <f t="shared" si="66"/>
        <v>1250000</v>
      </c>
      <c r="K729" s="3533">
        <f t="shared" si="67"/>
        <v>0</v>
      </c>
      <c r="L729" s="3567"/>
      <c r="M729" s="386"/>
      <c r="N729" s="386"/>
      <c r="O729" s="386"/>
      <c r="P729" s="386"/>
      <c r="Q729" s="386"/>
    </row>
    <row r="730" spans="1:17" ht="30" customHeight="1" x14ac:dyDescent="0.2">
      <c r="A730" s="3538">
        <v>368</v>
      </c>
      <c r="B730" s="19" t="s">
        <v>1793</v>
      </c>
      <c r="C730" s="3541" t="s">
        <v>392</v>
      </c>
      <c r="D730" s="3493">
        <v>818000000</v>
      </c>
      <c r="E730" s="3499">
        <v>7.0000000000000007E-2</v>
      </c>
      <c r="F730" s="3493">
        <f>D730*E730</f>
        <v>57260000.000000007</v>
      </c>
      <c r="G730" s="3524">
        <v>57260000</v>
      </c>
      <c r="H730" s="39" t="s">
        <v>5348</v>
      </c>
      <c r="I730" s="2696" t="s">
        <v>5489</v>
      </c>
      <c r="J730" s="3524">
        <f>G730</f>
        <v>57260000</v>
      </c>
      <c r="K730" s="3488">
        <f>F730-J730</f>
        <v>0</v>
      </c>
      <c r="L730" s="3554" t="s">
        <v>5519</v>
      </c>
      <c r="M730" s="386"/>
      <c r="N730" s="386"/>
      <c r="O730" s="386"/>
      <c r="P730" s="386"/>
      <c r="Q730" s="386"/>
    </row>
    <row r="731" spans="1:17" ht="30" customHeight="1" x14ac:dyDescent="0.2">
      <c r="A731" s="3819"/>
      <c r="B731" s="4457" t="s">
        <v>5598</v>
      </c>
      <c r="C731" s="4537"/>
      <c r="D731" s="3778">
        <v>215000000</v>
      </c>
      <c r="E731" s="3787">
        <v>7.0000000000000007E-2</v>
      </c>
      <c r="F731" s="3778">
        <f>D731*E731</f>
        <v>15050000.000000002</v>
      </c>
      <c r="G731" s="3776"/>
      <c r="H731" s="3798"/>
      <c r="I731" s="3821"/>
      <c r="J731" s="3776"/>
      <c r="K731" s="3808"/>
      <c r="L731" s="3806" t="s">
        <v>5564</v>
      </c>
      <c r="M731" s="386"/>
      <c r="N731" s="386"/>
      <c r="O731" s="386"/>
      <c r="P731" s="386"/>
      <c r="Q731" s="386"/>
    </row>
    <row r="732" spans="1:17" ht="30" customHeight="1" x14ac:dyDescent="0.2">
      <c r="A732" s="3819"/>
      <c r="B732" s="4458"/>
      <c r="C732" s="4538"/>
      <c r="D732" s="3778">
        <v>71000000</v>
      </c>
      <c r="E732" s="3787"/>
      <c r="F732" s="3778"/>
      <c r="G732" s="3776"/>
      <c r="H732" s="3798"/>
      <c r="I732" s="3821"/>
      <c r="J732" s="3776"/>
      <c r="K732" s="3808"/>
      <c r="L732" s="3806" t="s">
        <v>5599</v>
      </c>
      <c r="M732" s="386"/>
      <c r="N732" s="386"/>
      <c r="O732" s="386"/>
      <c r="P732" s="386"/>
      <c r="Q732" s="386"/>
    </row>
    <row r="733" spans="1:17" ht="30" customHeight="1" x14ac:dyDescent="0.2">
      <c r="A733" s="4614">
        <v>369</v>
      </c>
      <c r="B733" s="4615" t="s">
        <v>1676</v>
      </c>
      <c r="C733" s="4620" t="s">
        <v>1652</v>
      </c>
      <c r="D733" s="3493">
        <v>250000000</v>
      </c>
      <c r="E733" s="3499">
        <v>0.05</v>
      </c>
      <c r="F733" s="3493">
        <f t="shared" ref="F733:F743" si="69">D733*E733</f>
        <v>12500000</v>
      </c>
      <c r="G733" s="4413">
        <v>27800000</v>
      </c>
      <c r="H733" s="4413" t="s">
        <v>1649</v>
      </c>
      <c r="I733" s="4413" t="s">
        <v>4898</v>
      </c>
      <c r="J733" s="4413">
        <f>G733</f>
        <v>27800000</v>
      </c>
      <c r="K733" s="4413">
        <f>(F733+F734+F735+F736)-J733</f>
        <v>0</v>
      </c>
      <c r="L733" s="3554"/>
      <c r="M733" s="386"/>
      <c r="N733" s="386"/>
      <c r="O733" s="386"/>
      <c r="P733" s="386"/>
      <c r="Q733" s="386"/>
    </row>
    <row r="734" spans="1:17" ht="30" customHeight="1" x14ac:dyDescent="0.2">
      <c r="A734" s="4614"/>
      <c r="B734" s="4615"/>
      <c r="C734" s="4620"/>
      <c r="D734" s="3493">
        <v>150000000</v>
      </c>
      <c r="E734" s="3499">
        <v>0.06</v>
      </c>
      <c r="F734" s="3493">
        <f t="shared" si="69"/>
        <v>9000000</v>
      </c>
      <c r="G734" s="4414"/>
      <c r="H734" s="4414"/>
      <c r="I734" s="4414"/>
      <c r="J734" s="4414"/>
      <c r="K734" s="4414"/>
      <c r="L734" s="3566"/>
      <c r="M734" s="386"/>
      <c r="N734" s="386"/>
      <c r="O734" s="386"/>
      <c r="P734" s="386"/>
      <c r="Q734" s="386"/>
    </row>
    <row r="735" spans="1:17" ht="30" customHeight="1" x14ac:dyDescent="0.2">
      <c r="A735" s="4614"/>
      <c r="B735" s="4615"/>
      <c r="C735" s="4620"/>
      <c r="D735" s="3493">
        <v>50000000</v>
      </c>
      <c r="E735" s="3499">
        <v>0.06</v>
      </c>
      <c r="F735" s="3493">
        <f t="shared" si="69"/>
        <v>3000000</v>
      </c>
      <c r="G735" s="4414"/>
      <c r="H735" s="4414"/>
      <c r="I735" s="4414"/>
      <c r="J735" s="4414"/>
      <c r="K735" s="4414"/>
      <c r="L735" s="3566"/>
      <c r="M735" s="386"/>
      <c r="N735" s="386"/>
      <c r="O735" s="386"/>
      <c r="P735" s="386"/>
      <c r="Q735" s="386"/>
    </row>
    <row r="736" spans="1:17" ht="30" customHeight="1" x14ac:dyDescent="0.2">
      <c r="A736" s="4614"/>
      <c r="B736" s="4615"/>
      <c r="C736" s="4620"/>
      <c r="D736" s="3493">
        <v>55000000</v>
      </c>
      <c r="E736" s="3499">
        <v>0.06</v>
      </c>
      <c r="F736" s="3493">
        <f t="shared" si="69"/>
        <v>3300000</v>
      </c>
      <c r="G736" s="4415"/>
      <c r="H736" s="4415"/>
      <c r="I736" s="4415"/>
      <c r="J736" s="4415"/>
      <c r="K736" s="4415"/>
      <c r="L736" s="3555"/>
      <c r="M736" s="386"/>
      <c r="N736" s="386"/>
      <c r="O736" s="386"/>
      <c r="P736" s="386"/>
      <c r="Q736" s="386"/>
    </row>
    <row r="737" spans="1:17" ht="30" customHeight="1" x14ac:dyDescent="0.2">
      <c r="A737" s="4459"/>
      <c r="B737" s="4615" t="s">
        <v>5181</v>
      </c>
      <c r="C737" s="4537" t="s">
        <v>1652</v>
      </c>
      <c r="D737" s="3493">
        <v>177000000</v>
      </c>
      <c r="E737" s="3499">
        <v>7.0000000000000007E-2</v>
      </c>
      <c r="F737" s="3493">
        <f t="shared" si="69"/>
        <v>12390000.000000002</v>
      </c>
      <c r="G737" s="4413">
        <v>28000000</v>
      </c>
      <c r="H737" s="4648" t="s">
        <v>1012</v>
      </c>
      <c r="I737" s="4413" t="s">
        <v>5851</v>
      </c>
      <c r="J737" s="4413">
        <f>G737</f>
        <v>28000000</v>
      </c>
      <c r="K737" s="4413">
        <f>F739-J737</f>
        <v>0</v>
      </c>
      <c r="L737" s="3555" t="s">
        <v>5183</v>
      </c>
      <c r="M737" s="386"/>
      <c r="N737" s="386"/>
      <c r="O737" s="386"/>
      <c r="P737" s="386"/>
      <c r="Q737" s="386"/>
    </row>
    <row r="738" spans="1:17" ht="30" customHeight="1" x14ac:dyDescent="0.2">
      <c r="A738" s="4464"/>
      <c r="B738" s="4615"/>
      <c r="C738" s="4540"/>
      <c r="D738" s="3493">
        <v>223000000</v>
      </c>
      <c r="E738" s="3499">
        <v>7.0000000000000007E-2</v>
      </c>
      <c r="F738" s="3493">
        <f t="shared" si="69"/>
        <v>15610000.000000002</v>
      </c>
      <c r="G738" s="4414"/>
      <c r="H738" s="4649"/>
      <c r="I738" s="4414"/>
      <c r="J738" s="4414"/>
      <c r="K738" s="4414"/>
      <c r="L738" s="3555" t="s">
        <v>5182</v>
      </c>
      <c r="M738" s="386"/>
      <c r="N738" s="386"/>
      <c r="O738" s="386"/>
      <c r="P738" s="386"/>
      <c r="Q738" s="386"/>
    </row>
    <row r="739" spans="1:17" ht="30" customHeight="1" x14ac:dyDescent="0.2">
      <c r="A739" s="4460"/>
      <c r="B739" s="4615"/>
      <c r="C739" s="4538"/>
      <c r="D739" s="3582">
        <v>400000000</v>
      </c>
      <c r="E739" s="3584">
        <v>7.0000000000000007E-2</v>
      </c>
      <c r="F739" s="3582">
        <f t="shared" si="69"/>
        <v>28000000.000000004</v>
      </c>
      <c r="G739" s="4415"/>
      <c r="H739" s="4650"/>
      <c r="I739" s="4415"/>
      <c r="J739" s="4415"/>
      <c r="K739" s="4415"/>
      <c r="L739" s="3555"/>
      <c r="M739" s="386"/>
      <c r="N739" s="386"/>
      <c r="O739" s="386"/>
      <c r="P739" s="386"/>
      <c r="Q739" s="386"/>
    </row>
    <row r="740" spans="1:17" ht="30" customHeight="1" x14ac:dyDescent="0.2">
      <c r="A740" s="3538"/>
      <c r="B740" s="3506" t="s">
        <v>5184</v>
      </c>
      <c r="C740" s="3515" t="s">
        <v>3390</v>
      </c>
      <c r="D740" s="3493">
        <v>150000000</v>
      </c>
      <c r="E740" s="3499">
        <v>0.05</v>
      </c>
      <c r="F740" s="3493">
        <f t="shared" si="69"/>
        <v>7500000</v>
      </c>
      <c r="G740" s="3493">
        <v>7500000</v>
      </c>
      <c r="H740" s="3493" t="s">
        <v>5744</v>
      </c>
      <c r="I740" s="3520" t="s">
        <v>5770</v>
      </c>
      <c r="J740" s="3493">
        <f>G740</f>
        <v>7500000</v>
      </c>
      <c r="K740" s="3493">
        <f>F740-J740</f>
        <v>0</v>
      </c>
      <c r="L740" s="3555" t="s">
        <v>5644</v>
      </c>
      <c r="M740" s="386"/>
      <c r="N740" s="386"/>
      <c r="O740" s="386"/>
      <c r="P740" s="386"/>
      <c r="Q740" s="386"/>
    </row>
    <row r="741" spans="1:17" ht="30" customHeight="1" x14ac:dyDescent="0.2">
      <c r="A741" s="4459">
        <v>370</v>
      </c>
      <c r="B741" s="4457" t="s">
        <v>1696</v>
      </c>
      <c r="C741" s="4537" t="s">
        <v>3323</v>
      </c>
      <c r="D741" s="4413">
        <v>200000000</v>
      </c>
      <c r="E741" s="4476">
        <v>0.05</v>
      </c>
      <c r="F741" s="4413">
        <f t="shared" si="69"/>
        <v>10000000</v>
      </c>
      <c r="G741" s="3493"/>
      <c r="H741" s="3493"/>
      <c r="I741" s="473" t="s">
        <v>3400</v>
      </c>
      <c r="J741" s="3493">
        <f t="shared" ref="J741:J754" si="70">G741</f>
        <v>0</v>
      </c>
      <c r="K741" s="3533">
        <f>F741-J741</f>
        <v>10000000</v>
      </c>
      <c r="L741" s="3567" t="s">
        <v>4439</v>
      </c>
      <c r="M741" s="386"/>
      <c r="N741" s="386"/>
      <c r="O741" s="386"/>
      <c r="P741" s="386"/>
      <c r="Q741" s="386"/>
    </row>
    <row r="742" spans="1:17" ht="30" customHeight="1" x14ac:dyDescent="0.2">
      <c r="A742" s="4460"/>
      <c r="B742" s="4458"/>
      <c r="C742" s="4538"/>
      <c r="D742" s="4415"/>
      <c r="E742" s="4477"/>
      <c r="F742" s="4415"/>
      <c r="G742" s="3493"/>
      <c r="H742" s="3493"/>
      <c r="I742" s="473" t="s">
        <v>3400</v>
      </c>
      <c r="J742" s="3493">
        <f>G742</f>
        <v>0</v>
      </c>
      <c r="K742" s="3533">
        <f>F741-J742</f>
        <v>10000000</v>
      </c>
      <c r="L742" s="3567" t="s">
        <v>4907</v>
      </c>
      <c r="M742" s="386"/>
      <c r="N742" s="386"/>
      <c r="O742" s="386"/>
      <c r="P742" s="386"/>
      <c r="Q742" s="386"/>
    </row>
    <row r="743" spans="1:17" ht="30" customHeight="1" x14ac:dyDescent="0.2">
      <c r="A743" s="1029">
        <v>371</v>
      </c>
      <c r="B743" s="3539" t="s">
        <v>1698</v>
      </c>
      <c r="C743" s="3541" t="s">
        <v>942</v>
      </c>
      <c r="D743" s="3524">
        <v>50000000</v>
      </c>
      <c r="E743" s="3535">
        <v>0.04</v>
      </c>
      <c r="F743" s="3524">
        <f t="shared" si="69"/>
        <v>2000000</v>
      </c>
      <c r="G743" s="3524"/>
      <c r="H743" s="3524"/>
      <c r="I743" s="2696" t="s">
        <v>1720</v>
      </c>
      <c r="J743" s="3524">
        <f t="shared" si="70"/>
        <v>0</v>
      </c>
      <c r="K743" s="3488">
        <f>F743-J743</f>
        <v>2000000</v>
      </c>
      <c r="L743" s="3567"/>
      <c r="M743" s="386"/>
      <c r="N743" s="386"/>
      <c r="O743" s="386"/>
      <c r="P743" s="386"/>
      <c r="Q743" s="386"/>
    </row>
    <row r="744" spans="1:17" ht="30" customHeight="1" x14ac:dyDescent="0.2">
      <c r="A744" s="3497">
        <v>372</v>
      </c>
      <c r="B744" s="3502" t="s">
        <v>1706</v>
      </c>
      <c r="C744" s="3515"/>
      <c r="D744" s="3512"/>
      <c r="E744" s="2521"/>
      <c r="F744" s="3512"/>
      <c r="G744" s="3493"/>
      <c r="H744" s="3493"/>
      <c r="I744" s="473"/>
      <c r="J744" s="3493">
        <f t="shared" si="70"/>
        <v>0</v>
      </c>
      <c r="K744" s="3534"/>
      <c r="L744" s="3567"/>
      <c r="M744" s="386"/>
      <c r="N744" s="386"/>
      <c r="O744" s="386"/>
      <c r="P744" s="386"/>
      <c r="Q744" s="386"/>
    </row>
    <row r="745" spans="1:17" ht="30" customHeight="1" x14ac:dyDescent="0.2">
      <c r="A745" s="4459"/>
      <c r="B745" s="4457" t="s">
        <v>1725</v>
      </c>
      <c r="C745" s="4537" t="s">
        <v>1718</v>
      </c>
      <c r="D745" s="3524">
        <v>20000000</v>
      </c>
      <c r="E745" s="3535">
        <v>0.05</v>
      </c>
      <c r="F745" s="3524">
        <f>D745*E745</f>
        <v>1000000</v>
      </c>
      <c r="G745" s="4413">
        <v>1500000</v>
      </c>
      <c r="H745" s="4413" t="s">
        <v>3978</v>
      </c>
      <c r="I745" s="4413" t="s">
        <v>3486</v>
      </c>
      <c r="J745" s="4413">
        <f t="shared" si="70"/>
        <v>1500000</v>
      </c>
      <c r="K745" s="4603">
        <f>(F745+F746)-J745</f>
        <v>0</v>
      </c>
      <c r="L745" s="3567"/>
      <c r="M745" s="386"/>
      <c r="N745" s="386"/>
      <c r="O745" s="386"/>
      <c r="P745" s="386"/>
      <c r="Q745" s="386"/>
    </row>
    <row r="746" spans="1:17" ht="30" customHeight="1" x14ac:dyDescent="0.2">
      <c r="A746" s="4460"/>
      <c r="B746" s="4458"/>
      <c r="C746" s="4538"/>
      <c r="D746" s="3493">
        <v>10000000</v>
      </c>
      <c r="E746" s="3535">
        <v>0.05</v>
      </c>
      <c r="F746" s="3524">
        <f>D746*E746</f>
        <v>500000</v>
      </c>
      <c r="G746" s="4415"/>
      <c r="H746" s="4415"/>
      <c r="I746" s="4415"/>
      <c r="J746" s="4415"/>
      <c r="K746" s="4604"/>
      <c r="L746" s="3567" t="s">
        <v>4284</v>
      </c>
      <c r="M746" s="386"/>
      <c r="N746" s="386"/>
      <c r="O746" s="386"/>
      <c r="P746" s="386"/>
      <c r="Q746" s="386"/>
    </row>
    <row r="747" spans="1:17" ht="30" customHeight="1" x14ac:dyDescent="0.2">
      <c r="A747" s="3497">
        <v>374</v>
      </c>
      <c r="B747" s="3502" t="s">
        <v>1727</v>
      </c>
      <c r="C747" s="3515"/>
      <c r="D747" s="3512"/>
      <c r="E747" s="3513"/>
      <c r="F747" s="3512"/>
      <c r="G747" s="3493"/>
      <c r="H747" s="3493"/>
      <c r="I747" s="473"/>
      <c r="J747" s="3493">
        <f t="shared" si="70"/>
        <v>0</v>
      </c>
      <c r="K747" s="3534">
        <f t="shared" ref="K747:K755" si="71">F747-J747</f>
        <v>0</v>
      </c>
      <c r="L747" s="3567"/>
      <c r="M747" s="386"/>
      <c r="N747" s="386"/>
      <c r="O747" s="386"/>
      <c r="P747" s="386"/>
      <c r="Q747" s="386"/>
    </row>
    <row r="748" spans="1:17" ht="30" customHeight="1" x14ac:dyDescent="0.2">
      <c r="A748" s="4459">
        <v>375</v>
      </c>
      <c r="B748" s="4457" t="s">
        <v>6052</v>
      </c>
      <c r="C748" s="4537"/>
      <c r="D748" s="3524">
        <v>1000000000</v>
      </c>
      <c r="E748" s="3535">
        <v>7.0000000000000007E-2</v>
      </c>
      <c r="F748" s="3524">
        <f>D748*E748</f>
        <v>70000000</v>
      </c>
      <c r="G748" s="3524">
        <v>70000000</v>
      </c>
      <c r="H748" s="3524" t="s">
        <v>1527</v>
      </c>
      <c r="I748" s="3524" t="s">
        <v>4405</v>
      </c>
      <c r="J748" s="3524">
        <f>G748</f>
        <v>70000000</v>
      </c>
      <c r="K748" s="3488">
        <f>F748-J748</f>
        <v>0</v>
      </c>
      <c r="L748" s="3576"/>
      <c r="M748" s="386"/>
      <c r="N748" s="386"/>
      <c r="O748" s="386"/>
      <c r="P748" s="386"/>
      <c r="Q748" s="386"/>
    </row>
    <row r="749" spans="1:17" ht="30" customHeight="1" x14ac:dyDescent="0.2">
      <c r="A749" s="4464"/>
      <c r="B749" s="4488"/>
      <c r="C749" s="4540"/>
      <c r="D749" s="4220">
        <v>500000000</v>
      </c>
      <c r="E749" s="4241">
        <v>7.0000000000000007E-2</v>
      </c>
      <c r="F749" s="4220">
        <f>D749*E749</f>
        <v>35000000</v>
      </c>
      <c r="G749" s="4469" t="s">
        <v>6054</v>
      </c>
      <c r="H749" s="4470"/>
      <c r="I749" s="4470"/>
      <c r="J749" s="4471"/>
      <c r="K749" s="4240"/>
      <c r="L749" s="4254" t="s">
        <v>6056</v>
      </c>
      <c r="M749" s="386"/>
      <c r="N749" s="386"/>
      <c r="O749" s="386"/>
      <c r="P749" s="386"/>
      <c r="Q749" s="386"/>
    </row>
    <row r="750" spans="1:17" ht="30" customHeight="1" x14ac:dyDescent="0.2">
      <c r="A750" s="4464"/>
      <c r="B750" s="4488"/>
      <c r="C750" s="4540"/>
      <c r="D750" s="4220">
        <v>500000000</v>
      </c>
      <c r="E750" s="4241">
        <v>7.0000000000000007E-2</v>
      </c>
      <c r="F750" s="4220">
        <f>D750*E751</f>
        <v>35000000</v>
      </c>
      <c r="G750" s="4469" t="s">
        <v>6053</v>
      </c>
      <c r="H750" s="4470"/>
      <c r="I750" s="4470"/>
      <c r="J750" s="4471"/>
      <c r="K750" s="4240"/>
      <c r="L750" s="4254" t="s">
        <v>6055</v>
      </c>
      <c r="M750" s="386"/>
      <c r="N750" s="386"/>
      <c r="O750" s="386"/>
      <c r="P750" s="386"/>
      <c r="Q750" s="386"/>
    </row>
    <row r="751" spans="1:17" ht="30" customHeight="1" x14ac:dyDescent="0.2">
      <c r="A751" s="4460"/>
      <c r="B751" s="4458"/>
      <c r="C751" s="4538"/>
      <c r="D751" s="4233">
        <v>2000000000</v>
      </c>
      <c r="E751" s="4257">
        <v>7.0000000000000007E-2</v>
      </c>
      <c r="F751" s="4233">
        <f>D751*E751</f>
        <v>140000000</v>
      </c>
      <c r="G751" s="4220"/>
      <c r="H751" s="4220"/>
      <c r="I751" s="4238"/>
      <c r="J751" s="4220"/>
      <c r="K751" s="4240"/>
      <c r="L751" s="4254"/>
      <c r="M751" s="386"/>
      <c r="N751" s="386"/>
      <c r="O751" s="386"/>
      <c r="P751" s="386"/>
      <c r="Q751" s="386"/>
    </row>
    <row r="752" spans="1:17" ht="30" customHeight="1" x14ac:dyDescent="0.2">
      <c r="A752" s="3497">
        <v>376</v>
      </c>
      <c r="B752" s="3502" t="s">
        <v>3580</v>
      </c>
      <c r="C752" s="3515" t="s">
        <v>262</v>
      </c>
      <c r="D752" s="3493">
        <v>50000000</v>
      </c>
      <c r="E752" s="3535">
        <v>0.06</v>
      </c>
      <c r="F752" s="3493">
        <f>D752*E752</f>
        <v>3000000</v>
      </c>
      <c r="G752" s="3493">
        <v>3000000</v>
      </c>
      <c r="H752" s="3493" t="s">
        <v>5370</v>
      </c>
      <c r="I752" s="473" t="s">
        <v>4095</v>
      </c>
      <c r="J752" s="3493">
        <f t="shared" si="70"/>
        <v>3000000</v>
      </c>
      <c r="K752" s="3533">
        <f t="shared" si="71"/>
        <v>0</v>
      </c>
      <c r="L752" s="3567"/>
      <c r="M752" s="386"/>
      <c r="N752" s="386"/>
      <c r="O752" s="386"/>
      <c r="P752" s="386"/>
      <c r="Q752" s="386"/>
    </row>
    <row r="753" spans="1:17" ht="30" customHeight="1" x14ac:dyDescent="0.2">
      <c r="A753" s="3497">
        <v>377</v>
      </c>
      <c r="B753" s="3502" t="s">
        <v>1752</v>
      </c>
      <c r="C753" s="3515" t="s">
        <v>1652</v>
      </c>
      <c r="D753" s="3493">
        <v>153000000</v>
      </c>
      <c r="E753" s="3535">
        <v>7.0000000000000007E-2</v>
      </c>
      <c r="F753" s="3493">
        <f>D753*E753</f>
        <v>10710000.000000002</v>
      </c>
      <c r="G753" s="3493">
        <v>10710000</v>
      </c>
      <c r="H753" s="3493" t="s">
        <v>1649</v>
      </c>
      <c r="I753" s="473" t="s">
        <v>1952</v>
      </c>
      <c r="J753" s="3493">
        <f t="shared" si="70"/>
        <v>10710000</v>
      </c>
      <c r="K753" s="3533">
        <f t="shared" si="71"/>
        <v>0</v>
      </c>
      <c r="L753" s="3567"/>
      <c r="M753" s="386"/>
      <c r="N753" s="386"/>
      <c r="O753" s="386"/>
      <c r="P753" s="386"/>
      <c r="Q753" s="386"/>
    </row>
    <row r="754" spans="1:17" ht="30" customHeight="1" x14ac:dyDescent="0.2">
      <c r="A754" s="3497">
        <v>378</v>
      </c>
      <c r="B754" s="3502" t="s">
        <v>1790</v>
      </c>
      <c r="C754" s="3515" t="s">
        <v>889</v>
      </c>
      <c r="D754" s="3493">
        <v>300000000</v>
      </c>
      <c r="E754" s="3535">
        <v>5.0999999999999997E-2</v>
      </c>
      <c r="F754" s="3493">
        <v>15500000</v>
      </c>
      <c r="G754" s="3493">
        <v>15500000</v>
      </c>
      <c r="H754" s="3493" t="s">
        <v>1649</v>
      </c>
      <c r="I754" s="473" t="s">
        <v>3062</v>
      </c>
      <c r="J754" s="3493">
        <f t="shared" si="70"/>
        <v>15500000</v>
      </c>
      <c r="K754" s="3533">
        <f t="shared" si="71"/>
        <v>0</v>
      </c>
      <c r="L754" s="3567"/>
      <c r="M754" s="386"/>
      <c r="N754" s="386"/>
      <c r="O754" s="386"/>
      <c r="P754" s="386"/>
      <c r="Q754" s="386"/>
    </row>
    <row r="755" spans="1:17" ht="30" customHeight="1" x14ac:dyDescent="0.2">
      <c r="A755" s="3738">
        <v>379</v>
      </c>
      <c r="B755" s="19" t="s">
        <v>1753</v>
      </c>
      <c r="C755" s="3742" t="s">
        <v>372</v>
      </c>
      <c r="D755" s="3739">
        <v>50000000</v>
      </c>
      <c r="E755" s="3741">
        <v>0.04</v>
      </c>
      <c r="F755" s="3739">
        <f>D755*E755</f>
        <v>2000000</v>
      </c>
      <c r="G755" s="3739"/>
      <c r="H755" s="3739"/>
      <c r="I755" s="3753" t="s">
        <v>4431</v>
      </c>
      <c r="J755" s="3739">
        <f>G755</f>
        <v>0</v>
      </c>
      <c r="K755" s="3733">
        <f t="shared" si="71"/>
        <v>2000000</v>
      </c>
      <c r="L755" s="3740"/>
      <c r="M755" s="386"/>
      <c r="N755" s="386"/>
      <c r="O755" s="386"/>
      <c r="P755" s="386"/>
      <c r="Q755" s="386"/>
    </row>
    <row r="756" spans="1:17" ht="30" customHeight="1" x14ac:dyDescent="0.2">
      <c r="A756" s="3497">
        <v>381</v>
      </c>
      <c r="B756" s="3502" t="s">
        <v>1797</v>
      </c>
      <c r="C756" s="3515" t="s">
        <v>889</v>
      </c>
      <c r="D756" s="3493">
        <v>50000000</v>
      </c>
      <c r="E756" s="3535">
        <v>0.05</v>
      </c>
      <c r="F756" s="3493">
        <f>D756*E756</f>
        <v>2500000</v>
      </c>
      <c r="G756" s="3493">
        <v>2500000</v>
      </c>
      <c r="H756" s="3493" t="s">
        <v>5343</v>
      </c>
      <c r="I756" s="473" t="s">
        <v>3516</v>
      </c>
      <c r="J756" s="3493">
        <f>G756</f>
        <v>2500000</v>
      </c>
      <c r="K756" s="3533">
        <f>F756-J756</f>
        <v>0</v>
      </c>
      <c r="L756" s="3567" t="s">
        <v>5490</v>
      </c>
      <c r="M756" s="386"/>
      <c r="N756" s="386"/>
      <c r="O756" s="386"/>
      <c r="P756" s="386"/>
      <c r="Q756" s="386"/>
    </row>
    <row r="757" spans="1:17" ht="30" customHeight="1" x14ac:dyDescent="0.2">
      <c r="A757" s="3497">
        <v>382</v>
      </c>
      <c r="B757" s="3502" t="s">
        <v>1812</v>
      </c>
      <c r="C757" s="3515" t="s">
        <v>262</v>
      </c>
      <c r="D757" s="3493">
        <v>150000000</v>
      </c>
      <c r="E757" s="3535"/>
      <c r="F757" s="3493"/>
      <c r="G757" s="3493"/>
      <c r="H757" s="3493"/>
      <c r="I757" s="473"/>
      <c r="J757" s="3493"/>
      <c r="K757" s="3533"/>
      <c r="L757" s="3567"/>
      <c r="M757" s="386"/>
      <c r="N757" s="386"/>
      <c r="O757" s="386"/>
      <c r="P757" s="386"/>
      <c r="Q757" s="386"/>
    </row>
    <row r="758" spans="1:17" ht="30" customHeight="1" x14ac:dyDescent="0.2">
      <c r="A758" s="3497">
        <v>383</v>
      </c>
      <c r="B758" s="3502" t="s">
        <v>1823</v>
      </c>
      <c r="C758" s="3515" t="s">
        <v>262</v>
      </c>
      <c r="D758" s="3493">
        <v>10000000</v>
      </c>
      <c r="E758" s="3535">
        <v>7.0000000000000007E-2</v>
      </c>
      <c r="F758" s="3493">
        <f t="shared" ref="F758:F770" si="72">D758*E758</f>
        <v>700000.00000000012</v>
      </c>
      <c r="G758" s="3493">
        <v>700000</v>
      </c>
      <c r="H758" s="3493" t="s">
        <v>5370</v>
      </c>
      <c r="I758" s="473" t="s">
        <v>2928</v>
      </c>
      <c r="J758" s="3493">
        <f>G758</f>
        <v>700000</v>
      </c>
      <c r="K758" s="3533">
        <f>F758-J758</f>
        <v>0</v>
      </c>
      <c r="L758" s="3567"/>
      <c r="M758" s="386"/>
      <c r="N758" s="386"/>
      <c r="O758" s="386"/>
      <c r="P758" s="386"/>
      <c r="Q758" s="386"/>
    </row>
    <row r="759" spans="1:17" ht="30" customHeight="1" x14ac:dyDescent="0.2">
      <c r="A759" s="625">
        <v>384</v>
      </c>
      <c r="B759" s="3502" t="s">
        <v>1861</v>
      </c>
      <c r="C759" s="3515" t="s">
        <v>262</v>
      </c>
      <c r="D759" s="3493">
        <v>150000000</v>
      </c>
      <c r="E759" s="3535">
        <v>7.0000000000000007E-2</v>
      </c>
      <c r="F759" s="3493">
        <f t="shared" si="72"/>
        <v>10500000.000000002</v>
      </c>
      <c r="G759" s="3493">
        <v>10500000</v>
      </c>
      <c r="H759" s="3493" t="s">
        <v>5370</v>
      </c>
      <c r="I759" s="473" t="s">
        <v>1960</v>
      </c>
      <c r="J759" s="3493">
        <f>G759</f>
        <v>10500000</v>
      </c>
      <c r="K759" s="3533">
        <f>F759-J759</f>
        <v>0</v>
      </c>
      <c r="L759" s="3567"/>
      <c r="M759" s="386"/>
      <c r="N759" s="386"/>
      <c r="O759" s="386"/>
      <c r="P759" s="386"/>
      <c r="Q759" s="386"/>
    </row>
    <row r="760" spans="1:17" ht="30" customHeight="1" x14ac:dyDescent="0.2">
      <c r="A760" s="3497">
        <v>385</v>
      </c>
      <c r="B760" s="3502" t="s">
        <v>1877</v>
      </c>
      <c r="C760" s="4537" t="s">
        <v>371</v>
      </c>
      <c r="D760" s="3493">
        <v>12000000</v>
      </c>
      <c r="E760" s="3535">
        <v>0.05</v>
      </c>
      <c r="F760" s="3894">
        <f>D760*E760</f>
        <v>600000</v>
      </c>
      <c r="G760" s="3973">
        <v>600000</v>
      </c>
      <c r="H760" s="3973" t="s">
        <v>5643</v>
      </c>
      <c r="I760" s="3973" t="s">
        <v>2855</v>
      </c>
      <c r="J760" s="3493">
        <f>G760</f>
        <v>600000</v>
      </c>
      <c r="K760" s="3533">
        <f>F760-J760</f>
        <v>0</v>
      </c>
      <c r="L760" s="3567" t="s">
        <v>1878</v>
      </c>
      <c r="M760" s="386"/>
      <c r="N760" s="386"/>
      <c r="O760" s="386"/>
      <c r="P760" s="386"/>
      <c r="Q760" s="386"/>
    </row>
    <row r="761" spans="1:17" ht="30" customHeight="1" x14ac:dyDescent="0.2">
      <c r="A761" s="4459"/>
      <c r="B761" s="3900" t="s">
        <v>5486</v>
      </c>
      <c r="C761" s="4540"/>
      <c r="D761" s="3894">
        <v>31000000</v>
      </c>
      <c r="E761" s="3914">
        <v>0.05</v>
      </c>
      <c r="F761" s="3893">
        <f>D761*E761</f>
        <v>1550000</v>
      </c>
      <c r="G761" s="4469" t="s">
        <v>5652</v>
      </c>
      <c r="H761" s="4470"/>
      <c r="I761" s="4470"/>
      <c r="J761" s="4471"/>
      <c r="K761" s="3895"/>
      <c r="L761" s="3713" t="s">
        <v>5517</v>
      </c>
      <c r="M761" s="386"/>
      <c r="N761" s="386"/>
      <c r="O761" s="386"/>
      <c r="P761" s="386"/>
      <c r="Q761" s="386"/>
    </row>
    <row r="762" spans="1:17" ht="30" customHeight="1" x14ac:dyDescent="0.2">
      <c r="A762" s="4460"/>
      <c r="B762" s="3900"/>
      <c r="C762" s="4538"/>
      <c r="D762" s="2655">
        <f>SUM(D760:D761)</f>
        <v>43000000</v>
      </c>
      <c r="E762" s="3907">
        <v>0.05</v>
      </c>
      <c r="F762" s="3893">
        <f>D762*E762</f>
        <v>2150000</v>
      </c>
      <c r="G762" s="4469" t="s">
        <v>5653</v>
      </c>
      <c r="H762" s="4470"/>
      <c r="I762" s="4470"/>
      <c r="J762" s="4471"/>
      <c r="K762" s="3915"/>
      <c r="L762" s="3909"/>
      <c r="M762" s="386"/>
      <c r="N762" s="386"/>
      <c r="O762" s="386"/>
      <c r="P762" s="386"/>
      <c r="Q762" s="386"/>
    </row>
    <row r="763" spans="1:17" ht="30" customHeight="1" x14ac:dyDescent="0.2">
      <c r="A763" s="4459">
        <v>386</v>
      </c>
      <c r="B763" s="4457" t="s">
        <v>3092</v>
      </c>
      <c r="C763" s="4537" t="s">
        <v>1306</v>
      </c>
      <c r="D763" s="3491">
        <v>100000000</v>
      </c>
      <c r="E763" s="3498">
        <v>7.0000000000000007E-2</v>
      </c>
      <c r="F763" s="3491">
        <f t="shared" si="72"/>
        <v>7000000.0000000009</v>
      </c>
      <c r="G763" s="3493">
        <v>10000000</v>
      </c>
      <c r="H763" s="3524" t="s">
        <v>5348</v>
      </c>
      <c r="I763" s="2696" t="s">
        <v>2653</v>
      </c>
      <c r="J763" s="3491">
        <f t="shared" ref="J763:J770" si="73">G763</f>
        <v>10000000</v>
      </c>
      <c r="K763" s="4603"/>
      <c r="L763" s="4675" t="s">
        <v>5441</v>
      </c>
      <c r="M763" s="386"/>
      <c r="N763" s="386"/>
      <c r="O763" s="386"/>
      <c r="P763" s="386"/>
      <c r="Q763" s="386"/>
    </row>
    <row r="764" spans="1:17" ht="30" customHeight="1" x14ac:dyDescent="0.2">
      <c r="A764" s="4464"/>
      <c r="B764" s="4488"/>
      <c r="C764" s="4540"/>
      <c r="D764" s="4325" t="s">
        <v>5445</v>
      </c>
      <c r="E764" s="4326"/>
      <c r="F764" s="4563"/>
      <c r="G764" s="3778">
        <v>10000000</v>
      </c>
      <c r="H764" s="3800" t="s">
        <v>5350</v>
      </c>
      <c r="I764" s="3841" t="s">
        <v>2653</v>
      </c>
      <c r="J764" s="3776">
        <f t="shared" si="73"/>
        <v>10000000</v>
      </c>
      <c r="K764" s="4609"/>
      <c r="L764" s="4782"/>
      <c r="M764" s="386"/>
      <c r="N764" s="386"/>
      <c r="O764" s="386"/>
      <c r="P764" s="386"/>
      <c r="Q764" s="386"/>
    </row>
    <row r="765" spans="1:17" ht="30" customHeight="1" x14ac:dyDescent="0.2">
      <c r="A765" s="4464"/>
      <c r="B765" s="4488"/>
      <c r="C765" s="4540"/>
      <c r="D765" s="4564"/>
      <c r="E765" s="4596"/>
      <c r="F765" s="4565"/>
      <c r="G765" s="3493">
        <v>7000000</v>
      </c>
      <c r="H765" s="3524" t="s">
        <v>5370</v>
      </c>
      <c r="I765" s="2696" t="s">
        <v>2653</v>
      </c>
      <c r="J765" s="3491">
        <f t="shared" si="73"/>
        <v>7000000</v>
      </c>
      <c r="K765" s="4604"/>
      <c r="L765" s="4676"/>
      <c r="M765" s="386"/>
      <c r="N765" s="386"/>
      <c r="O765" s="386"/>
      <c r="P765" s="386"/>
      <c r="Q765" s="386"/>
    </row>
    <row r="766" spans="1:17" ht="30" customHeight="1" x14ac:dyDescent="0.2">
      <c r="A766" s="4464"/>
      <c r="B766" s="4488"/>
      <c r="C766" s="4540"/>
      <c r="D766" s="4325" t="s">
        <v>5991</v>
      </c>
      <c r="E766" s="4326"/>
      <c r="F766" s="4563"/>
      <c r="G766" s="4169">
        <v>2000000</v>
      </c>
      <c r="H766" s="4168" t="s">
        <v>5974</v>
      </c>
      <c r="I766" s="4189" t="s">
        <v>2653</v>
      </c>
      <c r="J766" s="4413">
        <f>G766+G767</f>
        <v>12000000</v>
      </c>
      <c r="K766" s="4603"/>
      <c r="L766" s="4177"/>
      <c r="M766" s="386"/>
      <c r="N766" s="386"/>
      <c r="O766" s="386"/>
      <c r="P766" s="386"/>
      <c r="Q766" s="386"/>
    </row>
    <row r="767" spans="1:17" ht="30" customHeight="1" x14ac:dyDescent="0.2">
      <c r="A767" s="4460"/>
      <c r="B767" s="4458"/>
      <c r="C767" s="4538"/>
      <c r="D767" s="4564"/>
      <c r="E767" s="4596"/>
      <c r="F767" s="4565"/>
      <c r="G767" s="4169">
        <v>10000000</v>
      </c>
      <c r="H767" s="4168" t="s">
        <v>6002</v>
      </c>
      <c r="I767" s="4189" t="s">
        <v>2653</v>
      </c>
      <c r="J767" s="4415"/>
      <c r="K767" s="4604"/>
      <c r="L767" s="4177"/>
      <c r="M767" s="386"/>
      <c r="N767" s="386"/>
      <c r="O767" s="386"/>
      <c r="P767" s="386"/>
      <c r="Q767" s="386"/>
    </row>
    <row r="768" spans="1:17" ht="30" customHeight="1" x14ac:dyDescent="0.2">
      <c r="A768" s="4614">
        <v>387</v>
      </c>
      <c r="B768" s="4615" t="s">
        <v>1923</v>
      </c>
      <c r="C768" s="4620"/>
      <c r="D768" s="4322">
        <v>75000000</v>
      </c>
      <c r="E768" s="4608">
        <v>0.05</v>
      </c>
      <c r="F768" s="4322">
        <f t="shared" si="72"/>
        <v>3750000</v>
      </c>
      <c r="G768" s="4114">
        <v>3000000</v>
      </c>
      <c r="H768" s="4128" t="s">
        <v>5437</v>
      </c>
      <c r="I768" s="4128" t="s">
        <v>3246</v>
      </c>
      <c r="J768" s="4116">
        <f t="shared" si="73"/>
        <v>3000000</v>
      </c>
      <c r="K768" s="4115">
        <f>F768-J768</f>
        <v>750000</v>
      </c>
      <c r="L768" s="4125" t="s">
        <v>4907</v>
      </c>
      <c r="M768" s="386"/>
      <c r="N768" s="386"/>
      <c r="O768" s="386"/>
      <c r="P768" s="386"/>
      <c r="Q768" s="386"/>
    </row>
    <row r="769" spans="1:17" ht="30" customHeight="1" x14ac:dyDescent="0.2">
      <c r="A769" s="4614"/>
      <c r="B769" s="4615"/>
      <c r="C769" s="4620"/>
      <c r="D769" s="4322"/>
      <c r="E769" s="4608"/>
      <c r="F769" s="4322"/>
      <c r="G769" s="4114">
        <v>3750000</v>
      </c>
      <c r="H769" s="4128" t="s">
        <v>2341</v>
      </c>
      <c r="I769" s="4128" t="s">
        <v>1924</v>
      </c>
      <c r="J769" s="4116">
        <f t="shared" si="73"/>
        <v>3750000</v>
      </c>
      <c r="K769" s="4115">
        <f>F768-J769</f>
        <v>0</v>
      </c>
      <c r="L769" s="4125" t="s">
        <v>4908</v>
      </c>
      <c r="M769" s="386"/>
      <c r="N769" s="386"/>
      <c r="O769" s="386"/>
      <c r="P769" s="386"/>
      <c r="Q769" s="386"/>
    </row>
    <row r="770" spans="1:17" ht="30" customHeight="1" x14ac:dyDescent="0.2">
      <c r="A770" s="4614"/>
      <c r="B770" s="4615" t="s">
        <v>1953</v>
      </c>
      <c r="C770" s="4620" t="s">
        <v>3302</v>
      </c>
      <c r="D770" s="4322">
        <v>150000000</v>
      </c>
      <c r="E770" s="4608">
        <v>0.05</v>
      </c>
      <c r="F770" s="4322">
        <f t="shared" si="72"/>
        <v>7500000</v>
      </c>
      <c r="G770" s="4553">
        <v>7500000</v>
      </c>
      <c r="H770" s="4553" t="s">
        <v>5848</v>
      </c>
      <c r="I770" s="4553" t="s">
        <v>4583</v>
      </c>
      <c r="J770" s="4553">
        <f t="shared" si="73"/>
        <v>7500000</v>
      </c>
      <c r="K770" s="4603">
        <f>G770-J770</f>
        <v>0</v>
      </c>
      <c r="L770" s="3576" t="s">
        <v>3300</v>
      </c>
      <c r="M770" s="386"/>
      <c r="N770" s="386"/>
      <c r="O770" s="386"/>
      <c r="P770" s="386"/>
      <c r="Q770" s="386"/>
    </row>
    <row r="771" spans="1:17" ht="30" customHeight="1" x14ac:dyDescent="0.2">
      <c r="A771" s="4614"/>
      <c r="B771" s="4615"/>
      <c r="C771" s="4620"/>
      <c r="D771" s="4322"/>
      <c r="E771" s="4608"/>
      <c r="F771" s="4322"/>
      <c r="G771" s="4554"/>
      <c r="H771" s="4554"/>
      <c r="I771" s="4554"/>
      <c r="J771" s="4554"/>
      <c r="K771" s="4604"/>
      <c r="L771" s="3567" t="s">
        <v>3301</v>
      </c>
      <c r="M771" s="386"/>
      <c r="N771" s="386"/>
      <c r="O771" s="386"/>
      <c r="P771" s="386"/>
      <c r="Q771" s="386"/>
    </row>
    <row r="772" spans="1:17" ht="30" customHeight="1" x14ac:dyDescent="0.2">
      <c r="A772" s="3497">
        <v>390</v>
      </c>
      <c r="B772" s="3502" t="s">
        <v>1996</v>
      </c>
      <c r="C772" s="3515" t="s">
        <v>889</v>
      </c>
      <c r="D772" s="3493">
        <v>5000000</v>
      </c>
      <c r="E772" s="3499">
        <v>0.05</v>
      </c>
      <c r="F772" s="3493">
        <f>D772*E772</f>
        <v>250000</v>
      </c>
      <c r="G772" s="3493">
        <v>250000</v>
      </c>
      <c r="H772" s="3493" t="s">
        <v>5343</v>
      </c>
      <c r="I772" s="473" t="s">
        <v>2533</v>
      </c>
      <c r="J772" s="3493">
        <f>G772</f>
        <v>250000</v>
      </c>
      <c r="K772" s="3533">
        <f>F772-J772</f>
        <v>0</v>
      </c>
      <c r="L772" s="3567"/>
      <c r="M772" s="386"/>
      <c r="N772" s="386"/>
      <c r="O772" s="386"/>
      <c r="P772" s="386"/>
      <c r="Q772" s="386"/>
    </row>
    <row r="773" spans="1:17" ht="30" customHeight="1" x14ac:dyDescent="0.2">
      <c r="A773" s="4614">
        <v>391</v>
      </c>
      <c r="B773" s="4615" t="s">
        <v>2003</v>
      </c>
      <c r="C773" s="4620" t="s">
        <v>3390</v>
      </c>
      <c r="D773" s="4322">
        <v>1000000000</v>
      </c>
      <c r="E773" s="4608">
        <v>0.05</v>
      </c>
      <c r="F773" s="4322">
        <f>D773*E773</f>
        <v>50000000</v>
      </c>
      <c r="G773" s="4413"/>
      <c r="H773" s="4413"/>
      <c r="I773" s="4413" t="s">
        <v>3200</v>
      </c>
      <c r="J773" s="4413">
        <f>G773</f>
        <v>0</v>
      </c>
      <c r="K773" s="4603">
        <f>F773-J773</f>
        <v>50000000</v>
      </c>
      <c r="L773" s="4675"/>
      <c r="M773" s="386"/>
      <c r="N773" s="386"/>
      <c r="O773" s="386"/>
      <c r="P773" s="386"/>
      <c r="Q773" s="386"/>
    </row>
    <row r="774" spans="1:17" ht="30" customHeight="1" x14ac:dyDescent="0.2">
      <c r="A774" s="4614"/>
      <c r="B774" s="4615"/>
      <c r="C774" s="4620"/>
      <c r="D774" s="4322"/>
      <c r="E774" s="4608"/>
      <c r="F774" s="4322"/>
      <c r="G774" s="4415"/>
      <c r="H774" s="4415"/>
      <c r="I774" s="4415"/>
      <c r="J774" s="4415"/>
      <c r="K774" s="4604"/>
      <c r="L774" s="4676"/>
      <c r="M774" s="386"/>
      <c r="N774" s="386"/>
      <c r="O774" s="386"/>
      <c r="P774" s="386"/>
      <c r="Q774" s="386"/>
    </row>
    <row r="775" spans="1:17" ht="30" customHeight="1" x14ac:dyDescent="0.2">
      <c r="A775" s="3497">
        <v>392</v>
      </c>
      <c r="B775" s="3502" t="s">
        <v>2048</v>
      </c>
      <c r="C775" s="3515" t="s">
        <v>1294</v>
      </c>
      <c r="D775" s="3493">
        <v>50000000</v>
      </c>
      <c r="E775" s="3535">
        <v>0.05</v>
      </c>
      <c r="F775" s="3493">
        <f>D775*E775</f>
        <v>2500000</v>
      </c>
      <c r="G775" s="3493">
        <v>2500000</v>
      </c>
      <c r="H775" s="3493" t="s">
        <v>2341</v>
      </c>
      <c r="I775" s="473" t="s">
        <v>3047</v>
      </c>
      <c r="J775" s="3493">
        <f>G775</f>
        <v>2500000</v>
      </c>
      <c r="K775" s="3533">
        <f>F775-J775</f>
        <v>0</v>
      </c>
      <c r="L775" s="3567"/>
      <c r="M775" s="386"/>
      <c r="N775" s="386"/>
      <c r="O775" s="386"/>
      <c r="P775" s="386"/>
      <c r="Q775" s="386"/>
    </row>
    <row r="776" spans="1:17" ht="30" customHeight="1" x14ac:dyDescent="0.2">
      <c r="A776" s="3538"/>
      <c r="B776" s="19" t="s">
        <v>2040</v>
      </c>
      <c r="C776" s="3541"/>
      <c r="D776" s="3490">
        <v>70000000</v>
      </c>
      <c r="E776" s="3535">
        <v>0.05</v>
      </c>
      <c r="F776" s="3524">
        <f>D776*E776</f>
        <v>3500000</v>
      </c>
      <c r="G776" s="3524">
        <v>3500000</v>
      </c>
      <c r="H776" s="3524" t="s">
        <v>5604</v>
      </c>
      <c r="I776" s="3524" t="s">
        <v>3537</v>
      </c>
      <c r="J776" s="3524">
        <f>G776</f>
        <v>3500000</v>
      </c>
      <c r="K776" s="3488">
        <f>F776-J776</f>
        <v>0</v>
      </c>
      <c r="L776" s="3567"/>
      <c r="M776" s="386"/>
      <c r="N776" s="386"/>
      <c r="O776" s="386"/>
      <c r="P776" s="386"/>
      <c r="Q776" s="386"/>
    </row>
    <row r="777" spans="1:17" ht="30" customHeight="1" x14ac:dyDescent="0.2">
      <c r="A777" s="4464"/>
      <c r="B777" s="3571" t="s">
        <v>2052</v>
      </c>
      <c r="C777" s="4859" t="s">
        <v>1306</v>
      </c>
      <c r="D777" s="3580">
        <v>600000000</v>
      </c>
      <c r="E777" s="3570">
        <v>0.06</v>
      </c>
      <c r="F777" s="3580">
        <f>D777*E777</f>
        <v>36000000</v>
      </c>
      <c r="G777" s="4414"/>
      <c r="H777" s="4414"/>
      <c r="I777" s="4871"/>
      <c r="J777" s="4414"/>
      <c r="K777" s="3533"/>
      <c r="L777" s="3567"/>
      <c r="M777" s="386"/>
      <c r="N777" s="386"/>
      <c r="O777" s="386"/>
      <c r="P777" s="386"/>
      <c r="Q777" s="386"/>
    </row>
    <row r="778" spans="1:17" ht="30" customHeight="1" x14ac:dyDescent="0.2">
      <c r="A778" s="4464"/>
      <c r="B778" s="3571" t="s">
        <v>2049</v>
      </c>
      <c r="C778" s="4859"/>
      <c r="D778" s="3580">
        <v>310000000</v>
      </c>
      <c r="E778" s="680">
        <v>0.06</v>
      </c>
      <c r="F778" s="3580">
        <f t="shared" ref="F778:F782" si="74">D778*E778</f>
        <v>18600000</v>
      </c>
      <c r="G778" s="4414"/>
      <c r="H778" s="4414"/>
      <c r="I778" s="4871"/>
      <c r="J778" s="4414"/>
      <c r="K778" s="3533"/>
      <c r="L778" s="3567"/>
      <c r="M778" s="386"/>
      <c r="N778" s="386"/>
      <c r="O778" s="386"/>
      <c r="P778" s="386"/>
      <c r="Q778" s="386"/>
    </row>
    <row r="779" spans="1:17" ht="30" customHeight="1" x14ac:dyDescent="0.2">
      <c r="A779" s="4464"/>
      <c r="B779" s="3571" t="s">
        <v>2053</v>
      </c>
      <c r="C779" s="4859"/>
      <c r="D779" s="3580">
        <v>50000000</v>
      </c>
      <c r="E779" s="680">
        <v>0.06</v>
      </c>
      <c r="F779" s="3580">
        <f t="shared" si="74"/>
        <v>3000000</v>
      </c>
      <c r="G779" s="4414"/>
      <c r="H779" s="4414"/>
      <c r="I779" s="4871"/>
      <c r="J779" s="4414"/>
      <c r="K779" s="3533"/>
      <c r="L779" s="3567"/>
      <c r="M779" s="386"/>
      <c r="N779" s="386"/>
      <c r="O779" s="386"/>
      <c r="P779" s="386"/>
      <c r="Q779" s="386"/>
    </row>
    <row r="780" spans="1:17" ht="30" customHeight="1" x14ac:dyDescent="0.2">
      <c r="A780" s="4464"/>
      <c r="B780" s="3571" t="s">
        <v>2050</v>
      </c>
      <c r="C780" s="4859"/>
      <c r="D780" s="3580">
        <v>110000000</v>
      </c>
      <c r="E780" s="680">
        <v>0.06</v>
      </c>
      <c r="F780" s="3580">
        <f t="shared" si="74"/>
        <v>6600000</v>
      </c>
      <c r="G780" s="4414"/>
      <c r="H780" s="4414"/>
      <c r="I780" s="4871"/>
      <c r="J780" s="4414"/>
      <c r="K780" s="3533"/>
      <c r="L780" s="3567"/>
      <c r="M780" s="386"/>
      <c r="N780" s="386"/>
      <c r="O780" s="386"/>
      <c r="P780" s="386"/>
      <c r="Q780" s="386"/>
    </row>
    <row r="781" spans="1:17" ht="30" customHeight="1" x14ac:dyDescent="0.2">
      <c r="A781" s="4464"/>
      <c r="B781" s="3571" t="s">
        <v>2051</v>
      </c>
      <c r="C781" s="4860"/>
      <c r="D781" s="3580">
        <v>100000000</v>
      </c>
      <c r="E781" s="680">
        <v>0.06</v>
      </c>
      <c r="F781" s="3580">
        <f t="shared" si="74"/>
        <v>6000000</v>
      </c>
      <c r="G781" s="4415"/>
      <c r="H781" s="4415"/>
      <c r="I781" s="4790"/>
      <c r="J781" s="4415"/>
      <c r="K781" s="3533"/>
      <c r="L781" s="3567"/>
      <c r="M781" s="386"/>
      <c r="N781" s="386"/>
      <c r="O781" s="386"/>
      <c r="P781" s="386"/>
      <c r="Q781" s="386"/>
    </row>
    <row r="782" spans="1:17" ht="30" customHeight="1" x14ac:dyDescent="0.2">
      <c r="A782" s="4464"/>
      <c r="B782" s="3591" t="s">
        <v>4590</v>
      </c>
      <c r="C782" s="3578"/>
      <c r="D782" s="3579">
        <v>50000000</v>
      </c>
      <c r="E782" s="3569">
        <v>0.06</v>
      </c>
      <c r="F782" s="3579">
        <f t="shared" si="74"/>
        <v>3000000</v>
      </c>
      <c r="G782" s="4469" t="s">
        <v>4592</v>
      </c>
      <c r="H782" s="4470"/>
      <c r="I782" s="4470"/>
      <c r="J782" s="4471"/>
      <c r="K782" s="3536"/>
      <c r="L782" s="3554"/>
      <c r="M782" s="386"/>
      <c r="N782" s="386"/>
      <c r="O782" s="386"/>
      <c r="P782" s="386"/>
      <c r="Q782" s="386"/>
    </row>
    <row r="783" spans="1:17" ht="30" customHeight="1" x14ac:dyDescent="0.2">
      <c r="A783" s="4464"/>
      <c r="B783" s="4813" t="s">
        <v>3423</v>
      </c>
      <c r="C783" s="4858" t="s">
        <v>1306</v>
      </c>
      <c r="D783" s="4861">
        <f>SUM(D777:D782)</f>
        <v>1220000000</v>
      </c>
      <c r="E783" s="4802"/>
      <c r="F783" s="4861">
        <f>SUM(F777:F782)</f>
        <v>73200000</v>
      </c>
      <c r="G783" s="4941" t="s">
        <v>4591</v>
      </c>
      <c r="H783" s="4942"/>
      <c r="I783" s="4942"/>
      <c r="J783" s="4943"/>
      <c r="K783" s="4603">
        <f>F783-J783</f>
        <v>73200000</v>
      </c>
      <c r="L783" s="4603"/>
      <c r="M783" s="386"/>
      <c r="N783" s="386"/>
      <c r="O783" s="386"/>
      <c r="P783" s="386"/>
      <c r="Q783" s="386"/>
    </row>
    <row r="784" spans="1:17" ht="30" customHeight="1" x14ac:dyDescent="0.2">
      <c r="A784" s="4460"/>
      <c r="B784" s="4814"/>
      <c r="C784" s="4860"/>
      <c r="D784" s="4863"/>
      <c r="E784" s="4803"/>
      <c r="F784" s="4863"/>
      <c r="G784" s="4944"/>
      <c r="H784" s="4945"/>
      <c r="I784" s="4945"/>
      <c r="J784" s="4946"/>
      <c r="K784" s="4604"/>
      <c r="L784" s="4604"/>
      <c r="M784" s="386"/>
      <c r="N784" s="386"/>
      <c r="O784" s="386"/>
      <c r="P784" s="386"/>
      <c r="Q784" s="386"/>
    </row>
    <row r="785" spans="1:17" ht="30" customHeight="1" x14ac:dyDescent="0.2">
      <c r="A785" s="3538"/>
      <c r="B785" s="3539" t="s">
        <v>2069</v>
      </c>
      <c r="C785" s="3541" t="s">
        <v>3323</v>
      </c>
      <c r="D785" s="3524">
        <v>200000000</v>
      </c>
      <c r="E785" s="3535">
        <v>7.0000000000000007E-2</v>
      </c>
      <c r="F785" s="3524">
        <f t="shared" ref="F785:F791" si="75">D785*E785</f>
        <v>14000000.000000002</v>
      </c>
      <c r="G785" s="3493">
        <v>14000000</v>
      </c>
      <c r="H785" s="3493" t="s">
        <v>6035</v>
      </c>
      <c r="I785" s="473" t="s">
        <v>1076</v>
      </c>
      <c r="J785" s="3524">
        <f>G785</f>
        <v>14000000</v>
      </c>
      <c r="K785" s="3488">
        <f>F785-J785</f>
        <v>0</v>
      </c>
      <c r="L785" s="3532"/>
      <c r="M785" s="386"/>
      <c r="N785" s="386"/>
      <c r="O785" s="386"/>
      <c r="P785" s="386"/>
      <c r="Q785" s="386"/>
    </row>
    <row r="786" spans="1:17" ht="30" customHeight="1" x14ac:dyDescent="0.2">
      <c r="A786" s="3497"/>
      <c r="B786" s="3502" t="s">
        <v>2089</v>
      </c>
      <c r="C786" s="3515" t="s">
        <v>2278</v>
      </c>
      <c r="D786" s="3493">
        <v>13000000</v>
      </c>
      <c r="E786" s="3535">
        <v>0.05</v>
      </c>
      <c r="F786" s="3493">
        <f t="shared" si="75"/>
        <v>650000</v>
      </c>
      <c r="G786" s="3493">
        <v>650000</v>
      </c>
      <c r="H786" s="3493" t="s">
        <v>1972</v>
      </c>
      <c r="I786" s="473" t="s">
        <v>2984</v>
      </c>
      <c r="J786" s="3493">
        <f>G786</f>
        <v>650000</v>
      </c>
      <c r="K786" s="3533">
        <f>F786-J786</f>
        <v>0</v>
      </c>
      <c r="L786" s="3567"/>
      <c r="M786" s="386"/>
      <c r="N786" s="386"/>
      <c r="O786" s="386"/>
      <c r="P786" s="386"/>
      <c r="Q786" s="386"/>
    </row>
    <row r="787" spans="1:17" ht="30" customHeight="1" x14ac:dyDescent="0.2">
      <c r="A787" s="4459"/>
      <c r="B787" s="4457" t="s">
        <v>2128</v>
      </c>
      <c r="C787" s="4537" t="s">
        <v>1287</v>
      </c>
      <c r="D787" s="3493">
        <v>50000000</v>
      </c>
      <c r="E787" s="3535">
        <v>0.04</v>
      </c>
      <c r="F787" s="3493">
        <f t="shared" si="75"/>
        <v>2000000</v>
      </c>
      <c r="G787" s="4413">
        <v>8500000</v>
      </c>
      <c r="H787" s="4413" t="s">
        <v>5848</v>
      </c>
      <c r="I787" s="4789" t="s">
        <v>5855</v>
      </c>
      <c r="J787" s="4413">
        <f>G787</f>
        <v>8500000</v>
      </c>
      <c r="K787" s="4603"/>
      <c r="L787" s="3567"/>
      <c r="M787" s="386"/>
      <c r="N787" s="386"/>
      <c r="O787" s="386"/>
      <c r="P787" s="386"/>
      <c r="Q787" s="386"/>
    </row>
    <row r="788" spans="1:17" ht="30" customHeight="1" x14ac:dyDescent="0.2">
      <c r="A788" s="4460"/>
      <c r="B788" s="4458"/>
      <c r="C788" s="4538"/>
      <c r="D788" s="3998">
        <v>100000000</v>
      </c>
      <c r="E788" s="4003">
        <v>4.4999999999999998E-2</v>
      </c>
      <c r="F788" s="3998">
        <f t="shared" si="75"/>
        <v>4500000</v>
      </c>
      <c r="G788" s="4415"/>
      <c r="H788" s="4415"/>
      <c r="I788" s="4790"/>
      <c r="J788" s="4415"/>
      <c r="K788" s="4604"/>
      <c r="L788" s="4019" t="s">
        <v>5825</v>
      </c>
      <c r="M788" s="386"/>
      <c r="N788" s="386"/>
      <c r="O788" s="386"/>
      <c r="P788" s="386"/>
      <c r="Q788" s="386"/>
    </row>
    <row r="789" spans="1:17" ht="30" customHeight="1" x14ac:dyDescent="0.2">
      <c r="A789" s="4459"/>
      <c r="B789" s="4457" t="s">
        <v>2129</v>
      </c>
      <c r="C789" s="4537" t="s">
        <v>372</v>
      </c>
      <c r="D789" s="4413">
        <v>100000000</v>
      </c>
      <c r="E789" s="4476">
        <v>0.05</v>
      </c>
      <c r="F789" s="4413">
        <f t="shared" si="75"/>
        <v>5000000</v>
      </c>
      <c r="G789" s="3800">
        <v>500000</v>
      </c>
      <c r="H789" s="3800" t="s">
        <v>5370</v>
      </c>
      <c r="I789" s="3841" t="s">
        <v>3581</v>
      </c>
      <c r="J789" s="4413">
        <f>G789+G790</f>
        <v>5000000</v>
      </c>
      <c r="K789" s="4603">
        <f>F789-J789</f>
        <v>0</v>
      </c>
      <c r="L789" s="3532"/>
      <c r="M789" s="386"/>
      <c r="N789" s="386"/>
      <c r="O789" s="386"/>
      <c r="P789" s="386"/>
      <c r="Q789" s="386"/>
    </row>
    <row r="790" spans="1:17" ht="30" customHeight="1" x14ac:dyDescent="0.2">
      <c r="A790" s="4460"/>
      <c r="B790" s="4458"/>
      <c r="C790" s="4538"/>
      <c r="D790" s="4415"/>
      <c r="E790" s="4477"/>
      <c r="F790" s="4415"/>
      <c r="G790" s="3800">
        <v>4500000</v>
      </c>
      <c r="H790" s="3800" t="s">
        <v>5370</v>
      </c>
      <c r="I790" s="3841" t="s">
        <v>3581</v>
      </c>
      <c r="J790" s="4415"/>
      <c r="K790" s="4604"/>
      <c r="L790" s="3808"/>
      <c r="M790" s="386"/>
      <c r="N790" s="386"/>
      <c r="O790" s="386"/>
      <c r="P790" s="386"/>
      <c r="Q790" s="386"/>
    </row>
    <row r="791" spans="1:17" s="1540" customFormat="1" ht="30" customHeight="1" x14ac:dyDescent="0.2">
      <c r="A791" s="3538"/>
      <c r="B791" s="3539" t="s">
        <v>2208</v>
      </c>
      <c r="C791" s="3541" t="s">
        <v>1306</v>
      </c>
      <c r="D791" s="3524">
        <v>30000000</v>
      </c>
      <c r="E791" s="3535">
        <v>0.05</v>
      </c>
      <c r="F791" s="3524">
        <f t="shared" si="75"/>
        <v>1500000</v>
      </c>
      <c r="G791" s="3524">
        <v>1500000</v>
      </c>
      <c r="H791" s="3524" t="s">
        <v>5859</v>
      </c>
      <c r="I791" s="3524" t="s">
        <v>5860</v>
      </c>
      <c r="J791" s="3524">
        <f>G791</f>
        <v>1500000</v>
      </c>
      <c r="K791" s="3524">
        <f>F791-J791</f>
        <v>0</v>
      </c>
      <c r="L791" s="3567"/>
      <c r="M791" s="387"/>
      <c r="N791" s="387"/>
      <c r="O791" s="387"/>
      <c r="P791" s="387"/>
      <c r="Q791" s="387"/>
    </row>
    <row r="792" spans="1:17" ht="30" customHeight="1" x14ac:dyDescent="0.2">
      <c r="A792" s="3497"/>
      <c r="B792" s="3502" t="s">
        <v>2303</v>
      </c>
      <c r="C792" s="3515"/>
      <c r="D792" s="3493">
        <v>100000000</v>
      </c>
      <c r="E792" s="3535">
        <v>4.4999999999999998E-2</v>
      </c>
      <c r="F792" s="3493">
        <f>D792*E792</f>
        <v>4500000</v>
      </c>
      <c r="G792" s="3493">
        <v>9000000</v>
      </c>
      <c r="H792" s="3493" t="s">
        <v>5960</v>
      </c>
      <c r="I792" s="473" t="s">
        <v>5961</v>
      </c>
      <c r="J792" s="3493">
        <f t="shared" ref="J792:J797" si="76">G792</f>
        <v>9000000</v>
      </c>
      <c r="K792" s="3533">
        <f>F792-J792</f>
        <v>-4500000</v>
      </c>
      <c r="L792" s="3567" t="s">
        <v>5962</v>
      </c>
      <c r="M792" s="386"/>
      <c r="N792" s="386"/>
      <c r="O792" s="386"/>
      <c r="P792" s="386"/>
      <c r="Q792" s="386"/>
    </row>
    <row r="793" spans="1:17" ht="30" customHeight="1" x14ac:dyDescent="0.2">
      <c r="A793" s="3497"/>
      <c r="B793" s="3502" t="s">
        <v>6008</v>
      </c>
      <c r="C793" s="3515" t="s">
        <v>1306</v>
      </c>
      <c r="D793" s="3493">
        <v>25000000</v>
      </c>
      <c r="E793" s="3535">
        <v>0.04</v>
      </c>
      <c r="F793" s="3493">
        <f>D793*E793</f>
        <v>1000000</v>
      </c>
      <c r="G793" s="3493">
        <v>1000000</v>
      </c>
      <c r="H793" s="3493" t="s">
        <v>6007</v>
      </c>
      <c r="I793" s="473" t="s">
        <v>2346</v>
      </c>
      <c r="J793" s="3493">
        <f t="shared" si="76"/>
        <v>1000000</v>
      </c>
      <c r="K793" s="3533">
        <f>F793-J793</f>
        <v>0</v>
      </c>
      <c r="L793" s="3567"/>
      <c r="M793" s="386"/>
      <c r="N793" s="386"/>
      <c r="O793" s="386"/>
      <c r="P793" s="386"/>
      <c r="Q793" s="386"/>
    </row>
    <row r="794" spans="1:17" ht="30" customHeight="1" x14ac:dyDescent="0.2">
      <c r="A794" s="3497"/>
      <c r="B794" s="3502" t="s">
        <v>2385</v>
      </c>
      <c r="C794" s="3515"/>
      <c r="D794" s="3512"/>
      <c r="E794" s="2521"/>
      <c r="F794" s="3512"/>
      <c r="G794" s="3493"/>
      <c r="H794" s="3493"/>
      <c r="I794" s="473"/>
      <c r="J794" s="3493">
        <f t="shared" si="76"/>
        <v>0</v>
      </c>
      <c r="K794" s="3534">
        <f>F794-J794</f>
        <v>0</v>
      </c>
      <c r="L794" s="3567"/>
      <c r="M794" s="386"/>
      <c r="N794" s="386"/>
      <c r="O794" s="386"/>
      <c r="P794" s="386"/>
      <c r="Q794" s="386"/>
    </row>
    <row r="795" spans="1:17" ht="30" customHeight="1" x14ac:dyDescent="0.2">
      <c r="A795" s="4459"/>
      <c r="B795" s="4457" t="s">
        <v>2388</v>
      </c>
      <c r="C795" s="4537" t="s">
        <v>1172</v>
      </c>
      <c r="D795" s="4413">
        <v>110000000</v>
      </c>
      <c r="E795" s="4476">
        <v>0.05</v>
      </c>
      <c r="F795" s="4413">
        <f>D795*E795</f>
        <v>5500000</v>
      </c>
      <c r="G795" s="3524">
        <v>3500000</v>
      </c>
      <c r="H795" s="3524" t="s">
        <v>1649</v>
      </c>
      <c r="I795" s="2696" t="s">
        <v>5464</v>
      </c>
      <c r="J795" s="4413">
        <f>G795+G796</f>
        <v>5500000</v>
      </c>
      <c r="K795" s="4603">
        <v>0</v>
      </c>
      <c r="L795" s="3567"/>
      <c r="M795" s="386"/>
      <c r="N795" s="386"/>
      <c r="O795" s="386"/>
      <c r="P795" s="386"/>
      <c r="Q795" s="386"/>
    </row>
    <row r="796" spans="1:17" ht="30" customHeight="1" x14ac:dyDescent="0.2">
      <c r="A796" s="4460"/>
      <c r="B796" s="4458"/>
      <c r="C796" s="4538"/>
      <c r="D796" s="4415"/>
      <c r="E796" s="4477"/>
      <c r="F796" s="4415"/>
      <c r="G796" s="3697">
        <v>2000000</v>
      </c>
      <c r="H796" s="3697" t="s">
        <v>5350</v>
      </c>
      <c r="I796" s="3753" t="s">
        <v>5464</v>
      </c>
      <c r="J796" s="4415"/>
      <c r="K796" s="4604"/>
      <c r="L796" s="3713"/>
      <c r="M796" s="386"/>
      <c r="N796" s="386"/>
      <c r="O796" s="386"/>
      <c r="P796" s="386"/>
      <c r="Q796" s="386"/>
    </row>
    <row r="797" spans="1:17" ht="30" customHeight="1" x14ac:dyDescent="0.2">
      <c r="A797" s="4459"/>
      <c r="B797" s="4457" t="s">
        <v>2647</v>
      </c>
      <c r="C797" s="4620" t="s">
        <v>1652</v>
      </c>
      <c r="D797" s="3493">
        <v>100000000</v>
      </c>
      <c r="E797" s="3535">
        <v>0.05</v>
      </c>
      <c r="F797" s="3493">
        <f t="shared" ref="F797:F822" si="77">D797*E797</f>
        <v>5000000</v>
      </c>
      <c r="G797" s="4413">
        <v>16000000</v>
      </c>
      <c r="H797" s="4413" t="s">
        <v>1649</v>
      </c>
      <c r="I797" s="4413" t="s">
        <v>4507</v>
      </c>
      <c r="J797" s="4413">
        <f t="shared" si="76"/>
        <v>16000000</v>
      </c>
      <c r="K797" s="4603">
        <f>(F797+F798)-J797</f>
        <v>0</v>
      </c>
      <c r="L797" s="4675"/>
      <c r="M797" s="386"/>
      <c r="N797" s="386"/>
      <c r="O797" s="386"/>
      <c r="P797" s="386"/>
      <c r="Q797" s="386"/>
    </row>
    <row r="798" spans="1:17" ht="30" customHeight="1" x14ac:dyDescent="0.2">
      <c r="A798" s="4464"/>
      <c r="B798" s="4488"/>
      <c r="C798" s="4620"/>
      <c r="D798" s="3493">
        <v>220000000</v>
      </c>
      <c r="E798" s="3535">
        <v>0.05</v>
      </c>
      <c r="F798" s="3493">
        <f t="shared" si="77"/>
        <v>11000000</v>
      </c>
      <c r="G798" s="4415"/>
      <c r="H798" s="4415"/>
      <c r="I798" s="4415"/>
      <c r="J798" s="4415"/>
      <c r="K798" s="4604"/>
      <c r="L798" s="4676"/>
      <c r="M798" s="386"/>
      <c r="N798" s="386"/>
      <c r="O798" s="386"/>
      <c r="P798" s="386"/>
      <c r="Q798" s="386"/>
    </row>
    <row r="799" spans="1:17" ht="30" customHeight="1" x14ac:dyDescent="0.2">
      <c r="A799" s="4464"/>
      <c r="B799" s="4488"/>
      <c r="C799" s="4537" t="s">
        <v>3390</v>
      </c>
      <c r="D799" s="4413">
        <v>1000000000</v>
      </c>
      <c r="E799" s="4476">
        <v>6.5000000000000002E-2</v>
      </c>
      <c r="F799" s="4413">
        <f>D799*E799</f>
        <v>65000000</v>
      </c>
      <c r="G799" s="4413"/>
      <c r="H799" s="4413"/>
      <c r="I799" s="4413" t="s">
        <v>4507</v>
      </c>
      <c r="J799" s="4413">
        <f>G799+G800</f>
        <v>0</v>
      </c>
      <c r="K799" s="4603">
        <f>F799-J799</f>
        <v>65000000</v>
      </c>
      <c r="L799" s="3555"/>
      <c r="M799" s="386"/>
      <c r="N799" s="386"/>
      <c r="O799" s="386"/>
      <c r="P799" s="386"/>
      <c r="Q799" s="386"/>
    </row>
    <row r="800" spans="1:17" ht="30" customHeight="1" x14ac:dyDescent="0.2">
      <c r="A800" s="4464"/>
      <c r="B800" s="4488"/>
      <c r="C800" s="4538"/>
      <c r="D800" s="4415"/>
      <c r="E800" s="4477"/>
      <c r="F800" s="4415"/>
      <c r="G800" s="4415"/>
      <c r="H800" s="4415"/>
      <c r="I800" s="4415"/>
      <c r="J800" s="4415"/>
      <c r="K800" s="4604"/>
      <c r="L800" s="3567"/>
      <c r="M800" s="386"/>
      <c r="N800" s="386"/>
      <c r="O800" s="386"/>
      <c r="P800" s="386"/>
      <c r="Q800" s="386"/>
    </row>
    <row r="801" spans="1:17" ht="30" customHeight="1" x14ac:dyDescent="0.2">
      <c r="A801" s="4460"/>
      <c r="B801" s="4458"/>
      <c r="C801" s="5022" t="s">
        <v>6041</v>
      </c>
      <c r="D801" s="5023"/>
      <c r="E801" s="5023"/>
      <c r="F801" s="5024"/>
      <c r="G801" s="4219">
        <v>10000000</v>
      </c>
      <c r="H801" s="4219" t="s">
        <v>6035</v>
      </c>
      <c r="I801" s="4219" t="s">
        <v>6042</v>
      </c>
      <c r="J801" s="4219">
        <f>G801</f>
        <v>10000000</v>
      </c>
      <c r="K801" s="4242"/>
      <c r="L801" s="4252"/>
      <c r="M801" s="386"/>
      <c r="N801" s="386"/>
      <c r="O801" s="386"/>
      <c r="P801" s="386"/>
      <c r="Q801" s="386"/>
    </row>
    <row r="802" spans="1:17" ht="30" customHeight="1" x14ac:dyDescent="0.2">
      <c r="A802" s="4459"/>
      <c r="B802" s="4457" t="s">
        <v>5470</v>
      </c>
      <c r="C802" s="4537" t="s">
        <v>1299</v>
      </c>
      <c r="D802" s="3493">
        <v>20000000</v>
      </c>
      <c r="E802" s="3535">
        <v>0.05</v>
      </c>
      <c r="F802" s="3493">
        <f t="shared" si="77"/>
        <v>1000000</v>
      </c>
      <c r="G802" s="4413">
        <v>2200000</v>
      </c>
      <c r="H802" s="4413" t="s">
        <v>5744</v>
      </c>
      <c r="I802" s="4789" t="s">
        <v>4126</v>
      </c>
      <c r="J802" s="4413">
        <f>G802</f>
        <v>2200000</v>
      </c>
      <c r="K802" s="4603">
        <f>(F802+F803)-J802</f>
        <v>0</v>
      </c>
      <c r="L802" s="3567"/>
      <c r="M802" s="386"/>
      <c r="N802" s="386"/>
      <c r="O802" s="386"/>
      <c r="P802" s="386"/>
      <c r="Q802" s="386"/>
    </row>
    <row r="803" spans="1:17" ht="30" customHeight="1" x14ac:dyDescent="0.2">
      <c r="A803" s="4460"/>
      <c r="B803" s="4458"/>
      <c r="C803" s="4538"/>
      <c r="D803" s="3493">
        <v>20000000</v>
      </c>
      <c r="E803" s="3535">
        <v>0.06</v>
      </c>
      <c r="F803" s="3493">
        <f t="shared" si="77"/>
        <v>1200000</v>
      </c>
      <c r="G803" s="4415"/>
      <c r="H803" s="4415"/>
      <c r="I803" s="4790"/>
      <c r="J803" s="4415"/>
      <c r="K803" s="4604"/>
      <c r="L803" s="3434" t="s">
        <v>5259</v>
      </c>
      <c r="M803" s="386"/>
      <c r="N803" s="386"/>
      <c r="O803" s="386"/>
      <c r="P803" s="386"/>
      <c r="Q803" s="386"/>
    </row>
    <row r="804" spans="1:17" ht="30" customHeight="1" x14ac:dyDescent="0.2">
      <c r="A804" s="4459"/>
      <c r="B804" s="4457" t="s">
        <v>5469</v>
      </c>
      <c r="C804" s="4537" t="s">
        <v>402</v>
      </c>
      <c r="D804" s="3493">
        <v>30000000</v>
      </c>
      <c r="E804" s="3535">
        <v>0.06</v>
      </c>
      <c r="F804" s="3493">
        <f t="shared" si="77"/>
        <v>1800000</v>
      </c>
      <c r="G804" s="4322">
        <v>1960000</v>
      </c>
      <c r="H804" s="4322" t="s">
        <v>1649</v>
      </c>
      <c r="I804" s="5100" t="s">
        <v>5471</v>
      </c>
      <c r="J804" s="4322">
        <f>G804</f>
        <v>1960000</v>
      </c>
      <c r="K804" s="4332"/>
      <c r="L804" s="3434" t="s">
        <v>5260</v>
      </c>
      <c r="M804" s="386"/>
      <c r="N804" s="386"/>
      <c r="O804" s="386"/>
      <c r="P804" s="386"/>
      <c r="Q804" s="386"/>
    </row>
    <row r="805" spans="1:17" ht="30" customHeight="1" x14ac:dyDescent="0.2">
      <c r="A805" s="4460"/>
      <c r="B805" s="4458"/>
      <c r="C805" s="4538"/>
      <c r="D805" s="3493">
        <v>20000000</v>
      </c>
      <c r="E805" s="3535">
        <v>0.06</v>
      </c>
      <c r="F805" s="3493">
        <f t="shared" si="77"/>
        <v>1200000</v>
      </c>
      <c r="G805" s="4322"/>
      <c r="H805" s="4322"/>
      <c r="I805" s="5100"/>
      <c r="J805" s="4322"/>
      <c r="K805" s="4332"/>
      <c r="L805" s="3555" t="s">
        <v>5326</v>
      </c>
      <c r="M805" s="386"/>
      <c r="N805" s="386"/>
      <c r="O805" s="386"/>
      <c r="P805" s="386"/>
      <c r="Q805" s="386"/>
    </row>
    <row r="806" spans="1:17" ht="30" customHeight="1" x14ac:dyDescent="0.2">
      <c r="A806" s="4459"/>
      <c r="B806" s="4457" t="s">
        <v>234</v>
      </c>
      <c r="C806" s="4537" t="s">
        <v>1172</v>
      </c>
      <c r="D806" s="3493">
        <v>60000000</v>
      </c>
      <c r="E806" s="3535">
        <v>0.05</v>
      </c>
      <c r="F806" s="3493">
        <f>D806*E806</f>
        <v>3000000</v>
      </c>
      <c r="G806" s="4413">
        <v>3300000</v>
      </c>
      <c r="H806" s="4413" t="s">
        <v>1649</v>
      </c>
      <c r="I806" s="4413" t="s">
        <v>5472</v>
      </c>
      <c r="J806" s="4413">
        <f>G806</f>
        <v>3300000</v>
      </c>
      <c r="K806" s="4603"/>
      <c r="L806" s="3555" t="s">
        <v>4271</v>
      </c>
      <c r="M806" s="386"/>
      <c r="N806" s="386"/>
      <c r="O806" s="386"/>
      <c r="P806" s="386"/>
      <c r="Q806" s="386"/>
    </row>
    <row r="807" spans="1:17" ht="30" customHeight="1" x14ac:dyDescent="0.2">
      <c r="A807" s="4460"/>
      <c r="B807" s="4458"/>
      <c r="C807" s="4538"/>
      <c r="D807" s="3493">
        <v>30000000</v>
      </c>
      <c r="E807" s="3535">
        <v>0.06</v>
      </c>
      <c r="F807" s="3493">
        <f>D807*E807</f>
        <v>1800000</v>
      </c>
      <c r="G807" s="4415"/>
      <c r="H807" s="4415"/>
      <c r="I807" s="4415"/>
      <c r="J807" s="4415"/>
      <c r="K807" s="4604"/>
      <c r="L807" s="3555" t="s">
        <v>5327</v>
      </c>
      <c r="M807" s="386"/>
      <c r="N807" s="386"/>
      <c r="O807" s="386"/>
      <c r="P807" s="386"/>
      <c r="Q807" s="386"/>
    </row>
    <row r="808" spans="1:17" ht="30" customHeight="1" x14ac:dyDescent="0.2">
      <c r="A808" s="4459"/>
      <c r="B808" s="4457" t="s">
        <v>4948</v>
      </c>
      <c r="C808" s="4537" t="s">
        <v>1299</v>
      </c>
      <c r="D808" s="3493">
        <v>30000000</v>
      </c>
      <c r="E808" s="3535">
        <v>0.05</v>
      </c>
      <c r="F808" s="3493">
        <f>D808*E808</f>
        <v>1500000</v>
      </c>
      <c r="G808" s="4322">
        <v>2200000</v>
      </c>
      <c r="H808" s="4413" t="s">
        <v>5848</v>
      </c>
      <c r="I808" s="4413" t="s">
        <v>5207</v>
      </c>
      <c r="J808" s="4413">
        <f>G808</f>
        <v>2200000</v>
      </c>
      <c r="K808" s="4413">
        <f>(F808+F809)-J808</f>
        <v>0</v>
      </c>
      <c r="L808" s="3555" t="s">
        <v>5151</v>
      </c>
      <c r="M808" s="386"/>
      <c r="N808" s="386"/>
      <c r="O808" s="386"/>
      <c r="P808" s="386"/>
      <c r="Q808" s="386"/>
    </row>
    <row r="809" spans="1:17" ht="30" customHeight="1" x14ac:dyDescent="0.2">
      <c r="A809" s="4460"/>
      <c r="B809" s="4458"/>
      <c r="C809" s="4538"/>
      <c r="D809" s="3493">
        <v>10000000</v>
      </c>
      <c r="E809" s="3535">
        <v>7.0000000000000007E-2</v>
      </c>
      <c r="F809" s="3493">
        <f>D809*E809</f>
        <v>700000.00000000012</v>
      </c>
      <c r="G809" s="4322"/>
      <c r="H809" s="4415"/>
      <c r="I809" s="4415"/>
      <c r="J809" s="4415"/>
      <c r="K809" s="4415"/>
      <c r="L809" s="3555" t="s">
        <v>5152</v>
      </c>
      <c r="M809" s="386"/>
      <c r="N809" s="386"/>
      <c r="O809" s="386"/>
      <c r="P809" s="386"/>
      <c r="Q809" s="386"/>
    </row>
    <row r="810" spans="1:17" ht="30" customHeight="1" x14ac:dyDescent="0.2">
      <c r="A810" s="4459"/>
      <c r="B810" s="4457" t="s">
        <v>2471</v>
      </c>
      <c r="C810" s="4537" t="s">
        <v>889</v>
      </c>
      <c r="D810" s="3493">
        <v>57120000</v>
      </c>
      <c r="E810" s="3535">
        <v>0.06</v>
      </c>
      <c r="F810" s="3493">
        <f t="shared" si="77"/>
        <v>3427200</v>
      </c>
      <c r="G810" s="4413">
        <v>6607200</v>
      </c>
      <c r="H810" s="4413" t="s">
        <v>1649</v>
      </c>
      <c r="I810" s="4413" t="s">
        <v>4043</v>
      </c>
      <c r="J810" s="4413">
        <f>G810</f>
        <v>6607200</v>
      </c>
      <c r="K810" s="4413">
        <f>F817-J810</f>
        <v>0</v>
      </c>
      <c r="L810" s="3567"/>
      <c r="M810" s="386"/>
      <c r="N810" s="386"/>
      <c r="O810" s="386"/>
      <c r="P810" s="386"/>
      <c r="Q810" s="386"/>
    </row>
    <row r="811" spans="1:17" ht="30" customHeight="1" x14ac:dyDescent="0.2">
      <c r="A811" s="4464"/>
      <c r="B811" s="4488"/>
      <c r="C811" s="4540"/>
      <c r="D811" s="3493">
        <v>10000000</v>
      </c>
      <c r="E811" s="3535">
        <v>0.06</v>
      </c>
      <c r="F811" s="3699">
        <f t="shared" si="77"/>
        <v>600000</v>
      </c>
      <c r="G811" s="4414"/>
      <c r="H811" s="4414"/>
      <c r="I811" s="4414"/>
      <c r="J811" s="4414"/>
      <c r="K811" s="4414"/>
      <c r="L811" s="3554" t="s">
        <v>4985</v>
      </c>
      <c r="M811" s="386"/>
      <c r="N811" s="386"/>
      <c r="O811" s="386"/>
      <c r="P811" s="386"/>
      <c r="Q811" s="386"/>
    </row>
    <row r="812" spans="1:17" ht="30" customHeight="1" x14ac:dyDescent="0.2">
      <c r="A812" s="4464"/>
      <c r="B812" s="4488"/>
      <c r="C812" s="4540"/>
      <c r="D812" s="3493">
        <v>6000000</v>
      </c>
      <c r="E812" s="3535">
        <v>0.06</v>
      </c>
      <c r="F812" s="3699">
        <f t="shared" si="77"/>
        <v>360000</v>
      </c>
      <c r="G812" s="4414"/>
      <c r="H812" s="4414"/>
      <c r="I812" s="4414"/>
      <c r="J812" s="4414"/>
      <c r="K812" s="4414"/>
      <c r="L812" s="3554" t="s">
        <v>4986</v>
      </c>
      <c r="M812" s="386"/>
      <c r="N812" s="386"/>
      <c r="O812" s="386"/>
      <c r="P812" s="386"/>
      <c r="Q812" s="386"/>
    </row>
    <row r="813" spans="1:17" ht="30" customHeight="1" x14ac:dyDescent="0.2">
      <c r="A813" s="4464"/>
      <c r="B813" s="4488"/>
      <c r="C813" s="4540"/>
      <c r="D813" s="3493">
        <v>10000000</v>
      </c>
      <c r="E813" s="3535">
        <v>0.06</v>
      </c>
      <c r="F813" s="3699">
        <f t="shared" si="77"/>
        <v>600000</v>
      </c>
      <c r="G813" s="4414"/>
      <c r="H813" s="4414"/>
      <c r="I813" s="4414"/>
      <c r="J813" s="4414"/>
      <c r="K813" s="4414"/>
      <c r="L813" s="3554" t="s">
        <v>4987</v>
      </c>
      <c r="M813" s="386"/>
      <c r="N813" s="386"/>
      <c r="O813" s="386"/>
      <c r="P813" s="386"/>
      <c r="Q813" s="386"/>
    </row>
    <row r="814" spans="1:17" ht="30" customHeight="1" x14ac:dyDescent="0.2">
      <c r="A814" s="4464"/>
      <c r="B814" s="4488"/>
      <c r="C814" s="4540"/>
      <c r="D814" s="3493">
        <v>9000000</v>
      </c>
      <c r="E814" s="3535">
        <v>0.06</v>
      </c>
      <c r="F814" s="3699">
        <f t="shared" si="77"/>
        <v>540000</v>
      </c>
      <c r="G814" s="4414"/>
      <c r="H814" s="4414"/>
      <c r="I814" s="4414"/>
      <c r="J814" s="4414"/>
      <c r="K814" s="4414"/>
      <c r="L814" s="3554" t="s">
        <v>4988</v>
      </c>
      <c r="M814" s="386"/>
      <c r="N814" s="386"/>
      <c r="O814" s="386"/>
      <c r="P814" s="386"/>
      <c r="Q814" s="386"/>
    </row>
    <row r="815" spans="1:17" ht="30" customHeight="1" x14ac:dyDescent="0.2">
      <c r="A815" s="4464"/>
      <c r="B815" s="4488"/>
      <c r="C815" s="4540"/>
      <c r="D815" s="3493">
        <v>10000000</v>
      </c>
      <c r="E815" s="3535">
        <v>0.06</v>
      </c>
      <c r="F815" s="3699">
        <f t="shared" si="77"/>
        <v>600000</v>
      </c>
      <c r="G815" s="4414"/>
      <c r="H815" s="4414"/>
      <c r="I815" s="4414"/>
      <c r="J815" s="4414"/>
      <c r="K815" s="4414"/>
      <c r="L815" s="3554" t="s">
        <v>4990</v>
      </c>
      <c r="M815" s="386"/>
      <c r="N815" s="386"/>
      <c r="O815" s="386"/>
      <c r="P815" s="386"/>
      <c r="Q815" s="386"/>
    </row>
    <row r="816" spans="1:17" ht="30" customHeight="1" x14ac:dyDescent="0.2">
      <c r="A816" s="4464"/>
      <c r="B816" s="4488"/>
      <c r="C816" s="4540"/>
      <c r="D816" s="3493">
        <v>8000000</v>
      </c>
      <c r="E816" s="3535">
        <v>0.06</v>
      </c>
      <c r="F816" s="3699">
        <f t="shared" si="77"/>
        <v>480000</v>
      </c>
      <c r="G816" s="4414"/>
      <c r="H816" s="4414"/>
      <c r="I816" s="4414"/>
      <c r="J816" s="4414"/>
      <c r="K816" s="4414"/>
      <c r="L816" s="3554" t="s">
        <v>4989</v>
      </c>
      <c r="M816" s="386"/>
      <c r="N816" s="386"/>
      <c r="O816" s="386"/>
      <c r="P816" s="386"/>
      <c r="Q816" s="386"/>
    </row>
    <row r="817" spans="1:17" ht="30" customHeight="1" x14ac:dyDescent="0.2">
      <c r="A817" s="4464"/>
      <c r="B817" s="4488"/>
      <c r="C817" s="4540"/>
      <c r="D817" s="3725">
        <f>SUM(D810:D816)</f>
        <v>110120000</v>
      </c>
      <c r="E817" s="897">
        <v>0.06</v>
      </c>
      <c r="F817" s="3725">
        <f>SUM(F810:F816)</f>
        <v>6607200</v>
      </c>
      <c r="G817" s="4415"/>
      <c r="H817" s="4415"/>
      <c r="I817" s="4415"/>
      <c r="J817" s="4415"/>
      <c r="K817" s="4415"/>
      <c r="L817" s="3554" t="s">
        <v>5209</v>
      </c>
      <c r="M817" s="386"/>
      <c r="N817" s="386"/>
      <c r="O817" s="386"/>
      <c r="P817" s="386"/>
      <c r="Q817" s="386"/>
    </row>
    <row r="818" spans="1:17" ht="30" customHeight="1" x14ac:dyDescent="0.2">
      <c r="A818" s="4460"/>
      <c r="B818" s="4458"/>
      <c r="C818" s="4538"/>
      <c r="D818" s="4075">
        <v>40000000</v>
      </c>
      <c r="E818" s="4085"/>
      <c r="F818" s="4075"/>
      <c r="G818" s="4074"/>
      <c r="H818" s="4075"/>
      <c r="I818" s="4075"/>
      <c r="J818" s="4075"/>
      <c r="K818" s="4075"/>
      <c r="L818" s="4084" t="s">
        <v>5896</v>
      </c>
      <c r="M818" s="386"/>
      <c r="N818" s="386"/>
      <c r="O818" s="386"/>
      <c r="P818" s="386"/>
      <c r="Q818" s="386"/>
    </row>
    <row r="819" spans="1:17" ht="30" customHeight="1" x14ac:dyDescent="0.2">
      <c r="A819" s="4459"/>
      <c r="B819" s="4457" t="s">
        <v>2517</v>
      </c>
      <c r="C819" s="4537" t="s">
        <v>1080</v>
      </c>
      <c r="D819" s="3493">
        <v>134700000</v>
      </c>
      <c r="E819" s="3535">
        <v>0.05</v>
      </c>
      <c r="F819" s="3493">
        <f t="shared" si="77"/>
        <v>6735000</v>
      </c>
      <c r="G819" s="4413">
        <v>10000000</v>
      </c>
      <c r="H819" s="4322" t="s">
        <v>1527</v>
      </c>
      <c r="I819" s="4322" t="s">
        <v>5426</v>
      </c>
      <c r="J819" s="4322">
        <f>G819+G822</f>
        <v>12500000</v>
      </c>
      <c r="K819" s="4322">
        <f>F823-J819</f>
        <v>0</v>
      </c>
      <c r="L819" s="4675" t="s">
        <v>4738</v>
      </c>
      <c r="M819" s="386"/>
      <c r="N819" s="386"/>
      <c r="O819" s="386"/>
      <c r="P819" s="386"/>
      <c r="Q819" s="386"/>
    </row>
    <row r="820" spans="1:17" ht="30" customHeight="1" x14ac:dyDescent="0.2">
      <c r="A820" s="4464"/>
      <c r="B820" s="4488"/>
      <c r="C820" s="4540"/>
      <c r="D820" s="3493">
        <v>6735000</v>
      </c>
      <c r="E820" s="3535">
        <v>0.05</v>
      </c>
      <c r="F820" s="3493">
        <f t="shared" si="77"/>
        <v>336750</v>
      </c>
      <c r="G820" s="4414"/>
      <c r="H820" s="4322"/>
      <c r="I820" s="4322"/>
      <c r="J820" s="4322"/>
      <c r="K820" s="4322"/>
      <c r="L820" s="4676"/>
      <c r="M820" s="386"/>
      <c r="N820" s="386"/>
      <c r="O820" s="386"/>
      <c r="P820" s="386"/>
      <c r="Q820" s="386"/>
    </row>
    <row r="821" spans="1:17" ht="30" customHeight="1" x14ac:dyDescent="0.2">
      <c r="A821" s="4464"/>
      <c r="B821" s="4488"/>
      <c r="C821" s="4540"/>
      <c r="D821" s="3493">
        <v>100000000</v>
      </c>
      <c r="E821" s="3535">
        <v>0.05</v>
      </c>
      <c r="F821" s="3493">
        <f t="shared" si="77"/>
        <v>5000000</v>
      </c>
      <c r="G821" s="4415"/>
      <c r="H821" s="4322"/>
      <c r="I821" s="4322"/>
      <c r="J821" s="4322"/>
      <c r="K821" s="4322"/>
      <c r="L821" s="3554" t="s">
        <v>4832</v>
      </c>
      <c r="M821" s="386"/>
      <c r="N821" s="386"/>
      <c r="O821" s="386"/>
      <c r="P821" s="386"/>
      <c r="Q821" s="386"/>
    </row>
    <row r="822" spans="1:17" ht="30" customHeight="1" x14ac:dyDescent="0.2">
      <c r="A822" s="4464"/>
      <c r="B822" s="4488"/>
      <c r="C822" s="4540"/>
      <c r="D822" s="3493">
        <v>8565000</v>
      </c>
      <c r="E822" s="3535">
        <v>0.05</v>
      </c>
      <c r="F822" s="3493">
        <f t="shared" si="77"/>
        <v>428250</v>
      </c>
      <c r="G822" s="4413">
        <v>2500000</v>
      </c>
      <c r="H822" s="4322" t="s">
        <v>1527</v>
      </c>
      <c r="I822" s="4322" t="s">
        <v>5426</v>
      </c>
      <c r="J822" s="4322"/>
      <c r="K822" s="4322"/>
      <c r="L822" s="3554" t="s">
        <v>4796</v>
      </c>
      <c r="M822" s="386"/>
      <c r="N822" s="386"/>
      <c r="O822" s="386"/>
      <c r="P822" s="386"/>
      <c r="Q822" s="386"/>
    </row>
    <row r="823" spans="1:17" ht="30" customHeight="1" x14ac:dyDescent="0.2">
      <c r="A823" s="4464"/>
      <c r="B823" s="4488"/>
      <c r="C823" s="4540"/>
      <c r="D823" s="3595">
        <f>SUM(D819:D822)</f>
        <v>250000000</v>
      </c>
      <c r="E823" s="897">
        <v>0.05</v>
      </c>
      <c r="F823" s="3595">
        <f>D823*E823</f>
        <v>12500000</v>
      </c>
      <c r="G823" s="4415"/>
      <c r="H823" s="4322"/>
      <c r="I823" s="4322"/>
      <c r="J823" s="4322"/>
      <c r="K823" s="4322"/>
      <c r="L823" s="3554" t="s">
        <v>4739</v>
      </c>
      <c r="M823" s="386"/>
      <c r="N823" s="386"/>
      <c r="O823" s="386"/>
      <c r="P823" s="386"/>
      <c r="Q823" s="386"/>
    </row>
    <row r="824" spans="1:17" ht="30" customHeight="1" x14ac:dyDescent="0.2">
      <c r="A824" s="4459"/>
      <c r="B824" s="4457" t="s">
        <v>2633</v>
      </c>
      <c r="C824" s="4537" t="s">
        <v>1172</v>
      </c>
      <c r="D824" s="4413">
        <v>60000000</v>
      </c>
      <c r="E824" s="4476">
        <v>0.05</v>
      </c>
      <c r="F824" s="4413">
        <f>D824*E824</f>
        <v>3000000</v>
      </c>
      <c r="G824" s="4413">
        <v>3000000</v>
      </c>
      <c r="H824" s="4413" t="s">
        <v>3978</v>
      </c>
      <c r="I824" s="4413" t="s">
        <v>5524</v>
      </c>
      <c r="J824" s="4413">
        <f>G824</f>
        <v>3000000</v>
      </c>
      <c r="K824" s="4413">
        <f>F824-J824</f>
        <v>0</v>
      </c>
      <c r="L824" s="1115" t="s">
        <v>5204</v>
      </c>
      <c r="M824" s="386"/>
      <c r="N824" s="386"/>
      <c r="O824" s="386"/>
      <c r="P824" s="386"/>
      <c r="Q824" s="386"/>
    </row>
    <row r="825" spans="1:17" ht="30" customHeight="1" x14ac:dyDescent="0.2">
      <c r="A825" s="4460"/>
      <c r="B825" s="4458"/>
      <c r="C825" s="4538"/>
      <c r="D825" s="4415"/>
      <c r="E825" s="4477"/>
      <c r="F825" s="4415"/>
      <c r="G825" s="4415"/>
      <c r="H825" s="4415"/>
      <c r="I825" s="4415"/>
      <c r="J825" s="4415"/>
      <c r="K825" s="4415"/>
      <c r="L825" s="3555" t="s">
        <v>5304</v>
      </c>
      <c r="M825" s="386"/>
      <c r="N825" s="386"/>
      <c r="O825" s="386"/>
      <c r="P825" s="386"/>
      <c r="Q825" s="386"/>
    </row>
    <row r="826" spans="1:17" ht="30" customHeight="1" x14ac:dyDescent="0.2">
      <c r="A826" s="4459"/>
      <c r="B826" s="4457" t="s">
        <v>4905</v>
      </c>
      <c r="C826" s="4537" t="s">
        <v>3390</v>
      </c>
      <c r="D826" s="4413">
        <v>30000000</v>
      </c>
      <c r="E826" s="4476">
        <v>0.05</v>
      </c>
      <c r="F826" s="4413">
        <f>D826*E826</f>
        <v>1500000</v>
      </c>
      <c r="G826" s="4413">
        <v>1500000</v>
      </c>
      <c r="H826" s="4413" t="s">
        <v>5859</v>
      </c>
      <c r="I826" s="4413" t="s">
        <v>5524</v>
      </c>
      <c r="J826" s="4413">
        <f>G826</f>
        <v>1500000</v>
      </c>
      <c r="K826" s="4413">
        <f>F826-J826</f>
        <v>0</v>
      </c>
      <c r="L826" s="3566" t="s">
        <v>5305</v>
      </c>
      <c r="M826" s="386"/>
      <c r="N826" s="386"/>
      <c r="O826" s="386"/>
      <c r="P826" s="386"/>
      <c r="Q826" s="386"/>
    </row>
    <row r="827" spans="1:17" ht="30" customHeight="1" x14ac:dyDescent="0.2">
      <c r="A827" s="4460"/>
      <c r="B827" s="4458"/>
      <c r="C827" s="4538"/>
      <c r="D827" s="4415"/>
      <c r="E827" s="4477"/>
      <c r="F827" s="4415"/>
      <c r="G827" s="4415"/>
      <c r="H827" s="4415"/>
      <c r="I827" s="4415"/>
      <c r="J827" s="4415"/>
      <c r="K827" s="4415"/>
      <c r="L827" s="3555" t="s">
        <v>5306</v>
      </c>
      <c r="M827" s="386"/>
      <c r="N827" s="386"/>
      <c r="O827" s="386"/>
      <c r="P827" s="386"/>
      <c r="Q827" s="386"/>
    </row>
    <row r="828" spans="1:17" ht="30" customHeight="1" x14ac:dyDescent="0.2">
      <c r="A828" s="4459"/>
      <c r="B828" s="4457" t="s">
        <v>2551</v>
      </c>
      <c r="C828" s="4537"/>
      <c r="D828" s="3493">
        <v>10000000</v>
      </c>
      <c r="E828" s="3535"/>
      <c r="F828" s="3493"/>
      <c r="G828" s="3493"/>
      <c r="H828" s="3493"/>
      <c r="I828" s="473"/>
      <c r="J828" s="3493"/>
      <c r="K828" s="3533"/>
      <c r="L828" s="3567"/>
      <c r="M828" s="386"/>
      <c r="N828" s="386"/>
      <c r="O828" s="386"/>
      <c r="P828" s="386"/>
      <c r="Q828" s="386"/>
    </row>
    <row r="829" spans="1:17" ht="30" customHeight="1" x14ac:dyDescent="0.2">
      <c r="A829" s="4460"/>
      <c r="B829" s="4458"/>
      <c r="C829" s="4538"/>
      <c r="D829" s="3493">
        <v>5000000</v>
      </c>
      <c r="E829" s="3535"/>
      <c r="F829" s="3493"/>
      <c r="G829" s="3493"/>
      <c r="H829" s="3493"/>
      <c r="I829" s="473"/>
      <c r="J829" s="3493"/>
      <c r="K829" s="3533"/>
      <c r="L829" s="3554"/>
      <c r="M829" s="386"/>
      <c r="N829" s="386"/>
      <c r="O829" s="386"/>
      <c r="P829" s="386"/>
      <c r="Q829" s="386"/>
    </row>
    <row r="830" spans="1:17" ht="30" customHeight="1" x14ac:dyDescent="0.2">
      <c r="A830" s="3503"/>
      <c r="B830" s="3502" t="s">
        <v>2573</v>
      </c>
      <c r="C830" s="3515" t="s">
        <v>1172</v>
      </c>
      <c r="D830" s="3493">
        <v>60000000</v>
      </c>
      <c r="E830" s="3499">
        <v>5.5E-2</v>
      </c>
      <c r="F830" s="3493">
        <f t="shared" ref="F830" si="78">D830*E830</f>
        <v>3300000</v>
      </c>
      <c r="G830" s="3493">
        <v>3300000</v>
      </c>
      <c r="H830" s="4413" t="s">
        <v>3978</v>
      </c>
      <c r="I830" s="4789" t="s">
        <v>3103</v>
      </c>
      <c r="J830" s="4413">
        <f>G830+G831+G832</f>
        <v>16550000</v>
      </c>
      <c r="K830" s="4603">
        <v>0</v>
      </c>
      <c r="L830" s="3806" t="s">
        <v>3522</v>
      </c>
      <c r="M830" s="386"/>
      <c r="N830" s="386"/>
      <c r="O830" s="386"/>
      <c r="P830" s="386"/>
      <c r="Q830" s="386"/>
    </row>
    <row r="831" spans="1:17" ht="30" customHeight="1" x14ac:dyDescent="0.2">
      <c r="A831" s="4459"/>
      <c r="B831" s="4457" t="s">
        <v>2714</v>
      </c>
      <c r="C831" s="4537" t="s">
        <v>262</v>
      </c>
      <c r="D831" s="4413">
        <v>186000000</v>
      </c>
      <c r="E831" s="4476">
        <v>5.5E-2</v>
      </c>
      <c r="F831" s="4413">
        <f>D831*E831</f>
        <v>10230000</v>
      </c>
      <c r="G831" s="3800">
        <v>600000</v>
      </c>
      <c r="H831" s="4414"/>
      <c r="I831" s="4871"/>
      <c r="J831" s="4414"/>
      <c r="K831" s="4609"/>
      <c r="L831" s="3822" t="s">
        <v>5526</v>
      </c>
      <c r="M831" s="386"/>
      <c r="N831" s="386"/>
      <c r="O831" s="386"/>
      <c r="P831" s="386"/>
      <c r="Q831" s="386"/>
    </row>
    <row r="832" spans="1:17" ht="30" customHeight="1" x14ac:dyDescent="0.2">
      <c r="A832" s="4464"/>
      <c r="B832" s="4488"/>
      <c r="C832" s="4540"/>
      <c r="D832" s="4414"/>
      <c r="E832" s="4516"/>
      <c r="F832" s="4414"/>
      <c r="G832" s="4415">
        <v>12650000</v>
      </c>
      <c r="H832" s="4414"/>
      <c r="I832" s="4871"/>
      <c r="J832" s="4414"/>
      <c r="K832" s="4609"/>
      <c r="L832" s="3822"/>
      <c r="M832" s="386"/>
      <c r="N832" s="386"/>
      <c r="O832" s="386"/>
      <c r="P832" s="386"/>
      <c r="Q832" s="386"/>
    </row>
    <row r="833" spans="1:17" ht="30" customHeight="1" x14ac:dyDescent="0.2">
      <c r="A833" s="4464"/>
      <c r="B833" s="4488"/>
      <c r="C833" s="4540"/>
      <c r="D833" s="4415"/>
      <c r="E833" s="4477"/>
      <c r="F833" s="4415"/>
      <c r="G833" s="4322"/>
      <c r="H833" s="4414"/>
      <c r="I833" s="4871"/>
      <c r="J833" s="4414"/>
      <c r="K833" s="4609"/>
      <c r="L833" s="3822"/>
      <c r="M833" s="386"/>
      <c r="N833" s="386"/>
      <c r="O833" s="386"/>
      <c r="P833" s="386"/>
      <c r="Q833" s="386"/>
    </row>
    <row r="834" spans="1:17" ht="30" customHeight="1" x14ac:dyDescent="0.2">
      <c r="A834" s="4464"/>
      <c r="B834" s="4488"/>
      <c r="C834" s="4540"/>
      <c r="D834" s="3493">
        <v>10000000</v>
      </c>
      <c r="E834" s="3499">
        <v>5.5E-2</v>
      </c>
      <c r="F834" s="3493">
        <f t="shared" ref="F834:F840" si="79">D834*E834</f>
        <v>550000</v>
      </c>
      <c r="G834" s="4322"/>
      <c r="H834" s="4414"/>
      <c r="I834" s="4871"/>
      <c r="J834" s="4414"/>
      <c r="K834" s="4609"/>
      <c r="L834" s="3822"/>
      <c r="M834" s="386"/>
      <c r="N834" s="386"/>
      <c r="O834" s="386"/>
      <c r="P834" s="386"/>
      <c r="Q834" s="386"/>
    </row>
    <row r="835" spans="1:17" ht="30" customHeight="1" x14ac:dyDescent="0.2">
      <c r="A835" s="4464"/>
      <c r="B835" s="4488"/>
      <c r="C835" s="4540"/>
      <c r="D835" s="3493">
        <v>4000000</v>
      </c>
      <c r="E835" s="3499">
        <v>5.5E-2</v>
      </c>
      <c r="F835" s="3493">
        <f t="shared" si="79"/>
        <v>220000</v>
      </c>
      <c r="G835" s="4322"/>
      <c r="H835" s="4414"/>
      <c r="I835" s="4871"/>
      <c r="J835" s="4414"/>
      <c r="K835" s="4609"/>
      <c r="L835" s="3822"/>
      <c r="M835" s="386"/>
      <c r="N835" s="386"/>
      <c r="O835" s="386"/>
      <c r="P835" s="386"/>
      <c r="Q835" s="386"/>
    </row>
    <row r="836" spans="1:17" ht="30" customHeight="1" x14ac:dyDescent="0.2">
      <c r="A836" s="4464"/>
      <c r="B836" s="4488"/>
      <c r="C836" s="4540"/>
      <c r="D836" s="3582">
        <v>200000000</v>
      </c>
      <c r="E836" s="3584">
        <v>5.5E-2</v>
      </c>
      <c r="F836" s="3582">
        <f t="shared" si="79"/>
        <v>11000000</v>
      </c>
      <c r="G836" s="4322"/>
      <c r="H836" s="4414"/>
      <c r="I836" s="4871"/>
      <c r="J836" s="4414"/>
      <c r="K836" s="4609"/>
      <c r="L836" s="3822"/>
      <c r="M836" s="386"/>
      <c r="N836" s="386"/>
      <c r="O836" s="386"/>
      <c r="P836" s="386"/>
      <c r="Q836" s="386"/>
    </row>
    <row r="837" spans="1:17" ht="30" customHeight="1" x14ac:dyDescent="0.2">
      <c r="A837" s="4464"/>
      <c r="B837" s="4488"/>
      <c r="C837" s="4540"/>
      <c r="D837" s="3493">
        <v>19000000</v>
      </c>
      <c r="E837" s="3499">
        <v>5.5E-2</v>
      </c>
      <c r="F837" s="3493">
        <f t="shared" si="79"/>
        <v>1045000</v>
      </c>
      <c r="G837" s="4322"/>
      <c r="H837" s="4414"/>
      <c r="I837" s="4871"/>
      <c r="J837" s="4414"/>
      <c r="K837" s="4609"/>
      <c r="L837" s="3822"/>
      <c r="M837" s="386"/>
      <c r="N837" s="386"/>
      <c r="O837" s="386"/>
      <c r="P837" s="386"/>
      <c r="Q837" s="386"/>
    </row>
    <row r="838" spans="1:17" ht="30" customHeight="1" x14ac:dyDescent="0.2">
      <c r="A838" s="4464"/>
      <c r="B838" s="4488"/>
      <c r="C838" s="4540"/>
      <c r="D838" s="3493">
        <v>9000000</v>
      </c>
      <c r="E838" s="3499">
        <v>5.5E-2</v>
      </c>
      <c r="F838" s="3493">
        <f t="shared" si="79"/>
        <v>495000</v>
      </c>
      <c r="G838" s="4322"/>
      <c r="H838" s="4414"/>
      <c r="I838" s="4871"/>
      <c r="J838" s="4414"/>
      <c r="K838" s="4609"/>
      <c r="L838" s="3822"/>
      <c r="M838" s="386"/>
      <c r="N838" s="386"/>
      <c r="O838" s="386"/>
      <c r="P838" s="386"/>
      <c r="Q838" s="386"/>
    </row>
    <row r="839" spans="1:17" ht="30" customHeight="1" x14ac:dyDescent="0.2">
      <c r="A839" s="4464"/>
      <c r="B839" s="4488"/>
      <c r="C839" s="4540"/>
      <c r="D839" s="3493">
        <v>2000000</v>
      </c>
      <c r="E839" s="3499">
        <v>5.5E-2</v>
      </c>
      <c r="F839" s="3493">
        <f t="shared" si="79"/>
        <v>110000</v>
      </c>
      <c r="G839" s="4322"/>
      <c r="H839" s="4414"/>
      <c r="I839" s="4871"/>
      <c r="J839" s="4414"/>
      <c r="K839" s="4609"/>
      <c r="L839" s="3822"/>
      <c r="M839" s="386"/>
      <c r="N839" s="386"/>
      <c r="O839" s="386"/>
      <c r="P839" s="386"/>
      <c r="Q839" s="386"/>
    </row>
    <row r="840" spans="1:17" ht="30" customHeight="1" x14ac:dyDescent="0.2">
      <c r="A840" s="4464"/>
      <c r="B840" s="4488"/>
      <c r="C840" s="4540"/>
      <c r="D840" s="5083">
        <f>D836+D837+D838+D839</f>
        <v>230000000</v>
      </c>
      <c r="E840" s="5085">
        <v>5.5E-2</v>
      </c>
      <c r="F840" s="5083">
        <f t="shared" si="79"/>
        <v>12650000</v>
      </c>
      <c r="G840" s="4322"/>
      <c r="H840" s="4414"/>
      <c r="I840" s="4871"/>
      <c r="J840" s="4414"/>
      <c r="K840" s="4609"/>
      <c r="L840" s="3822"/>
      <c r="M840" s="386"/>
      <c r="N840" s="386"/>
      <c r="O840" s="386"/>
      <c r="P840" s="386"/>
      <c r="Q840" s="386"/>
    </row>
    <row r="841" spans="1:17" ht="30" customHeight="1" x14ac:dyDescent="0.2">
      <c r="A841" s="4460"/>
      <c r="B841" s="4458"/>
      <c r="C841" s="4538"/>
      <c r="D841" s="5084"/>
      <c r="E841" s="5086"/>
      <c r="F841" s="5084"/>
      <c r="G841" s="4322"/>
      <c r="H841" s="4415"/>
      <c r="I841" s="4790"/>
      <c r="J841" s="4415"/>
      <c r="K841" s="4604"/>
      <c r="L841" s="3807"/>
      <c r="M841" s="386"/>
      <c r="N841" s="386"/>
      <c r="O841" s="386"/>
      <c r="P841" s="386"/>
      <c r="Q841" s="386"/>
    </row>
    <row r="842" spans="1:17" ht="30" customHeight="1" x14ac:dyDescent="0.2">
      <c r="A842" s="3497"/>
      <c r="B842" s="3502" t="s">
        <v>2609</v>
      </c>
      <c r="C842" s="3515"/>
      <c r="D842" s="3512"/>
      <c r="E842" s="2521"/>
      <c r="F842" s="3512"/>
      <c r="G842" s="3493">
        <v>1500000</v>
      </c>
      <c r="H842" s="3493" t="s">
        <v>1879</v>
      </c>
      <c r="I842" s="473" t="s">
        <v>5580</v>
      </c>
      <c r="J842" s="3493">
        <f>G842</f>
        <v>1500000</v>
      </c>
      <c r="K842" s="3534">
        <f>F842-J842</f>
        <v>-1500000</v>
      </c>
      <c r="L842" s="3567"/>
      <c r="M842" s="386"/>
      <c r="N842" s="386"/>
      <c r="O842" s="386"/>
      <c r="P842" s="386"/>
      <c r="Q842" s="386"/>
    </row>
    <row r="843" spans="1:17" ht="30" customHeight="1" x14ac:dyDescent="0.2">
      <c r="A843" s="4459"/>
      <c r="B843" s="4457" t="s">
        <v>3818</v>
      </c>
      <c r="C843" s="4537" t="s">
        <v>5658</v>
      </c>
      <c r="D843" s="3565">
        <v>4215000000</v>
      </c>
      <c r="E843" s="3251">
        <v>0.05</v>
      </c>
      <c r="F843" s="3565">
        <f>D843*E843</f>
        <v>210750000</v>
      </c>
      <c r="G843" s="4793" t="s">
        <v>5148</v>
      </c>
      <c r="H843" s="4794"/>
      <c r="I843" s="4794"/>
      <c r="J843" s="4795"/>
      <c r="K843" s="5039">
        <f>SUM(F843:F845)</f>
        <v>577850000</v>
      </c>
      <c r="L843" s="3554"/>
      <c r="M843" s="386"/>
      <c r="N843" s="386"/>
      <c r="O843" s="386"/>
      <c r="P843" s="386"/>
      <c r="Q843" s="386"/>
    </row>
    <row r="844" spans="1:17" ht="30" customHeight="1" x14ac:dyDescent="0.2">
      <c r="A844" s="4464"/>
      <c r="B844" s="4488"/>
      <c r="C844" s="4540"/>
      <c r="D844" s="3565">
        <v>2000000000</v>
      </c>
      <c r="E844" s="3251">
        <v>7.0000000000000007E-2</v>
      </c>
      <c r="F844" s="3565">
        <f t="shared" ref="F844:F848" si="80">D844*E844</f>
        <v>140000000</v>
      </c>
      <c r="G844" s="4796"/>
      <c r="H844" s="4797"/>
      <c r="I844" s="4797"/>
      <c r="J844" s="4798"/>
      <c r="K844" s="5040"/>
      <c r="L844" s="899"/>
      <c r="M844" s="386"/>
      <c r="N844" s="386"/>
      <c r="O844" s="386"/>
      <c r="P844" s="386"/>
      <c r="Q844" s="386"/>
    </row>
    <row r="845" spans="1:17" ht="30" customHeight="1" x14ac:dyDescent="0.2">
      <c r="A845" s="4464"/>
      <c r="B845" s="4488"/>
      <c r="C845" s="4540"/>
      <c r="D845" s="3565">
        <v>3785000000</v>
      </c>
      <c r="E845" s="3251">
        <v>0.06</v>
      </c>
      <c r="F845" s="3565">
        <f t="shared" si="80"/>
        <v>227100000</v>
      </c>
      <c r="G845" s="4799"/>
      <c r="H845" s="4800"/>
      <c r="I845" s="4800"/>
      <c r="J845" s="4801"/>
      <c r="K845" s="5041"/>
      <c r="L845" s="3555"/>
      <c r="M845" s="386"/>
      <c r="N845" s="386"/>
      <c r="O845" s="386"/>
      <c r="P845" s="386"/>
      <c r="Q845" s="386"/>
    </row>
    <row r="846" spans="1:17" ht="30" customHeight="1" x14ac:dyDescent="0.2">
      <c r="A846" s="4464"/>
      <c r="B846" s="4488"/>
      <c r="C846" s="4540"/>
      <c r="D846" s="3246">
        <v>2915000000</v>
      </c>
      <c r="E846" s="3252">
        <v>0.08</v>
      </c>
      <c r="F846" s="3246">
        <f t="shared" si="80"/>
        <v>233200000</v>
      </c>
      <c r="G846" s="4793" t="s">
        <v>5149</v>
      </c>
      <c r="H846" s="4794"/>
      <c r="I846" s="4794"/>
      <c r="J846" s="4795"/>
      <c r="K846" s="5042">
        <f>F846+F847+F848</f>
        <v>362400000</v>
      </c>
      <c r="L846" s="3555"/>
      <c r="M846" s="386"/>
      <c r="N846" s="386"/>
      <c r="O846" s="386"/>
      <c r="P846" s="386"/>
      <c r="Q846" s="386"/>
    </row>
    <row r="847" spans="1:17" ht="30" customHeight="1" x14ac:dyDescent="0.2">
      <c r="A847" s="4464"/>
      <c r="B847" s="4488"/>
      <c r="C847" s="4540"/>
      <c r="D847" s="3246">
        <v>690000000</v>
      </c>
      <c r="E847" s="3252">
        <v>0.08</v>
      </c>
      <c r="F847" s="3246">
        <f t="shared" si="80"/>
        <v>55200000</v>
      </c>
      <c r="G847" s="4796"/>
      <c r="H847" s="4797"/>
      <c r="I847" s="4797"/>
      <c r="J847" s="4798"/>
      <c r="K847" s="5043"/>
      <c r="L847" s="3555"/>
      <c r="M847" s="386"/>
      <c r="N847" s="386"/>
      <c r="O847" s="386"/>
      <c r="P847" s="386"/>
      <c r="Q847" s="386"/>
    </row>
    <row r="848" spans="1:17" ht="30" customHeight="1" x14ac:dyDescent="0.2">
      <c r="A848" s="4464"/>
      <c r="B848" s="4488"/>
      <c r="C848" s="4540"/>
      <c r="D848" s="3247">
        <v>925000000</v>
      </c>
      <c r="E848" s="3252">
        <v>0.08</v>
      </c>
      <c r="F848" s="3247">
        <f t="shared" si="80"/>
        <v>74000000</v>
      </c>
      <c r="G848" s="4799"/>
      <c r="H848" s="4800"/>
      <c r="I848" s="4800"/>
      <c r="J848" s="4801"/>
      <c r="K848" s="5044"/>
      <c r="L848" s="3533"/>
      <c r="M848" s="386"/>
      <c r="N848" s="386"/>
      <c r="O848" s="386"/>
      <c r="P848" s="386"/>
      <c r="Q848" s="386"/>
    </row>
    <row r="849" spans="1:17" ht="30" customHeight="1" x14ac:dyDescent="0.2">
      <c r="A849" s="4464"/>
      <c r="B849" s="4488"/>
      <c r="C849" s="4540"/>
      <c r="D849" s="4822">
        <f>SUM(D843:D848)</f>
        <v>14530000000</v>
      </c>
      <c r="E849" s="4823"/>
      <c r="F849" s="3580">
        <f>SUM(F843:F848)</f>
        <v>940250000</v>
      </c>
      <c r="G849" s="4793" t="s">
        <v>5142</v>
      </c>
      <c r="H849" s="4794"/>
      <c r="I849" s="4794"/>
      <c r="J849" s="4795"/>
      <c r="K849" s="4603"/>
      <c r="L849" s="3533"/>
      <c r="M849" s="386"/>
      <c r="N849" s="386"/>
      <c r="O849" s="386"/>
      <c r="P849" s="386"/>
      <c r="Q849" s="386"/>
    </row>
    <row r="850" spans="1:17" ht="30" customHeight="1" x14ac:dyDescent="0.2">
      <c r="A850" s="4464"/>
      <c r="B850" s="4488"/>
      <c r="C850" s="4540"/>
      <c r="D850" s="4822" t="s">
        <v>5143</v>
      </c>
      <c r="E850" s="4823"/>
      <c r="F850" s="3316">
        <v>1600000</v>
      </c>
      <c r="G850" s="4796"/>
      <c r="H850" s="4797"/>
      <c r="I850" s="4797"/>
      <c r="J850" s="4798"/>
      <c r="K850" s="4609"/>
      <c r="L850" s="3533"/>
      <c r="M850" s="386"/>
      <c r="N850" s="386"/>
      <c r="O850" s="386"/>
      <c r="P850" s="386"/>
      <c r="Q850" s="386"/>
    </row>
    <row r="851" spans="1:17" ht="30" customHeight="1" x14ac:dyDescent="0.2">
      <c r="A851" s="4464"/>
      <c r="B851" s="4488"/>
      <c r="C851" s="4540"/>
      <c r="D851" s="4822" t="s">
        <v>5144</v>
      </c>
      <c r="E851" s="4823"/>
      <c r="F851" s="3316">
        <v>1300000</v>
      </c>
      <c r="G851" s="4796"/>
      <c r="H851" s="4797"/>
      <c r="I851" s="4797"/>
      <c r="J851" s="4798"/>
      <c r="K851" s="4609"/>
      <c r="L851" s="3533"/>
      <c r="M851" s="386"/>
      <c r="N851" s="386"/>
      <c r="O851" s="386"/>
      <c r="P851" s="386"/>
      <c r="Q851" s="386"/>
    </row>
    <row r="852" spans="1:17" ht="30" customHeight="1" x14ac:dyDescent="0.2">
      <c r="A852" s="4464"/>
      <c r="B852" s="4488"/>
      <c r="C852" s="4540"/>
      <c r="D852" s="4822" t="s">
        <v>5145</v>
      </c>
      <c r="E852" s="4823"/>
      <c r="F852" s="3580">
        <f>SUM(F849:F851)</f>
        <v>943150000</v>
      </c>
      <c r="G852" s="4796"/>
      <c r="H852" s="4797"/>
      <c r="I852" s="4797"/>
      <c r="J852" s="4798"/>
      <c r="K852" s="4609"/>
      <c r="L852" s="3533"/>
      <c r="M852" s="386"/>
      <c r="N852" s="386"/>
      <c r="O852" s="386"/>
      <c r="P852" s="386"/>
      <c r="Q852" s="386"/>
    </row>
    <row r="853" spans="1:17" ht="30" customHeight="1" x14ac:dyDescent="0.2">
      <c r="A853" s="4464"/>
      <c r="B853" s="4488"/>
      <c r="C853" s="4540"/>
      <c r="D853" s="4822" t="s">
        <v>5169</v>
      </c>
      <c r="E853" s="4823"/>
      <c r="F853" s="3580">
        <v>6850000</v>
      </c>
      <c r="G853" s="4796"/>
      <c r="H853" s="4797"/>
      <c r="I853" s="4797"/>
      <c r="J853" s="4798"/>
      <c r="K853" s="4609"/>
      <c r="L853" s="3555" t="s">
        <v>5171</v>
      </c>
      <c r="M853" s="386"/>
      <c r="N853" s="386"/>
      <c r="O853" s="386"/>
      <c r="P853" s="386"/>
      <c r="Q853" s="386"/>
    </row>
    <row r="854" spans="1:17" ht="30" customHeight="1" x14ac:dyDescent="0.2">
      <c r="A854" s="4464"/>
      <c r="B854" s="4488"/>
      <c r="C854" s="4540"/>
      <c r="D854" s="4822" t="s">
        <v>5170</v>
      </c>
      <c r="E854" s="4823"/>
      <c r="F854" s="3580">
        <f>F852+F853</f>
        <v>950000000</v>
      </c>
      <c r="G854" s="4799"/>
      <c r="H854" s="4800"/>
      <c r="I854" s="4800"/>
      <c r="J854" s="4801"/>
      <c r="K854" s="4604"/>
      <c r="L854" s="3533"/>
      <c r="M854" s="386"/>
      <c r="N854" s="386"/>
      <c r="O854" s="386"/>
      <c r="P854" s="386"/>
      <c r="Q854" s="386"/>
    </row>
    <row r="855" spans="1:17" ht="30" customHeight="1" x14ac:dyDescent="0.2">
      <c r="A855" s="4464"/>
      <c r="B855" s="4488"/>
      <c r="C855" s="4540"/>
      <c r="D855" s="745">
        <v>850000000</v>
      </c>
      <c r="E855" s="3250">
        <v>0.08</v>
      </c>
      <c r="F855" s="745">
        <f>D855*E855</f>
        <v>68000000</v>
      </c>
      <c r="G855" s="4303" t="s">
        <v>5174</v>
      </c>
      <c r="H855" s="4324"/>
      <c r="I855" s="4324"/>
      <c r="J855" s="4355"/>
      <c r="K855" s="3533"/>
      <c r="L855" s="3555" t="s">
        <v>5147</v>
      </c>
      <c r="M855" s="386"/>
      <c r="N855" s="386"/>
      <c r="O855" s="386"/>
      <c r="P855" s="386"/>
      <c r="Q855" s="386"/>
    </row>
    <row r="856" spans="1:17" ht="30" customHeight="1" x14ac:dyDescent="0.2">
      <c r="A856" s="4464"/>
      <c r="B856" s="4488"/>
      <c r="C856" s="4540"/>
      <c r="D856" s="4939">
        <f>D849+D855</f>
        <v>15380000000</v>
      </c>
      <c r="E856" s="4940"/>
      <c r="F856" s="3253">
        <f>F849+F855</f>
        <v>1008250000</v>
      </c>
      <c r="G856" s="3899">
        <v>100000000</v>
      </c>
      <c r="H856" s="3899" t="s">
        <v>5343</v>
      </c>
      <c r="I856" s="3899" t="s">
        <v>2686</v>
      </c>
      <c r="J856" s="3899">
        <f>G856</f>
        <v>100000000</v>
      </c>
      <c r="K856" s="4603">
        <f>1010250000-140000000-100000000</f>
        <v>770250000</v>
      </c>
      <c r="L856" s="4675" t="s">
        <v>5659</v>
      </c>
      <c r="M856" s="386"/>
      <c r="N856" s="386"/>
      <c r="O856" s="386"/>
      <c r="P856" s="386"/>
      <c r="Q856" s="386"/>
    </row>
    <row r="857" spans="1:17" ht="30" customHeight="1" x14ac:dyDescent="0.2">
      <c r="A857" s="4464"/>
      <c r="B857" s="4488"/>
      <c r="C857" s="4540"/>
      <c r="D857" s="3253">
        <v>50000000</v>
      </c>
      <c r="E857" s="3250">
        <v>0.08</v>
      </c>
      <c r="F857" s="3253">
        <f>D857*E857</f>
        <v>4000000</v>
      </c>
      <c r="G857" s="3894">
        <v>100000000</v>
      </c>
      <c r="H857" s="3894" t="s">
        <v>5361</v>
      </c>
      <c r="I857" s="3894" t="s">
        <v>2686</v>
      </c>
      <c r="J857" s="3894">
        <f>G857</f>
        <v>100000000</v>
      </c>
      <c r="K857" s="4604"/>
      <c r="L857" s="4676"/>
      <c r="M857" s="386"/>
      <c r="N857" s="386"/>
      <c r="O857" s="386"/>
      <c r="P857" s="386"/>
      <c r="Q857" s="386"/>
    </row>
    <row r="858" spans="1:17" ht="30" customHeight="1" x14ac:dyDescent="0.2">
      <c r="A858" s="4464"/>
      <c r="B858" s="4488"/>
      <c r="C858" s="4540"/>
      <c r="D858" s="4939">
        <f>D856+D857</f>
        <v>15430000000</v>
      </c>
      <c r="E858" s="4940"/>
      <c r="F858" s="3253">
        <f>F856+F857</f>
        <v>1012250000</v>
      </c>
      <c r="G858" s="4325" t="s">
        <v>5657</v>
      </c>
      <c r="H858" s="4326"/>
      <c r="I858" s="4326"/>
      <c r="J858" s="4563"/>
      <c r="K858" s="3533"/>
      <c r="L858" s="3533"/>
      <c r="M858" s="386"/>
      <c r="N858" s="386"/>
      <c r="O858" s="386"/>
      <c r="P858" s="386"/>
      <c r="Q858" s="386"/>
    </row>
    <row r="859" spans="1:17" ht="30" customHeight="1" x14ac:dyDescent="0.2">
      <c r="A859" s="4464"/>
      <c r="B859" s="4488"/>
      <c r="C859" s="4540"/>
      <c r="D859" s="3937">
        <v>820000000</v>
      </c>
      <c r="E859" s="3936">
        <v>0.08</v>
      </c>
      <c r="F859" s="3937">
        <f>D859*E859</f>
        <v>65600000</v>
      </c>
      <c r="G859" s="4469" t="s">
        <v>5655</v>
      </c>
      <c r="H859" s="4470"/>
      <c r="I859" s="4470"/>
      <c r="J859" s="4471"/>
      <c r="K859" s="4603"/>
      <c r="L859" s="387" t="s">
        <v>5654</v>
      </c>
      <c r="M859" s="386"/>
      <c r="N859" s="386"/>
      <c r="O859" s="386"/>
      <c r="P859" s="386"/>
      <c r="Q859" s="386"/>
    </row>
    <row r="860" spans="1:17" ht="30" customHeight="1" x14ac:dyDescent="0.2">
      <c r="A860" s="4464"/>
      <c r="B860" s="4488"/>
      <c r="C860" s="4540"/>
      <c r="D860" s="5156">
        <f>D858+D859</f>
        <v>16250000000</v>
      </c>
      <c r="E860" s="5157"/>
      <c r="F860" s="5160">
        <f>F858+F859</f>
        <v>1077850000</v>
      </c>
      <c r="G860" s="4469" t="s">
        <v>5656</v>
      </c>
      <c r="H860" s="4470"/>
      <c r="I860" s="4470"/>
      <c r="J860" s="4471"/>
      <c r="K860" s="4609"/>
      <c r="L860" s="387"/>
      <c r="M860" s="386"/>
      <c r="N860" s="386"/>
      <c r="O860" s="386"/>
      <c r="P860" s="386"/>
      <c r="Q860" s="386"/>
    </row>
    <row r="861" spans="1:17" ht="30" customHeight="1" x14ac:dyDescent="0.2">
      <c r="A861" s="4464"/>
      <c r="B861" s="4488"/>
      <c r="C861" s="4540"/>
      <c r="D861" s="5158"/>
      <c r="E861" s="5159"/>
      <c r="F861" s="5161"/>
      <c r="G861" s="4469" t="s">
        <v>5660</v>
      </c>
      <c r="H861" s="4470"/>
      <c r="I861" s="4470"/>
      <c r="J861" s="4471"/>
      <c r="K861" s="4604"/>
      <c r="L861" s="3916" t="s">
        <v>4908</v>
      </c>
      <c r="M861" s="386"/>
      <c r="N861" s="386"/>
      <c r="O861" s="386"/>
      <c r="P861" s="386"/>
      <c r="Q861" s="386"/>
    </row>
    <row r="862" spans="1:17" ht="30" customHeight="1" x14ac:dyDescent="0.2">
      <c r="A862" s="4460"/>
      <c r="B862" s="4458"/>
      <c r="C862" s="4538"/>
      <c r="D862" s="3894"/>
      <c r="E862" s="3914"/>
      <c r="F862" s="3898"/>
      <c r="G862" s="3903"/>
      <c r="H862" s="3904"/>
      <c r="I862" s="3904"/>
      <c r="J862" s="3905"/>
      <c r="K862" s="3911"/>
      <c r="L862" s="3910"/>
      <c r="M862" s="386"/>
      <c r="N862" s="386"/>
      <c r="O862" s="386"/>
      <c r="P862" s="386"/>
      <c r="Q862" s="386"/>
    </row>
    <row r="863" spans="1:17" ht="30" customHeight="1" x14ac:dyDescent="0.2">
      <c r="A863" s="3538"/>
      <c r="B863" s="3539" t="s">
        <v>2622</v>
      </c>
      <c r="C863" s="3541"/>
      <c r="D863" s="3524">
        <v>160000000</v>
      </c>
      <c r="E863" s="3535">
        <v>0.05</v>
      </c>
      <c r="F863" s="3524">
        <f t="shared" ref="F863:F873" si="81">D863*E863</f>
        <v>8000000</v>
      </c>
      <c r="G863" s="3524">
        <v>8000000</v>
      </c>
      <c r="H863" s="3524" t="s">
        <v>3978</v>
      </c>
      <c r="I863" s="2696" t="s">
        <v>4366</v>
      </c>
      <c r="J863" s="3524">
        <f>G863</f>
        <v>8000000</v>
      </c>
      <c r="K863" s="3488">
        <f>F863-J863</f>
        <v>0</v>
      </c>
      <c r="L863" s="3567"/>
      <c r="M863" s="386"/>
      <c r="N863" s="386"/>
      <c r="O863" s="386"/>
      <c r="P863" s="386"/>
      <c r="Q863" s="386"/>
    </row>
    <row r="864" spans="1:17" ht="30" customHeight="1" x14ac:dyDescent="0.2">
      <c r="A864" s="3538"/>
      <c r="B864" s="3539" t="s">
        <v>2639</v>
      </c>
      <c r="C864" s="3515" t="s">
        <v>1172</v>
      </c>
      <c r="D864" s="3493">
        <v>80000000</v>
      </c>
      <c r="E864" s="3535">
        <v>0.05</v>
      </c>
      <c r="F864" s="3493">
        <f t="shared" si="81"/>
        <v>4000000</v>
      </c>
      <c r="G864" s="3493">
        <v>4000000</v>
      </c>
      <c r="H864" s="3493" t="s">
        <v>2019</v>
      </c>
      <c r="I864" s="473" t="s">
        <v>4021</v>
      </c>
      <c r="J864" s="3493">
        <f t="shared" ref="J864:J887" si="82">G864</f>
        <v>4000000</v>
      </c>
      <c r="K864" s="3533">
        <f t="shared" ref="K864:K888" si="83">F864-J864</f>
        <v>0</v>
      </c>
      <c r="L864" s="3567"/>
      <c r="M864" s="386"/>
      <c r="N864" s="386"/>
      <c r="O864" s="386"/>
      <c r="P864" s="386"/>
      <c r="Q864" s="386"/>
    </row>
    <row r="865" spans="1:17" ht="30" customHeight="1" x14ac:dyDescent="0.2">
      <c r="A865" s="3538"/>
      <c r="B865" s="3539" t="s">
        <v>4022</v>
      </c>
      <c r="C865" s="3515" t="s">
        <v>1172</v>
      </c>
      <c r="D865" s="3493">
        <v>100000000</v>
      </c>
      <c r="E865" s="3535">
        <v>0.05</v>
      </c>
      <c r="F865" s="3493">
        <f t="shared" si="81"/>
        <v>5000000</v>
      </c>
      <c r="G865" s="3493">
        <v>5000000</v>
      </c>
      <c r="H865" s="3493" t="s">
        <v>2019</v>
      </c>
      <c r="I865" s="473" t="s">
        <v>4065</v>
      </c>
      <c r="J865" s="3493">
        <f>G865</f>
        <v>5000000</v>
      </c>
      <c r="K865" s="3533">
        <f>F865-J865</f>
        <v>0</v>
      </c>
      <c r="L865" s="3567"/>
      <c r="M865" s="386"/>
      <c r="N865" s="386"/>
      <c r="O865" s="386"/>
      <c r="P865" s="386"/>
      <c r="Q865" s="386"/>
    </row>
    <row r="866" spans="1:17" ht="30" customHeight="1" x14ac:dyDescent="0.2">
      <c r="A866" s="4459"/>
      <c r="B866" s="4457" t="s">
        <v>3998</v>
      </c>
      <c r="C866" s="4537" t="s">
        <v>1652</v>
      </c>
      <c r="D866" s="4413">
        <v>25000000</v>
      </c>
      <c r="E866" s="4476">
        <v>0.04</v>
      </c>
      <c r="F866" s="4413">
        <f t="shared" si="81"/>
        <v>1000000</v>
      </c>
      <c r="G866" s="3524">
        <v>100000</v>
      </c>
      <c r="H866" s="3524" t="s">
        <v>1649</v>
      </c>
      <c r="I866" s="2696" t="s">
        <v>2651</v>
      </c>
      <c r="J866" s="4413">
        <f>G866+G867</f>
        <v>1000000</v>
      </c>
      <c r="K866" s="4603">
        <f t="shared" si="83"/>
        <v>0</v>
      </c>
      <c r="L866" s="3567"/>
      <c r="M866" s="386"/>
      <c r="N866" s="386"/>
      <c r="O866" s="386"/>
      <c r="P866" s="386"/>
      <c r="Q866" s="386"/>
    </row>
    <row r="867" spans="1:17" ht="30" customHeight="1" x14ac:dyDescent="0.2">
      <c r="A867" s="4460"/>
      <c r="B867" s="4458"/>
      <c r="C867" s="4538"/>
      <c r="D867" s="4415"/>
      <c r="E867" s="4477"/>
      <c r="F867" s="4415"/>
      <c r="G867" s="3712">
        <v>900000</v>
      </c>
      <c r="H867" s="3712">
        <v>900000</v>
      </c>
      <c r="I867" s="2696" t="s">
        <v>2019</v>
      </c>
      <c r="J867" s="4415"/>
      <c r="K867" s="4604"/>
      <c r="L867" s="3721"/>
      <c r="M867" s="386"/>
      <c r="N867" s="386"/>
      <c r="O867" s="386"/>
      <c r="P867" s="386"/>
      <c r="Q867" s="386"/>
    </row>
    <row r="868" spans="1:17" ht="30" customHeight="1" x14ac:dyDescent="0.2">
      <c r="A868" s="4459"/>
      <c r="B868" s="4474" t="s">
        <v>2692</v>
      </c>
      <c r="C868" s="4537" t="s">
        <v>371</v>
      </c>
      <c r="D868" s="3524">
        <v>200000000</v>
      </c>
      <c r="E868" s="3535">
        <v>7.0000000000000007E-2</v>
      </c>
      <c r="F868" s="3592">
        <f t="shared" si="81"/>
        <v>14000000.000000002</v>
      </c>
      <c r="G868" s="4922"/>
      <c r="H868" s="4923"/>
      <c r="I868" s="4923"/>
      <c r="J868" s="4924"/>
      <c r="K868" s="387"/>
      <c r="L868" s="3567"/>
      <c r="M868" s="386"/>
      <c r="N868" s="386"/>
      <c r="O868" s="386"/>
      <c r="P868" s="386"/>
      <c r="Q868" s="386"/>
    </row>
    <row r="869" spans="1:17" ht="30" customHeight="1" x14ac:dyDescent="0.2">
      <c r="A869" s="4464"/>
      <c r="B869" s="4487"/>
      <c r="C869" s="4540"/>
      <c r="D869" s="3491">
        <v>14000000</v>
      </c>
      <c r="E869" s="3535">
        <v>7.0000000000000007E-2</v>
      </c>
      <c r="F869" s="3592">
        <f t="shared" si="81"/>
        <v>980000.00000000012</v>
      </c>
      <c r="G869" s="4922" t="s">
        <v>4286</v>
      </c>
      <c r="H869" s="4923"/>
      <c r="I869" s="4923"/>
      <c r="J869" s="4924"/>
      <c r="K869" s="387"/>
      <c r="L869" s="3554"/>
      <c r="M869" s="386"/>
      <c r="N869" s="386"/>
      <c r="O869" s="386"/>
      <c r="P869" s="386"/>
      <c r="Q869" s="386"/>
    </row>
    <row r="870" spans="1:17" ht="30" customHeight="1" x14ac:dyDescent="0.2">
      <c r="A870" s="4464"/>
      <c r="B870" s="4487"/>
      <c r="C870" s="4540"/>
      <c r="D870" s="3491">
        <v>100000000</v>
      </c>
      <c r="E870" s="3535">
        <v>7.0000000000000007E-2</v>
      </c>
      <c r="F870" s="3524">
        <f t="shared" si="81"/>
        <v>7000000.0000000009</v>
      </c>
      <c r="G870" s="4922" t="s">
        <v>4715</v>
      </c>
      <c r="H870" s="4923"/>
      <c r="I870" s="4923"/>
      <c r="J870" s="4924"/>
      <c r="K870" s="387"/>
      <c r="L870" s="2728" t="s">
        <v>4717</v>
      </c>
      <c r="M870" s="386"/>
      <c r="N870" s="386"/>
      <c r="O870" s="386"/>
      <c r="P870" s="386"/>
      <c r="Q870" s="386"/>
    </row>
    <row r="871" spans="1:17" ht="30" customHeight="1" x14ac:dyDescent="0.2">
      <c r="A871" s="4464"/>
      <c r="B871" s="4487"/>
      <c r="C871" s="4540"/>
      <c r="D871" s="3491">
        <v>145000000</v>
      </c>
      <c r="E871" s="3535">
        <v>7.0000000000000007E-2</v>
      </c>
      <c r="F871" s="3524">
        <f t="shared" si="81"/>
        <v>10150000.000000002</v>
      </c>
      <c r="G871" s="4922" t="s">
        <v>4800</v>
      </c>
      <c r="H871" s="4923"/>
      <c r="I871" s="4923"/>
      <c r="J871" s="4924"/>
      <c r="K871" s="387"/>
      <c r="L871" s="2728" t="s">
        <v>4999</v>
      </c>
      <c r="M871" s="386"/>
      <c r="N871" s="386"/>
      <c r="O871" s="386"/>
      <c r="P871" s="386"/>
      <c r="Q871" s="386"/>
    </row>
    <row r="872" spans="1:17" ht="30" customHeight="1" x14ac:dyDescent="0.2">
      <c r="A872" s="4464"/>
      <c r="B872" s="4487"/>
      <c r="C872" s="4540"/>
      <c r="D872" s="3491">
        <v>6000000</v>
      </c>
      <c r="E872" s="3535">
        <v>7.0000000000000007E-2</v>
      </c>
      <c r="F872" s="3524">
        <f t="shared" si="81"/>
        <v>420000.00000000006</v>
      </c>
      <c r="G872" s="4922" t="s">
        <v>4719</v>
      </c>
      <c r="H872" s="4923"/>
      <c r="I872" s="4923"/>
      <c r="J872" s="4924"/>
      <c r="K872" s="387"/>
      <c r="L872" s="2728" t="s">
        <v>4720</v>
      </c>
      <c r="M872" s="386"/>
      <c r="N872" s="386"/>
      <c r="O872" s="386"/>
      <c r="P872" s="386"/>
      <c r="Q872" s="386"/>
    </row>
    <row r="873" spans="1:17" ht="30" customHeight="1" x14ac:dyDescent="0.2">
      <c r="A873" s="4464"/>
      <c r="B873" s="4487"/>
      <c r="C873" s="4540"/>
      <c r="D873" s="3491">
        <v>35000000</v>
      </c>
      <c r="E873" s="3535">
        <v>7.0000000000000007E-2</v>
      </c>
      <c r="F873" s="3524">
        <f t="shared" si="81"/>
        <v>2450000.0000000005</v>
      </c>
      <c r="G873" s="4922" t="s">
        <v>4801</v>
      </c>
      <c r="H873" s="4923"/>
      <c r="I873" s="4923"/>
      <c r="J873" s="4924"/>
      <c r="K873" s="387"/>
      <c r="L873" s="2728" t="s">
        <v>5000</v>
      </c>
      <c r="M873" s="386"/>
      <c r="N873" s="386"/>
      <c r="O873" s="386"/>
      <c r="P873" s="386"/>
      <c r="Q873" s="386"/>
    </row>
    <row r="874" spans="1:17" ht="30" customHeight="1" x14ac:dyDescent="0.2">
      <c r="A874" s="4464"/>
      <c r="B874" s="4487"/>
      <c r="C874" s="4540"/>
      <c r="D874" s="4413">
        <v>500000000</v>
      </c>
      <c r="E874" s="4476">
        <v>7.0000000000000007E-2</v>
      </c>
      <c r="F874" s="4861">
        <f>F868+F869+4900000+5750000+294000+1550000</f>
        <v>27474000</v>
      </c>
      <c r="G874" s="4959" t="s">
        <v>4716</v>
      </c>
      <c r="H874" s="4960"/>
      <c r="I874" s="4960"/>
      <c r="J874" s="4961"/>
      <c r="K874" s="4332">
        <f>F874-J875</f>
        <v>27474000</v>
      </c>
      <c r="L874" s="4675" t="s">
        <v>4907</v>
      </c>
      <c r="M874" s="386"/>
      <c r="N874" s="386"/>
      <c r="O874" s="386"/>
      <c r="P874" s="386"/>
      <c r="Q874" s="386"/>
    </row>
    <row r="875" spans="1:17" ht="30" customHeight="1" x14ac:dyDescent="0.2">
      <c r="A875" s="4464"/>
      <c r="B875" s="4487"/>
      <c r="C875" s="4540"/>
      <c r="D875" s="4415"/>
      <c r="E875" s="4477"/>
      <c r="F875" s="4863"/>
      <c r="G875" s="3209"/>
      <c r="H875" s="3209"/>
      <c r="I875" s="3209" t="s">
        <v>5095</v>
      </c>
      <c r="J875" s="3209">
        <f>G875</f>
        <v>0</v>
      </c>
      <c r="K875" s="4332"/>
      <c r="L875" s="4676"/>
      <c r="M875" s="386"/>
      <c r="N875" s="386"/>
      <c r="O875" s="386"/>
      <c r="P875" s="386"/>
      <c r="Q875" s="386"/>
    </row>
    <row r="876" spans="1:17" ht="30" customHeight="1" x14ac:dyDescent="0.2">
      <c r="A876" s="4464"/>
      <c r="B876" s="4487"/>
      <c r="C876" s="4540"/>
      <c r="D876" s="3581">
        <v>500000000</v>
      </c>
      <c r="E876" s="3583">
        <v>7.0000000000000007E-2</v>
      </c>
      <c r="F876" s="3581">
        <f t="shared" ref="F876:F882" si="84">D876*E876</f>
        <v>35000000</v>
      </c>
      <c r="G876" s="4967" t="s">
        <v>4718</v>
      </c>
      <c r="H876" s="4968"/>
      <c r="I876" s="4968"/>
      <c r="J876" s="4969"/>
      <c r="K876" s="387"/>
      <c r="L876" s="3968" t="s">
        <v>5722</v>
      </c>
      <c r="M876" s="386"/>
      <c r="N876" s="386"/>
      <c r="O876" s="386"/>
      <c r="P876" s="386"/>
      <c r="Q876" s="386"/>
    </row>
    <row r="877" spans="1:17" ht="30" customHeight="1" x14ac:dyDescent="0.2">
      <c r="A877" s="3760"/>
      <c r="B877" s="3" t="s">
        <v>5723</v>
      </c>
      <c r="C877" s="3759" t="s">
        <v>371</v>
      </c>
      <c r="D877" s="1456">
        <v>40000000</v>
      </c>
      <c r="E877" s="1931">
        <v>7.0000000000000007E-2</v>
      </c>
      <c r="F877" s="1456">
        <f t="shared" si="84"/>
        <v>2800000.0000000005</v>
      </c>
      <c r="G877" s="3772"/>
      <c r="H877" s="3772"/>
      <c r="I877" s="3772"/>
      <c r="J877" s="3772"/>
      <c r="K877" s="899"/>
      <c r="L877" s="3965" t="s">
        <v>5509</v>
      </c>
      <c r="M877" s="386"/>
      <c r="N877" s="386"/>
      <c r="O877" s="386"/>
      <c r="P877" s="386"/>
      <c r="Q877" s="386"/>
    </row>
    <row r="878" spans="1:17" ht="30" customHeight="1" x14ac:dyDescent="0.2">
      <c r="A878" s="3956"/>
      <c r="B878" s="3955" t="s">
        <v>5736</v>
      </c>
      <c r="C878" s="3959" t="s">
        <v>3007</v>
      </c>
      <c r="D878" s="1456">
        <v>130000000</v>
      </c>
      <c r="E878" s="1931">
        <v>0.05</v>
      </c>
      <c r="F878" s="1456">
        <f t="shared" si="84"/>
        <v>6500000</v>
      </c>
      <c r="G878" s="3996"/>
      <c r="H878" s="3996"/>
      <c r="I878" s="3996"/>
      <c r="J878" s="3996"/>
      <c r="K878" s="899"/>
      <c r="L878" s="3994" t="s">
        <v>5735</v>
      </c>
      <c r="M878" s="386"/>
      <c r="N878" s="386"/>
      <c r="O878" s="386"/>
      <c r="P878" s="386"/>
      <c r="Q878" s="386"/>
    </row>
    <row r="879" spans="1:17" ht="30" customHeight="1" x14ac:dyDescent="0.2">
      <c r="A879" s="4459"/>
      <c r="B879" s="4474" t="s">
        <v>4701</v>
      </c>
      <c r="C879" s="4537" t="s">
        <v>371</v>
      </c>
      <c r="D879" s="3524">
        <v>183930000</v>
      </c>
      <c r="E879" s="3535">
        <v>7.0000000000000007E-2</v>
      </c>
      <c r="F879" s="3524">
        <f t="shared" si="84"/>
        <v>12875100.000000002</v>
      </c>
      <c r="G879" s="3524"/>
      <c r="H879" s="639"/>
      <c r="I879" s="639" t="s">
        <v>5089</v>
      </c>
      <c r="J879" s="639">
        <f>G879</f>
        <v>0</v>
      </c>
      <c r="K879" s="3533"/>
      <c r="L879" s="4675" t="s">
        <v>4702</v>
      </c>
      <c r="M879" s="386"/>
      <c r="N879" s="386"/>
      <c r="O879" s="386"/>
      <c r="P879" s="386"/>
      <c r="Q879" s="386"/>
    </row>
    <row r="880" spans="1:17" ht="30" customHeight="1" x14ac:dyDescent="0.2">
      <c r="A880" s="4464"/>
      <c r="B880" s="4487"/>
      <c r="C880" s="4540"/>
      <c r="D880" s="3524">
        <v>183000000</v>
      </c>
      <c r="E880" s="3535">
        <v>7.0000000000000007E-2</v>
      </c>
      <c r="F880" s="3524">
        <f t="shared" si="84"/>
        <v>12810000.000000002</v>
      </c>
      <c r="G880" s="4413">
        <v>28000000</v>
      </c>
      <c r="H880" s="5100" t="s">
        <v>5593</v>
      </c>
      <c r="I880" s="5100" t="s">
        <v>5594</v>
      </c>
      <c r="J880" s="4413">
        <f>G880</f>
        <v>28000000</v>
      </c>
      <c r="K880" s="4332">
        <f>F882-J880</f>
        <v>0</v>
      </c>
      <c r="L880" s="4676"/>
      <c r="M880" s="386"/>
      <c r="N880" s="386"/>
      <c r="O880" s="386"/>
      <c r="P880" s="386"/>
      <c r="Q880" s="386"/>
    </row>
    <row r="881" spans="1:17" ht="30" customHeight="1" x14ac:dyDescent="0.2">
      <c r="A881" s="4464"/>
      <c r="B881" s="4487"/>
      <c r="C881" s="4540"/>
      <c r="D881" s="3524">
        <v>33070000</v>
      </c>
      <c r="E881" s="3535">
        <v>7.0000000000000007E-2</v>
      </c>
      <c r="F881" s="3524">
        <f t="shared" si="84"/>
        <v>2314900</v>
      </c>
      <c r="G881" s="4414"/>
      <c r="H881" s="5100"/>
      <c r="I881" s="5100"/>
      <c r="J881" s="4414"/>
      <c r="K881" s="4332"/>
      <c r="L881" s="3597" t="s">
        <v>4963</v>
      </c>
      <c r="M881" s="386"/>
      <c r="N881" s="386"/>
      <c r="O881" s="386"/>
      <c r="P881" s="386"/>
      <c r="Q881" s="386"/>
    </row>
    <row r="882" spans="1:17" ht="30" customHeight="1" x14ac:dyDescent="0.2">
      <c r="A882" s="4460"/>
      <c r="B882" s="4475"/>
      <c r="C882" s="4538"/>
      <c r="D882" s="3490">
        <v>400000000</v>
      </c>
      <c r="E882" s="436">
        <v>7.0000000000000007E-2</v>
      </c>
      <c r="F882" s="3490">
        <f t="shared" si="84"/>
        <v>28000000.000000004</v>
      </c>
      <c r="G882" s="4415"/>
      <c r="H882" s="5100"/>
      <c r="I882" s="5100"/>
      <c r="J882" s="4415"/>
      <c r="K882" s="4332"/>
      <c r="L882" s="3807" t="s">
        <v>5090</v>
      </c>
      <c r="M882" s="386"/>
      <c r="N882" s="386"/>
      <c r="O882" s="386"/>
      <c r="P882" s="386"/>
      <c r="Q882" s="386"/>
    </row>
    <row r="883" spans="1:17" ht="30" customHeight="1" x14ac:dyDescent="0.2">
      <c r="A883" s="3538"/>
      <c r="B883" s="3539" t="s">
        <v>2702</v>
      </c>
      <c r="C883" s="3515" t="s">
        <v>262</v>
      </c>
      <c r="D883" s="3493">
        <v>30000000</v>
      </c>
      <c r="E883" s="3535">
        <v>0.05</v>
      </c>
      <c r="F883" s="3493">
        <f t="shared" ref="F883:F888" si="85">D883*E883</f>
        <v>1500000</v>
      </c>
      <c r="G883" s="3524">
        <v>1500000</v>
      </c>
      <c r="H883" s="3524" t="s">
        <v>3978</v>
      </c>
      <c r="I883" s="3524" t="s">
        <v>3536</v>
      </c>
      <c r="J883" s="3524">
        <f t="shared" si="82"/>
        <v>1500000</v>
      </c>
      <c r="K883" s="3533">
        <f t="shared" si="83"/>
        <v>0</v>
      </c>
      <c r="L883" s="3567"/>
      <c r="M883" s="386"/>
      <c r="N883" s="386"/>
      <c r="O883" s="386"/>
      <c r="P883" s="386"/>
      <c r="Q883" s="386"/>
    </row>
    <row r="884" spans="1:17" ht="30" customHeight="1" x14ac:dyDescent="0.2">
      <c r="A884" s="3538"/>
      <c r="B884" s="3539" t="s">
        <v>2727</v>
      </c>
      <c r="C884" s="3515" t="s">
        <v>392</v>
      </c>
      <c r="D884" s="3493">
        <v>140000000</v>
      </c>
      <c r="E884" s="3535">
        <v>7.0000000000000007E-2</v>
      </c>
      <c r="F884" s="3493">
        <f t="shared" si="85"/>
        <v>9800000.0000000019</v>
      </c>
      <c r="G884" s="3524">
        <v>9800000</v>
      </c>
      <c r="H884" s="3524" t="s">
        <v>1649</v>
      </c>
      <c r="I884" s="3524" t="s">
        <v>5476</v>
      </c>
      <c r="J884" s="3524">
        <f t="shared" si="82"/>
        <v>9800000</v>
      </c>
      <c r="K884" s="3533">
        <f t="shared" si="83"/>
        <v>0</v>
      </c>
      <c r="L884" s="3567"/>
      <c r="M884" s="386"/>
      <c r="N884" s="386"/>
      <c r="O884" s="386"/>
      <c r="P884" s="386"/>
      <c r="Q884" s="386"/>
    </row>
    <row r="885" spans="1:17" ht="30" customHeight="1" x14ac:dyDescent="0.2">
      <c r="A885" s="3538"/>
      <c r="B885" s="3539" t="s">
        <v>2735</v>
      </c>
      <c r="C885" s="3515" t="s">
        <v>889</v>
      </c>
      <c r="D885" s="3493">
        <v>85000000</v>
      </c>
      <c r="E885" s="3535">
        <v>0.05</v>
      </c>
      <c r="F885" s="3493">
        <f t="shared" si="85"/>
        <v>4250000</v>
      </c>
      <c r="G885" s="3524">
        <v>4250000</v>
      </c>
      <c r="H885" s="3524" t="s">
        <v>5437</v>
      </c>
      <c r="I885" s="2696" t="s">
        <v>3529</v>
      </c>
      <c r="J885" s="3524">
        <f t="shared" si="82"/>
        <v>4250000</v>
      </c>
      <c r="K885" s="3533">
        <f t="shared" si="83"/>
        <v>0</v>
      </c>
      <c r="L885" s="3567"/>
      <c r="M885" s="386"/>
      <c r="N885" s="386"/>
      <c r="O885" s="386"/>
      <c r="P885" s="386"/>
      <c r="Q885" s="386"/>
    </row>
    <row r="886" spans="1:17" ht="30" customHeight="1" x14ac:dyDescent="0.2">
      <c r="A886" s="3538"/>
      <c r="B886" s="3539" t="s">
        <v>3534</v>
      </c>
      <c r="C886" s="3515" t="s">
        <v>372</v>
      </c>
      <c r="D886" s="3493">
        <v>50000000</v>
      </c>
      <c r="E886" s="3535">
        <v>0.05</v>
      </c>
      <c r="F886" s="3493">
        <f t="shared" si="85"/>
        <v>2500000</v>
      </c>
      <c r="G886" s="3524">
        <v>2500000</v>
      </c>
      <c r="H886" s="3524" t="s">
        <v>3978</v>
      </c>
      <c r="I886" s="3524" t="s">
        <v>4093</v>
      </c>
      <c r="J886" s="3524">
        <f t="shared" si="82"/>
        <v>2500000</v>
      </c>
      <c r="K886" s="3533">
        <f t="shared" si="83"/>
        <v>0</v>
      </c>
      <c r="L886" s="3567"/>
      <c r="M886" s="386"/>
      <c r="N886" s="386"/>
      <c r="O886" s="386"/>
      <c r="P886" s="386"/>
      <c r="Q886" s="386"/>
    </row>
    <row r="887" spans="1:17" ht="30" customHeight="1" x14ac:dyDescent="0.2">
      <c r="A887" s="3538"/>
      <c r="B887" s="3539" t="s">
        <v>2738</v>
      </c>
      <c r="C887" s="3515" t="s">
        <v>372</v>
      </c>
      <c r="D887" s="3493">
        <v>25000000</v>
      </c>
      <c r="E887" s="3535">
        <v>0.05</v>
      </c>
      <c r="F887" s="3493">
        <f t="shared" si="85"/>
        <v>1250000</v>
      </c>
      <c r="G887" s="3524">
        <v>1250000</v>
      </c>
      <c r="H887" s="3524" t="s">
        <v>5370</v>
      </c>
      <c r="I887" s="3524" t="s">
        <v>4018</v>
      </c>
      <c r="J887" s="3524">
        <f t="shared" si="82"/>
        <v>1250000</v>
      </c>
      <c r="K887" s="3533">
        <f t="shared" si="83"/>
        <v>0</v>
      </c>
      <c r="L887" s="3567"/>
      <c r="M887" s="386"/>
      <c r="N887" s="386"/>
      <c r="O887" s="386"/>
      <c r="P887" s="386"/>
      <c r="Q887" s="386"/>
    </row>
    <row r="888" spans="1:17" ht="30" customHeight="1" x14ac:dyDescent="0.2">
      <c r="A888" s="4459"/>
      <c r="B888" s="4457" t="s">
        <v>2767</v>
      </c>
      <c r="C888" s="4537"/>
      <c r="D888" s="3524">
        <v>300000000</v>
      </c>
      <c r="E888" s="3535">
        <v>5.5E-2</v>
      </c>
      <c r="F888" s="3524">
        <f t="shared" si="85"/>
        <v>16500000</v>
      </c>
      <c r="G888" s="3524"/>
      <c r="H888" s="3524"/>
      <c r="I888" s="3524" t="s">
        <v>3477</v>
      </c>
      <c r="J888" s="3524">
        <f>G888+G889</f>
        <v>0</v>
      </c>
      <c r="K888" s="3488">
        <f t="shared" si="83"/>
        <v>16500000</v>
      </c>
      <c r="L888" s="848"/>
      <c r="M888" s="386"/>
      <c r="N888" s="386"/>
      <c r="O888" s="386"/>
      <c r="P888" s="386"/>
      <c r="Q888" s="386"/>
    </row>
    <row r="889" spans="1:17" ht="30" customHeight="1" x14ac:dyDescent="0.2">
      <c r="A889" s="4464"/>
      <c r="B889" s="4488"/>
      <c r="C889" s="4540"/>
      <c r="D889" s="3493">
        <v>50000000</v>
      </c>
      <c r="E889" s="3499"/>
      <c r="F889" s="3493"/>
      <c r="G889" s="3493"/>
      <c r="H889" s="3493"/>
      <c r="I889" s="3493"/>
      <c r="J889" s="3493"/>
      <c r="K889" s="3533"/>
      <c r="L889" s="3597" t="s">
        <v>5192</v>
      </c>
      <c r="M889" s="386"/>
      <c r="N889" s="386"/>
      <c r="O889" s="386"/>
      <c r="P889" s="386"/>
      <c r="Q889" s="386"/>
    </row>
    <row r="890" spans="1:17" ht="30" customHeight="1" x14ac:dyDescent="0.2">
      <c r="A890" s="4464"/>
      <c r="B890" s="4488"/>
      <c r="C890" s="4540"/>
      <c r="D890" s="3493">
        <v>100000000</v>
      </c>
      <c r="E890" s="3499"/>
      <c r="F890" s="3493"/>
      <c r="G890" s="3493"/>
      <c r="H890" s="3493"/>
      <c r="I890" s="3493"/>
      <c r="J890" s="3493"/>
      <c r="K890" s="3533"/>
      <c r="L890" s="3597" t="s">
        <v>5193</v>
      </c>
      <c r="M890" s="386"/>
      <c r="N890" s="386"/>
      <c r="O890" s="386"/>
      <c r="P890" s="386"/>
      <c r="Q890" s="386"/>
    </row>
    <row r="891" spans="1:17" ht="30" customHeight="1" x14ac:dyDescent="0.2">
      <c r="A891" s="4464"/>
      <c r="B891" s="4488"/>
      <c r="C891" s="4540"/>
      <c r="D891" s="3493">
        <v>200000000</v>
      </c>
      <c r="E891" s="3499"/>
      <c r="F891" s="3493"/>
      <c r="G891" s="3493"/>
      <c r="H891" s="3493"/>
      <c r="I891" s="3493"/>
      <c r="J891" s="3493"/>
      <c r="K891" s="3533"/>
      <c r="L891" s="3597" t="s">
        <v>5194</v>
      </c>
      <c r="M891" s="386"/>
      <c r="N891" s="386"/>
      <c r="O891" s="386"/>
      <c r="P891" s="386"/>
      <c r="Q891" s="386"/>
    </row>
    <row r="892" spans="1:17" ht="30" customHeight="1" x14ac:dyDescent="0.2">
      <c r="A892" s="4460"/>
      <c r="B892" s="4458"/>
      <c r="C892" s="4538"/>
      <c r="D892" s="3582">
        <f>SUM(D888:D891)</f>
        <v>650000000</v>
      </c>
      <c r="E892" s="3584">
        <v>5.5E-2</v>
      </c>
      <c r="F892" s="3582">
        <v>36000000</v>
      </c>
      <c r="G892" s="3493"/>
      <c r="H892" s="3493"/>
      <c r="I892" s="3493"/>
      <c r="J892" s="3493"/>
      <c r="K892" s="3533"/>
      <c r="L892" s="3597" t="s">
        <v>5195</v>
      </c>
      <c r="M892" s="386"/>
      <c r="N892" s="386"/>
      <c r="O892" s="386"/>
      <c r="P892" s="386"/>
      <c r="Q892" s="386"/>
    </row>
    <row r="893" spans="1:17" ht="30" customHeight="1" x14ac:dyDescent="0.2">
      <c r="A893" s="3538"/>
      <c r="B893" s="3539" t="s">
        <v>2799</v>
      </c>
      <c r="C893" s="3515"/>
      <c r="D893" s="3493">
        <v>85000000</v>
      </c>
      <c r="E893" s="3535"/>
      <c r="F893" s="3493"/>
      <c r="G893" s="3524"/>
      <c r="H893" s="3524"/>
      <c r="I893" s="3524"/>
      <c r="J893" s="3524"/>
      <c r="K893" s="3533"/>
      <c r="L893" s="3567" t="s">
        <v>2800</v>
      </c>
      <c r="M893" s="386"/>
      <c r="N893" s="386"/>
      <c r="O893" s="386"/>
      <c r="P893" s="386"/>
      <c r="Q893" s="386"/>
    </row>
    <row r="894" spans="1:17" ht="30" customHeight="1" x14ac:dyDescent="0.2">
      <c r="A894" s="3538"/>
      <c r="B894" s="3539" t="s">
        <v>2802</v>
      </c>
      <c r="C894" s="3515" t="s">
        <v>359</v>
      </c>
      <c r="D894" s="3493">
        <v>20000000</v>
      </c>
      <c r="E894" s="3535">
        <v>0.05</v>
      </c>
      <c r="F894" s="3493">
        <f t="shared" ref="F894:F903" si="86">D894*E894</f>
        <v>1000000</v>
      </c>
      <c r="G894" s="3524">
        <v>1000000</v>
      </c>
      <c r="H894" s="3524" t="s">
        <v>1879</v>
      </c>
      <c r="I894" s="3524" t="s">
        <v>3556</v>
      </c>
      <c r="J894" s="3524">
        <f>G894</f>
        <v>1000000</v>
      </c>
      <c r="K894" s="3533">
        <f>F894-J894</f>
        <v>0</v>
      </c>
      <c r="L894" s="3567"/>
      <c r="M894" s="386"/>
      <c r="N894" s="386"/>
      <c r="O894" s="386"/>
      <c r="P894" s="386"/>
      <c r="Q894" s="386"/>
    </row>
    <row r="895" spans="1:17" ht="30" customHeight="1" x14ac:dyDescent="0.2">
      <c r="A895" s="4459"/>
      <c r="B895" s="4457" t="s">
        <v>2904</v>
      </c>
      <c r="C895" s="4537" t="s">
        <v>1081</v>
      </c>
      <c r="D895" s="4413">
        <v>40000000</v>
      </c>
      <c r="E895" s="4476">
        <v>0.04</v>
      </c>
      <c r="F895" s="4413">
        <f t="shared" si="86"/>
        <v>1600000</v>
      </c>
      <c r="G895" s="3524"/>
      <c r="H895" s="3524"/>
      <c r="I895" s="3524" t="s">
        <v>4316</v>
      </c>
      <c r="J895" s="3524">
        <f>G895</f>
        <v>0</v>
      </c>
      <c r="K895" s="3533">
        <f>F895-J895</f>
        <v>1600000</v>
      </c>
      <c r="L895" s="3567" t="s">
        <v>4439</v>
      </c>
      <c r="M895" s="386"/>
      <c r="N895" s="386"/>
      <c r="O895" s="386"/>
      <c r="P895" s="386"/>
      <c r="Q895" s="386"/>
    </row>
    <row r="896" spans="1:17" ht="30" customHeight="1" x14ac:dyDescent="0.2">
      <c r="A896" s="4460"/>
      <c r="B896" s="4458"/>
      <c r="C896" s="4538"/>
      <c r="D896" s="4415"/>
      <c r="E896" s="4477"/>
      <c r="F896" s="4415"/>
      <c r="G896" s="3524"/>
      <c r="H896" s="3524"/>
      <c r="I896" s="3524" t="s">
        <v>4316</v>
      </c>
      <c r="J896" s="3524">
        <f>G896</f>
        <v>0</v>
      </c>
      <c r="K896" s="3533">
        <f>F895-J896</f>
        <v>1600000</v>
      </c>
      <c r="L896" s="3567" t="s">
        <v>4907</v>
      </c>
      <c r="M896" s="386"/>
      <c r="N896" s="386"/>
      <c r="O896" s="386"/>
      <c r="P896" s="386"/>
      <c r="Q896" s="386"/>
    </row>
    <row r="897" spans="1:17" ht="30" customHeight="1" x14ac:dyDescent="0.2">
      <c r="A897" s="4459"/>
      <c r="B897" s="4457" t="s">
        <v>2834</v>
      </c>
      <c r="C897" s="4537" t="s">
        <v>2849</v>
      </c>
      <c r="D897" s="3493">
        <v>20000000</v>
      </c>
      <c r="E897" s="3499">
        <v>0.05</v>
      </c>
      <c r="F897" s="3493">
        <f t="shared" si="86"/>
        <v>1000000</v>
      </c>
      <c r="G897" s="4413">
        <v>2000000</v>
      </c>
      <c r="H897" s="4413" t="s">
        <v>5604</v>
      </c>
      <c r="I897" s="4413" t="s">
        <v>4474</v>
      </c>
      <c r="J897" s="4413">
        <f>G897</f>
        <v>2000000</v>
      </c>
      <c r="K897" s="4603">
        <f>G897-J897</f>
        <v>0</v>
      </c>
      <c r="L897" s="3567"/>
      <c r="M897" s="386"/>
      <c r="N897" s="386"/>
      <c r="O897" s="386"/>
      <c r="P897" s="386"/>
      <c r="Q897" s="386"/>
    </row>
    <row r="898" spans="1:17" ht="30" customHeight="1" x14ac:dyDescent="0.2">
      <c r="A898" s="4460"/>
      <c r="B898" s="4458"/>
      <c r="C898" s="4538"/>
      <c r="D898" s="3493">
        <v>20000000</v>
      </c>
      <c r="E898" s="3499">
        <v>0.05</v>
      </c>
      <c r="F898" s="3493">
        <f t="shared" si="86"/>
        <v>1000000</v>
      </c>
      <c r="G898" s="4415"/>
      <c r="H898" s="4415"/>
      <c r="I898" s="4415"/>
      <c r="J898" s="4415"/>
      <c r="K898" s="4604"/>
      <c r="L898" s="3567" t="s">
        <v>5070</v>
      </c>
      <c r="M898" s="386"/>
      <c r="N898" s="386"/>
      <c r="O898" s="386"/>
      <c r="P898" s="386"/>
      <c r="Q898" s="386"/>
    </row>
    <row r="899" spans="1:17" ht="30" customHeight="1" x14ac:dyDescent="0.2">
      <c r="A899" s="4459"/>
      <c r="B899" s="4457" t="s">
        <v>2899</v>
      </c>
      <c r="C899" s="4537" t="s">
        <v>1718</v>
      </c>
      <c r="D899" s="3493">
        <v>400000000</v>
      </c>
      <c r="E899" s="3535">
        <v>7.0000000000000007E-2</v>
      </c>
      <c r="F899" s="3493">
        <f t="shared" si="86"/>
        <v>28000000.000000004</v>
      </c>
      <c r="G899" s="3493">
        <v>28000000</v>
      </c>
      <c r="H899" s="3493" t="s">
        <v>2019</v>
      </c>
      <c r="I899" s="3520" t="s">
        <v>2868</v>
      </c>
      <c r="J899" s="3493">
        <f t="shared" ref="J899:J913" si="87">G899</f>
        <v>28000000</v>
      </c>
      <c r="K899" s="3533">
        <f>F899-J899</f>
        <v>0</v>
      </c>
      <c r="L899" s="3566" t="s">
        <v>4696</v>
      </c>
      <c r="M899" s="386"/>
      <c r="N899" s="386"/>
      <c r="O899" s="386"/>
      <c r="P899" s="386"/>
      <c r="Q899" s="386"/>
    </row>
    <row r="900" spans="1:17" ht="30" customHeight="1" x14ac:dyDescent="0.2">
      <c r="A900" s="4464"/>
      <c r="B900" s="4488"/>
      <c r="C900" s="4538"/>
      <c r="D900" s="4413">
        <v>200000000</v>
      </c>
      <c r="E900" s="4476">
        <v>7.0000000000000007E-2</v>
      </c>
      <c r="F900" s="227">
        <f t="shared" si="86"/>
        <v>14000000.000000002</v>
      </c>
      <c r="G900" s="4325" t="s">
        <v>5956</v>
      </c>
      <c r="H900" s="4326"/>
      <c r="I900" s="4326"/>
      <c r="J900" s="4563"/>
      <c r="K900" s="4603"/>
      <c r="L900" s="4163" t="s">
        <v>5955</v>
      </c>
      <c r="M900" s="386"/>
      <c r="N900" s="386"/>
      <c r="O900" s="386"/>
      <c r="P900" s="386"/>
      <c r="Q900" s="386"/>
    </row>
    <row r="901" spans="1:17" ht="30" customHeight="1" x14ac:dyDescent="0.2">
      <c r="A901" s="4460"/>
      <c r="B901" s="4458"/>
      <c r="C901" s="4152"/>
      <c r="D901" s="4415"/>
      <c r="E901" s="4477"/>
      <c r="F901" s="7"/>
      <c r="G901" s="4564"/>
      <c r="H901" s="4596"/>
      <c r="I901" s="4596"/>
      <c r="J901" s="4565"/>
      <c r="K901" s="4604"/>
      <c r="L901" s="4163"/>
      <c r="M901" s="386"/>
      <c r="N901" s="386"/>
      <c r="O901" s="386"/>
      <c r="P901" s="386"/>
      <c r="Q901" s="386"/>
    </row>
    <row r="902" spans="1:17" ht="30" customHeight="1" x14ac:dyDescent="0.2">
      <c r="A902" s="3497"/>
      <c r="B902" s="3502" t="s">
        <v>4694</v>
      </c>
      <c r="C902" s="3515" t="s">
        <v>2278</v>
      </c>
      <c r="D902" s="3493">
        <v>100000000</v>
      </c>
      <c r="E902" s="3535">
        <v>7.0000000000000007E-2</v>
      </c>
      <c r="F902" s="3493">
        <f t="shared" si="86"/>
        <v>7000000.0000000009</v>
      </c>
      <c r="G902" s="4303" t="s">
        <v>5957</v>
      </c>
      <c r="H902" s="4324"/>
      <c r="I902" s="4324"/>
      <c r="J902" s="4355"/>
      <c r="K902" s="3533"/>
      <c r="L902" s="3566" t="s">
        <v>4695</v>
      </c>
      <c r="M902" s="386"/>
      <c r="N902" s="386"/>
      <c r="O902" s="386"/>
      <c r="P902" s="386"/>
      <c r="Q902" s="386"/>
    </row>
    <row r="903" spans="1:17" ht="30" customHeight="1" x14ac:dyDescent="0.2">
      <c r="A903" s="3538"/>
      <c r="B903" s="3502" t="s">
        <v>2206</v>
      </c>
      <c r="C903" s="3515" t="s">
        <v>1306</v>
      </c>
      <c r="D903" s="3493">
        <v>150000000</v>
      </c>
      <c r="E903" s="3535">
        <v>0.05</v>
      </c>
      <c r="F903" s="3493">
        <f t="shared" si="86"/>
        <v>7500000</v>
      </c>
      <c r="G903" s="3493">
        <v>7500000</v>
      </c>
      <c r="H903" s="3493" t="s">
        <v>5848</v>
      </c>
      <c r="I903" s="3520" t="s">
        <v>4541</v>
      </c>
      <c r="J903" s="3493">
        <f t="shared" si="87"/>
        <v>7500000</v>
      </c>
      <c r="K903" s="3533">
        <f>F903-J903</f>
        <v>0</v>
      </c>
      <c r="L903" s="3555"/>
      <c r="M903" s="386"/>
      <c r="N903" s="386"/>
      <c r="O903" s="386"/>
      <c r="P903" s="386"/>
      <c r="Q903" s="386"/>
    </row>
    <row r="904" spans="1:17" ht="30" customHeight="1" x14ac:dyDescent="0.2">
      <c r="A904" s="3538"/>
      <c r="B904" s="19" t="s">
        <v>180</v>
      </c>
      <c r="C904" s="3515" t="s">
        <v>2849</v>
      </c>
      <c r="D904" s="3493">
        <v>126000000</v>
      </c>
      <c r="E904" s="3535">
        <f>F904/D904</f>
        <v>0.05</v>
      </c>
      <c r="F904" s="3493">
        <v>6300000</v>
      </c>
      <c r="G904" s="3524">
        <v>6300000</v>
      </c>
      <c r="H904" s="3524" t="s">
        <v>5361</v>
      </c>
      <c r="I904" s="3524" t="s">
        <v>4882</v>
      </c>
      <c r="J904" s="3524">
        <f t="shared" si="87"/>
        <v>6300000</v>
      </c>
      <c r="K904" s="3533">
        <f t="shared" ref="K904:K911" si="88">F904-J904</f>
        <v>0</v>
      </c>
      <c r="L904" s="3567"/>
      <c r="M904" s="386"/>
      <c r="N904" s="386"/>
      <c r="O904" s="386"/>
      <c r="P904" s="386"/>
      <c r="Q904" s="386"/>
    </row>
    <row r="905" spans="1:17" ht="30" customHeight="1" x14ac:dyDescent="0.2">
      <c r="A905" s="3538"/>
      <c r="B905" s="19" t="s">
        <v>4697</v>
      </c>
      <c r="C905" s="3515" t="s">
        <v>989</v>
      </c>
      <c r="D905" s="3493">
        <v>50000000</v>
      </c>
      <c r="E905" s="3535">
        <v>0.05</v>
      </c>
      <c r="F905" s="3493">
        <f t="shared" ref="F905:F911" si="89">D905*E905</f>
        <v>2500000</v>
      </c>
      <c r="G905" s="3493">
        <v>2500000</v>
      </c>
      <c r="H905" s="3493" t="s">
        <v>2341</v>
      </c>
      <c r="I905" s="3520" t="s">
        <v>4766</v>
      </c>
      <c r="J905" s="3493">
        <f t="shared" si="87"/>
        <v>2500000</v>
      </c>
      <c r="K905" s="3533">
        <f>F905-J905</f>
        <v>0</v>
      </c>
      <c r="L905" s="2702"/>
      <c r="M905" s="386"/>
      <c r="N905" s="386"/>
      <c r="O905" s="386"/>
      <c r="P905" s="386"/>
      <c r="Q905" s="386"/>
    </row>
    <row r="906" spans="1:17" ht="30" customHeight="1" x14ac:dyDescent="0.2">
      <c r="A906" s="4459"/>
      <c r="B906" s="4457" t="s">
        <v>2873</v>
      </c>
      <c r="C906" s="4537" t="s">
        <v>1172</v>
      </c>
      <c r="D906" s="3493">
        <v>40000000</v>
      </c>
      <c r="E906" s="3535">
        <v>0.05</v>
      </c>
      <c r="F906" s="3493">
        <f t="shared" si="89"/>
        <v>2000000</v>
      </c>
      <c r="G906" s="4413">
        <v>3500000</v>
      </c>
      <c r="H906" s="4413" t="s">
        <v>1649</v>
      </c>
      <c r="I906" s="4413" t="s">
        <v>4080</v>
      </c>
      <c r="J906" s="4413">
        <f t="shared" si="87"/>
        <v>3500000</v>
      </c>
      <c r="K906" s="4603"/>
      <c r="L906" s="3567"/>
      <c r="M906" s="386"/>
      <c r="N906" s="386"/>
      <c r="O906" s="386"/>
      <c r="P906" s="386"/>
      <c r="Q906" s="386"/>
    </row>
    <row r="907" spans="1:17" ht="30" customHeight="1" x14ac:dyDescent="0.2">
      <c r="A907" s="4460"/>
      <c r="B907" s="4458"/>
      <c r="C907" s="4538"/>
      <c r="D907" s="3699">
        <v>60000000</v>
      </c>
      <c r="E907" s="3718">
        <v>0.05</v>
      </c>
      <c r="F907" s="3699">
        <f t="shared" si="89"/>
        <v>3000000</v>
      </c>
      <c r="G907" s="4415"/>
      <c r="H907" s="4415"/>
      <c r="I907" s="4415"/>
      <c r="J907" s="4415"/>
      <c r="K907" s="4604"/>
      <c r="L907" s="3721" t="s">
        <v>5480</v>
      </c>
      <c r="M907" s="386"/>
      <c r="N907" s="386"/>
      <c r="O907" s="386"/>
      <c r="P907" s="386"/>
      <c r="Q907" s="386"/>
    </row>
    <row r="908" spans="1:17" ht="30" customHeight="1" x14ac:dyDescent="0.2">
      <c r="A908" s="3538"/>
      <c r="B908" s="3539" t="s">
        <v>2878</v>
      </c>
      <c r="C908" s="3515" t="s">
        <v>1718</v>
      </c>
      <c r="D908" s="3493">
        <v>25000000</v>
      </c>
      <c r="E908" s="3535">
        <v>0.04</v>
      </c>
      <c r="F908" s="3493">
        <f t="shared" si="89"/>
        <v>1000000</v>
      </c>
      <c r="G908" s="3493">
        <v>1000000</v>
      </c>
      <c r="H908" s="3493" t="s">
        <v>3978</v>
      </c>
      <c r="I908" s="3520" t="s">
        <v>4064</v>
      </c>
      <c r="J908" s="3493">
        <f t="shared" si="87"/>
        <v>1000000</v>
      </c>
      <c r="K908" s="3533">
        <f t="shared" si="88"/>
        <v>0</v>
      </c>
      <c r="L908" s="3567"/>
      <c r="M908" s="386"/>
      <c r="N908" s="386"/>
      <c r="O908" s="386"/>
      <c r="P908" s="386"/>
      <c r="Q908" s="386"/>
    </row>
    <row r="909" spans="1:17" ht="30" customHeight="1" x14ac:dyDescent="0.2">
      <c r="A909" s="3538"/>
      <c r="B909" s="3539" t="s">
        <v>2932</v>
      </c>
      <c r="C909" s="3515" t="s">
        <v>1172</v>
      </c>
      <c r="D909" s="3493">
        <v>50000000</v>
      </c>
      <c r="E909" s="3535">
        <v>0.05</v>
      </c>
      <c r="F909" s="3493">
        <f t="shared" si="89"/>
        <v>2500000</v>
      </c>
      <c r="G909" s="3493">
        <v>2500000</v>
      </c>
      <c r="H909" s="3493" t="s">
        <v>2019</v>
      </c>
      <c r="I909" s="3520" t="s">
        <v>4094</v>
      </c>
      <c r="J909" s="3493">
        <f t="shared" si="87"/>
        <v>2500000</v>
      </c>
      <c r="K909" s="3533">
        <f t="shared" si="88"/>
        <v>0</v>
      </c>
      <c r="L909" s="3567"/>
      <c r="M909" s="386"/>
      <c r="N909" s="386"/>
      <c r="O909" s="386"/>
      <c r="P909" s="386"/>
      <c r="Q909" s="386"/>
    </row>
    <row r="910" spans="1:17" ht="30" customHeight="1" x14ac:dyDescent="0.2">
      <c r="A910" s="3496"/>
      <c r="B910" s="19" t="s">
        <v>2938</v>
      </c>
      <c r="C910" s="3541" t="s">
        <v>1138</v>
      </c>
      <c r="D910" s="3524">
        <v>10000000</v>
      </c>
      <c r="E910" s="3535">
        <v>0.05</v>
      </c>
      <c r="F910" s="3524">
        <f t="shared" si="89"/>
        <v>500000</v>
      </c>
      <c r="G910" s="3524">
        <v>500000</v>
      </c>
      <c r="H910" s="3524" t="s">
        <v>1649</v>
      </c>
      <c r="I910" s="3524" t="s">
        <v>2939</v>
      </c>
      <c r="J910" s="3524">
        <f t="shared" si="87"/>
        <v>500000</v>
      </c>
      <c r="K910" s="3533">
        <f t="shared" si="88"/>
        <v>0</v>
      </c>
      <c r="L910" s="3567" t="s">
        <v>4907</v>
      </c>
      <c r="M910" s="386"/>
      <c r="N910" s="386"/>
      <c r="O910" s="386"/>
      <c r="P910" s="386"/>
      <c r="Q910" s="386"/>
    </row>
    <row r="911" spans="1:17" ht="30" customHeight="1" x14ac:dyDescent="0.2">
      <c r="A911" s="4459"/>
      <c r="B911" s="4457" t="s">
        <v>5363</v>
      </c>
      <c r="C911" s="4537" t="s">
        <v>2278</v>
      </c>
      <c r="D911" s="4413">
        <v>50000000</v>
      </c>
      <c r="E911" s="4476">
        <v>0.05</v>
      </c>
      <c r="F911" s="4413">
        <f t="shared" si="89"/>
        <v>2500000</v>
      </c>
      <c r="G911" s="4413">
        <v>2500000</v>
      </c>
      <c r="H911" s="4413" t="s">
        <v>5848</v>
      </c>
      <c r="I911" s="4413" t="s">
        <v>5856</v>
      </c>
      <c r="J911" s="4413">
        <f t="shared" si="87"/>
        <v>2500000</v>
      </c>
      <c r="K911" s="4603">
        <f t="shared" si="88"/>
        <v>0</v>
      </c>
      <c r="L911" s="3567" t="s">
        <v>6115</v>
      </c>
      <c r="M911" s="386"/>
      <c r="N911" s="386"/>
      <c r="O911" s="386"/>
      <c r="P911" s="386"/>
      <c r="Q911" s="386"/>
    </row>
    <row r="912" spans="1:17" ht="30" customHeight="1" x14ac:dyDescent="0.2">
      <c r="A912" s="4460"/>
      <c r="B912" s="4458"/>
      <c r="C912" s="4538"/>
      <c r="D912" s="4415"/>
      <c r="E912" s="4477"/>
      <c r="F912" s="4415"/>
      <c r="G912" s="4415"/>
      <c r="H912" s="4415"/>
      <c r="I912" s="4415"/>
      <c r="J912" s="4415"/>
      <c r="K912" s="4604"/>
      <c r="L912" s="3948" t="s">
        <v>5692</v>
      </c>
      <c r="M912" s="386"/>
      <c r="N912" s="386"/>
      <c r="O912" s="386"/>
      <c r="P912" s="386"/>
      <c r="Q912" s="386"/>
    </row>
    <row r="913" spans="1:17" ht="30" customHeight="1" x14ac:dyDescent="0.2">
      <c r="A913" s="4459"/>
      <c r="B913" s="5092" t="s">
        <v>3037</v>
      </c>
      <c r="C913" s="5095" t="s">
        <v>1306</v>
      </c>
      <c r="D913" s="4135">
        <v>30000000</v>
      </c>
      <c r="E913" s="4155">
        <v>0.05</v>
      </c>
      <c r="F913" s="4135">
        <f t="shared" ref="F913:F930" si="90">D913*E913</f>
        <v>1500000</v>
      </c>
      <c r="G913" s="4648">
        <v>3000000</v>
      </c>
      <c r="H913" s="4413" t="s">
        <v>5859</v>
      </c>
      <c r="I913" s="4413" t="s">
        <v>3719</v>
      </c>
      <c r="J913" s="4413">
        <f t="shared" si="87"/>
        <v>3000000</v>
      </c>
      <c r="K913" s="4603">
        <f>(F913+F914+F915)-J913</f>
        <v>0</v>
      </c>
      <c r="L913" s="3567"/>
      <c r="M913" s="386"/>
      <c r="N913" s="386"/>
      <c r="O913" s="386"/>
      <c r="P913" s="386"/>
      <c r="Q913" s="386"/>
    </row>
    <row r="914" spans="1:17" ht="30" customHeight="1" x14ac:dyDescent="0.2">
      <c r="A914" s="4464"/>
      <c r="B914" s="5093"/>
      <c r="C914" s="5096"/>
      <c r="D914" s="4135">
        <v>15000000</v>
      </c>
      <c r="E914" s="4155">
        <v>0.05</v>
      </c>
      <c r="F914" s="4135">
        <f t="shared" si="90"/>
        <v>750000</v>
      </c>
      <c r="G914" s="4649"/>
      <c r="H914" s="4414"/>
      <c r="I914" s="4414"/>
      <c r="J914" s="4414"/>
      <c r="K914" s="4609"/>
      <c r="L914" s="3567"/>
      <c r="M914" s="386"/>
      <c r="N914" s="386"/>
      <c r="O914" s="386"/>
      <c r="P914" s="386"/>
      <c r="Q914" s="386"/>
    </row>
    <row r="915" spans="1:17" ht="30" customHeight="1" x14ac:dyDescent="0.2">
      <c r="A915" s="4464"/>
      <c r="B915" s="5093"/>
      <c r="C915" s="5096"/>
      <c r="D915" s="4135">
        <v>15000000</v>
      </c>
      <c r="E915" s="4155">
        <v>0.05</v>
      </c>
      <c r="F915" s="4135">
        <f t="shared" si="90"/>
        <v>750000</v>
      </c>
      <c r="G915" s="4650"/>
      <c r="H915" s="4415"/>
      <c r="I915" s="4415"/>
      <c r="J915" s="4415"/>
      <c r="K915" s="4604"/>
      <c r="L915" s="3567"/>
      <c r="M915" s="386"/>
      <c r="N915" s="386"/>
      <c r="O915" s="386"/>
      <c r="P915" s="386"/>
      <c r="Q915" s="386"/>
    </row>
    <row r="916" spans="1:17" ht="30" customHeight="1" x14ac:dyDescent="0.2">
      <c r="A916" s="4464"/>
      <c r="B916" s="5093"/>
      <c r="C916" s="5096"/>
      <c r="D916" s="4413">
        <v>35000000</v>
      </c>
      <c r="E916" s="4476">
        <v>0.05</v>
      </c>
      <c r="F916" s="4413">
        <f t="shared" si="90"/>
        <v>1750000</v>
      </c>
      <c r="G916" s="4469" t="s">
        <v>6105</v>
      </c>
      <c r="H916" s="4470"/>
      <c r="I916" s="4470"/>
      <c r="J916" s="4471"/>
      <c r="K916" s="4154"/>
      <c r="L916" s="4290" t="s">
        <v>5941</v>
      </c>
      <c r="M916" s="386"/>
      <c r="N916" s="386"/>
      <c r="O916" s="386"/>
      <c r="P916" s="386"/>
      <c r="Q916" s="386"/>
    </row>
    <row r="917" spans="1:17" ht="30" customHeight="1" x14ac:dyDescent="0.2">
      <c r="A917" s="4464"/>
      <c r="B917" s="5093"/>
      <c r="C917" s="5096"/>
      <c r="D917" s="4414"/>
      <c r="E917" s="4516"/>
      <c r="F917" s="4414"/>
      <c r="G917" s="4469" t="s">
        <v>6106</v>
      </c>
      <c r="H917" s="4470"/>
      <c r="I917" s="4470"/>
      <c r="J917" s="4471"/>
      <c r="K917" s="4291"/>
      <c r="L917" s="4290"/>
      <c r="M917" s="386"/>
      <c r="N917" s="386"/>
      <c r="O917" s="386"/>
      <c r="P917" s="386"/>
      <c r="Q917" s="386"/>
    </row>
    <row r="918" spans="1:17" ht="30" customHeight="1" x14ac:dyDescent="0.2">
      <c r="A918" s="4464"/>
      <c r="B918" s="5093"/>
      <c r="C918" s="5096"/>
      <c r="D918" s="4414"/>
      <c r="E918" s="4516"/>
      <c r="F918" s="4414"/>
      <c r="G918" s="4469" t="s">
        <v>6107</v>
      </c>
      <c r="H918" s="4470"/>
      <c r="I918" s="4470"/>
      <c r="J918" s="4471"/>
      <c r="K918" s="4291"/>
      <c r="L918" s="4290"/>
      <c r="M918" s="386"/>
      <c r="N918" s="386"/>
      <c r="O918" s="386"/>
      <c r="P918" s="386"/>
      <c r="Q918" s="386"/>
    </row>
    <row r="919" spans="1:17" ht="30" customHeight="1" x14ac:dyDescent="0.2">
      <c r="A919" s="4460"/>
      <c r="B919" s="5094"/>
      <c r="C919" s="5097"/>
      <c r="D919" s="4415"/>
      <c r="E919" s="4477"/>
      <c r="F919" s="4415"/>
      <c r="G919" s="4469" t="s">
        <v>6108</v>
      </c>
      <c r="H919" s="4470"/>
      <c r="I919" s="4470"/>
      <c r="J919" s="4471"/>
      <c r="K919" s="4291"/>
      <c r="L919" s="4290"/>
      <c r="M919" s="386"/>
      <c r="N919" s="386"/>
      <c r="O919" s="386"/>
      <c r="P919" s="386"/>
      <c r="Q919" s="386"/>
    </row>
    <row r="920" spans="1:17" ht="30" customHeight="1" x14ac:dyDescent="0.2">
      <c r="A920" s="4459"/>
      <c r="B920" s="5165" t="s">
        <v>6109</v>
      </c>
      <c r="C920" s="5166"/>
      <c r="D920" s="4506">
        <v>60000000</v>
      </c>
      <c r="E920" s="4512">
        <v>0.05</v>
      </c>
      <c r="F920" s="4506">
        <f>D920*E920</f>
        <v>3000000</v>
      </c>
      <c r="G920" s="4638"/>
      <c r="H920" s="4639"/>
      <c r="I920" s="4639"/>
      <c r="J920" s="4640"/>
      <c r="K920" s="4291"/>
      <c r="L920" s="4290"/>
      <c r="M920" s="386"/>
      <c r="N920" s="386"/>
      <c r="O920" s="386"/>
      <c r="P920" s="386"/>
      <c r="Q920" s="386"/>
    </row>
    <row r="921" spans="1:17" ht="30" customHeight="1" x14ac:dyDescent="0.2">
      <c r="A921" s="4464"/>
      <c r="B921" s="5167"/>
      <c r="C921" s="5168"/>
      <c r="D921" s="4507"/>
      <c r="E921" s="4513"/>
      <c r="F921" s="4507"/>
      <c r="G921" s="4638"/>
      <c r="H921" s="4639"/>
      <c r="I921" s="4639"/>
      <c r="J921" s="4640"/>
      <c r="K921" s="4291"/>
      <c r="L921" s="4290"/>
      <c r="M921" s="386"/>
      <c r="N921" s="386"/>
      <c r="O921" s="386"/>
      <c r="P921" s="386"/>
      <c r="Q921" s="386"/>
    </row>
    <row r="922" spans="1:17" ht="30" customHeight="1" x14ac:dyDescent="0.2">
      <c r="A922" s="4464"/>
      <c r="B922" s="5167"/>
      <c r="C922" s="5168"/>
      <c r="D922" s="4507"/>
      <c r="E922" s="4513"/>
      <c r="F922" s="4507"/>
      <c r="G922" s="4638"/>
      <c r="H922" s="4639"/>
      <c r="I922" s="4639"/>
      <c r="J922" s="4640"/>
      <c r="K922" s="4291"/>
      <c r="L922" s="4290"/>
      <c r="M922" s="386"/>
      <c r="N922" s="386"/>
      <c r="O922" s="386"/>
      <c r="P922" s="386"/>
      <c r="Q922" s="386"/>
    </row>
    <row r="923" spans="1:17" ht="30" customHeight="1" x14ac:dyDescent="0.2">
      <c r="A923" s="4464"/>
      <c r="B923" s="5167"/>
      <c r="C923" s="5168"/>
      <c r="D923" s="4507"/>
      <c r="E923" s="4513"/>
      <c r="F923" s="4507"/>
      <c r="G923" s="4638"/>
      <c r="H923" s="4639"/>
      <c r="I923" s="4639"/>
      <c r="J923" s="4640"/>
      <c r="K923" s="4291"/>
      <c r="L923" s="4290"/>
      <c r="M923" s="386"/>
      <c r="N923" s="386"/>
      <c r="O923" s="386"/>
      <c r="P923" s="386"/>
      <c r="Q923" s="386"/>
    </row>
    <row r="924" spans="1:17" ht="30" customHeight="1" x14ac:dyDescent="0.2">
      <c r="A924" s="4464"/>
      <c r="B924" s="5167"/>
      <c r="C924" s="5168"/>
      <c r="D924" s="4507"/>
      <c r="E924" s="4513"/>
      <c r="F924" s="4507"/>
      <c r="G924" s="4469" t="s">
        <v>6110</v>
      </c>
      <c r="H924" s="4470"/>
      <c r="I924" s="4470"/>
      <c r="J924" s="4471"/>
      <c r="K924" s="4291"/>
      <c r="L924" s="4290"/>
      <c r="M924" s="386"/>
      <c r="N924" s="386"/>
      <c r="O924" s="386"/>
      <c r="P924" s="386"/>
      <c r="Q924" s="386"/>
    </row>
    <row r="925" spans="1:17" ht="30" customHeight="1" x14ac:dyDescent="0.2">
      <c r="A925" s="4460"/>
      <c r="B925" s="5169"/>
      <c r="C925" s="5170"/>
      <c r="D925" s="4508"/>
      <c r="E925" s="4514"/>
      <c r="F925" s="4508"/>
      <c r="G925" s="4469" t="s">
        <v>6111</v>
      </c>
      <c r="H925" s="4470"/>
      <c r="I925" s="4470"/>
      <c r="J925" s="4471"/>
      <c r="K925" s="4291"/>
      <c r="L925" s="4290"/>
      <c r="M925" s="386"/>
      <c r="N925" s="386"/>
      <c r="O925" s="386"/>
      <c r="P925" s="386"/>
      <c r="Q925" s="386"/>
    </row>
    <row r="926" spans="1:17" ht="30" customHeight="1" x14ac:dyDescent="0.2">
      <c r="A926" s="4459"/>
      <c r="B926" s="4457" t="s">
        <v>3040</v>
      </c>
      <c r="C926" s="4537" t="s">
        <v>1172</v>
      </c>
      <c r="D926" s="3699">
        <v>1000000000</v>
      </c>
      <c r="E926" s="3718">
        <v>7.0000000000000007E-2</v>
      </c>
      <c r="F926" s="3699">
        <f>D926*E926</f>
        <v>70000000</v>
      </c>
      <c r="G926" s="3493">
        <v>20000000</v>
      </c>
      <c r="H926" s="3712" t="s">
        <v>1649</v>
      </c>
      <c r="I926" s="3712" t="s">
        <v>5481</v>
      </c>
      <c r="J926" s="3712">
        <f>G926</f>
        <v>20000000</v>
      </c>
      <c r="K926" s="3695">
        <f>F926-J926</f>
        <v>50000000</v>
      </c>
      <c r="L926" s="3554"/>
      <c r="M926" s="386"/>
      <c r="N926" s="386"/>
      <c r="O926" s="386"/>
      <c r="P926" s="386"/>
      <c r="Q926" s="386"/>
    </row>
    <row r="927" spans="1:17" ht="30" customHeight="1" x14ac:dyDescent="0.2">
      <c r="A927" s="4464"/>
      <c r="B927" s="4488"/>
      <c r="C927" s="4540"/>
      <c r="D927" s="3712">
        <v>50000000</v>
      </c>
      <c r="E927" s="3712">
        <v>7.0000000000000007E-2</v>
      </c>
      <c r="F927" s="3712">
        <f>D927*E927</f>
        <v>3500000.0000000005</v>
      </c>
      <c r="G927" s="4469" t="s">
        <v>5482</v>
      </c>
      <c r="H927" s="4470"/>
      <c r="I927" s="4470"/>
      <c r="J927" s="4471"/>
      <c r="K927" s="3695"/>
      <c r="L927" s="3566"/>
      <c r="M927" s="386"/>
      <c r="N927" s="386"/>
      <c r="O927" s="386"/>
      <c r="P927" s="386"/>
      <c r="Q927" s="386"/>
    </row>
    <row r="928" spans="1:17" ht="30" customHeight="1" x14ac:dyDescent="0.2">
      <c r="A928" s="4460"/>
      <c r="B928" s="4458"/>
      <c r="C928" s="4538"/>
      <c r="D928" s="3725">
        <v>1050000000</v>
      </c>
      <c r="E928" s="897">
        <v>7.0000000000000007E-2</v>
      </c>
      <c r="F928" s="3725">
        <f>D928*E928</f>
        <v>73500000</v>
      </c>
      <c r="G928" s="3493"/>
      <c r="H928" s="3493"/>
      <c r="I928" s="3520"/>
      <c r="J928" s="3493"/>
      <c r="K928" s="3533"/>
      <c r="L928" s="3555"/>
      <c r="M928" s="386"/>
      <c r="N928" s="386"/>
      <c r="O928" s="386"/>
      <c r="P928" s="386"/>
      <c r="Q928" s="386"/>
    </row>
    <row r="929" spans="1:17" ht="30" customHeight="1" x14ac:dyDescent="0.2">
      <c r="A929" s="3538"/>
      <c r="B929" s="3539" t="s">
        <v>3071</v>
      </c>
      <c r="C929" s="3515" t="s">
        <v>889</v>
      </c>
      <c r="D929" s="3493">
        <v>100000000</v>
      </c>
      <c r="E929" s="3535">
        <v>0.05</v>
      </c>
      <c r="F929" s="3493">
        <f t="shared" si="90"/>
        <v>5000000</v>
      </c>
      <c r="G929" s="3493">
        <v>5000000</v>
      </c>
      <c r="H929" s="3493" t="s">
        <v>5361</v>
      </c>
      <c r="I929" s="3520" t="s">
        <v>3967</v>
      </c>
      <c r="J929" s="3493">
        <f>G929</f>
        <v>5000000</v>
      </c>
      <c r="K929" s="3533">
        <f>F929-J929</f>
        <v>0</v>
      </c>
      <c r="L929" s="3567"/>
      <c r="M929" s="3567"/>
      <c r="N929" s="3567"/>
      <c r="O929" s="3567"/>
      <c r="P929" s="3567"/>
      <c r="Q929" s="386"/>
    </row>
    <row r="930" spans="1:17" ht="30" customHeight="1" x14ac:dyDescent="0.2">
      <c r="A930" s="3538"/>
      <c r="B930" s="3539" t="s">
        <v>3764</v>
      </c>
      <c r="C930" s="3541"/>
      <c r="D930" s="3524">
        <v>30000000</v>
      </c>
      <c r="E930" s="3535">
        <v>7.0000000000000007E-2</v>
      </c>
      <c r="F930" s="3524">
        <f t="shared" si="90"/>
        <v>2100000</v>
      </c>
      <c r="G930" s="3524">
        <v>2100000</v>
      </c>
      <c r="H930" s="3524" t="s">
        <v>2341</v>
      </c>
      <c r="I930" s="3524" t="s">
        <v>4143</v>
      </c>
      <c r="J930" s="3524">
        <f>G930</f>
        <v>2100000</v>
      </c>
      <c r="K930" s="3488">
        <f>F930-J930</f>
        <v>0</v>
      </c>
      <c r="L930" s="3554"/>
      <c r="M930" s="386"/>
      <c r="N930" s="386"/>
      <c r="O930" s="386"/>
      <c r="P930" s="386"/>
      <c r="Q930" s="386"/>
    </row>
    <row r="931" spans="1:17" ht="30" customHeight="1" x14ac:dyDescent="0.2">
      <c r="A931" s="4459"/>
      <c r="B931" s="4457" t="s">
        <v>3955</v>
      </c>
      <c r="C931" s="4537"/>
      <c r="D931" s="4413">
        <v>300000000</v>
      </c>
      <c r="E931" s="4476">
        <v>0.05</v>
      </c>
      <c r="F931" s="4413">
        <f>D931*E931</f>
        <v>15000000</v>
      </c>
      <c r="G931" s="4413">
        <v>15000000</v>
      </c>
      <c r="H931" s="4413" t="s">
        <v>2341</v>
      </c>
      <c r="I931" s="4413" t="s">
        <v>4149</v>
      </c>
      <c r="J931" s="4413">
        <f>G931+G932+G933</f>
        <v>15000000</v>
      </c>
      <c r="K931" s="4603">
        <f>F931-J931</f>
        <v>0</v>
      </c>
      <c r="L931" s="3566"/>
      <c r="M931" s="386"/>
      <c r="N931" s="386"/>
      <c r="O931" s="386"/>
      <c r="P931" s="386"/>
      <c r="Q931" s="386"/>
    </row>
    <row r="932" spans="1:17" ht="30" customHeight="1" x14ac:dyDescent="0.2">
      <c r="A932" s="4464"/>
      <c r="B932" s="4488"/>
      <c r="C932" s="4540"/>
      <c r="D932" s="4414"/>
      <c r="E932" s="4516"/>
      <c r="F932" s="4414"/>
      <c r="G932" s="4414"/>
      <c r="H932" s="4414"/>
      <c r="I932" s="4414"/>
      <c r="J932" s="4414"/>
      <c r="K932" s="4609"/>
      <c r="L932" s="3555"/>
      <c r="M932" s="386"/>
      <c r="N932" s="386"/>
      <c r="O932" s="386"/>
      <c r="P932" s="386"/>
      <c r="Q932" s="386"/>
    </row>
    <row r="933" spans="1:17" ht="30" customHeight="1" x14ac:dyDescent="0.2">
      <c r="A933" s="4464"/>
      <c r="B933" s="4488"/>
      <c r="C933" s="4540"/>
      <c r="D933" s="4415"/>
      <c r="E933" s="4477"/>
      <c r="F933" s="4415"/>
      <c r="G933" s="4415"/>
      <c r="H933" s="4415"/>
      <c r="I933" s="4415"/>
      <c r="J933" s="4415"/>
      <c r="K933" s="4604"/>
      <c r="L933" s="3555" t="s">
        <v>4765</v>
      </c>
      <c r="M933" s="386"/>
      <c r="N933" s="386"/>
      <c r="O933" s="386"/>
      <c r="P933" s="386"/>
      <c r="Q933" s="386"/>
    </row>
    <row r="934" spans="1:17" ht="30" customHeight="1" x14ac:dyDescent="0.2">
      <c r="A934" s="4460"/>
      <c r="B934" s="4458"/>
      <c r="C934" s="4538"/>
      <c r="D934" s="3493">
        <v>60000000</v>
      </c>
      <c r="E934" s="3499">
        <v>0.05</v>
      </c>
      <c r="F934" s="3493">
        <f>D934*E934</f>
        <v>3000000</v>
      </c>
      <c r="G934" s="4469" t="s">
        <v>6093</v>
      </c>
      <c r="H934" s="4470"/>
      <c r="I934" s="4470"/>
      <c r="J934" s="4471"/>
      <c r="K934" s="3533"/>
      <c r="L934" s="3555" t="s">
        <v>5268</v>
      </c>
      <c r="M934" s="386"/>
      <c r="N934" s="386"/>
      <c r="O934" s="386"/>
      <c r="P934" s="386"/>
      <c r="Q934" s="386"/>
    </row>
    <row r="935" spans="1:17" ht="30" customHeight="1" x14ac:dyDescent="0.2">
      <c r="A935" s="1029"/>
      <c r="B935" s="19" t="s">
        <v>3159</v>
      </c>
      <c r="C935" s="4017" t="s">
        <v>989</v>
      </c>
      <c r="D935" s="3493">
        <v>50000000</v>
      </c>
      <c r="E935" s="3499">
        <v>0.05</v>
      </c>
      <c r="F935" s="3493">
        <f>D935*E935</f>
        <v>2500000</v>
      </c>
      <c r="G935" s="3524">
        <v>2500000</v>
      </c>
      <c r="H935" s="3524" t="s">
        <v>5863</v>
      </c>
      <c r="I935" s="3524" t="s">
        <v>5864</v>
      </c>
      <c r="J935" s="3524">
        <f>G935</f>
        <v>2500000</v>
      </c>
      <c r="K935" s="3533">
        <f>F935-J935</f>
        <v>0</v>
      </c>
      <c r="L935" s="3555"/>
      <c r="M935" s="386"/>
      <c r="N935" s="386"/>
      <c r="O935" s="386"/>
      <c r="P935" s="386"/>
      <c r="Q935" s="386"/>
    </row>
    <row r="936" spans="1:17" ht="30" customHeight="1" x14ac:dyDescent="0.2">
      <c r="A936" s="4459"/>
      <c r="B936" s="4474" t="s">
        <v>3164</v>
      </c>
      <c r="C936" s="4537" t="s">
        <v>3323</v>
      </c>
      <c r="D936" s="4322">
        <v>400000000</v>
      </c>
      <c r="E936" s="4608">
        <v>0.04</v>
      </c>
      <c r="F936" s="4322">
        <f>D936*E936</f>
        <v>16000000</v>
      </c>
      <c r="G936" s="3524"/>
      <c r="H936" s="3524"/>
      <c r="I936" s="3524" t="s">
        <v>4846</v>
      </c>
      <c r="J936" s="3524">
        <f>G936</f>
        <v>0</v>
      </c>
      <c r="K936" s="3533">
        <f>F936-J936</f>
        <v>16000000</v>
      </c>
      <c r="L936" s="3567" t="s">
        <v>4439</v>
      </c>
      <c r="M936" s="386"/>
      <c r="N936" s="386"/>
      <c r="O936" s="386"/>
      <c r="P936" s="386"/>
      <c r="Q936" s="386"/>
    </row>
    <row r="937" spans="1:17" ht="30" customHeight="1" x14ac:dyDescent="0.2">
      <c r="A937" s="4460"/>
      <c r="B937" s="4475"/>
      <c r="C937" s="4538"/>
      <c r="D937" s="4322"/>
      <c r="E937" s="4608"/>
      <c r="F937" s="4322"/>
      <c r="G937" s="3524"/>
      <c r="H937" s="3524"/>
      <c r="I937" s="3524" t="s">
        <v>4846</v>
      </c>
      <c r="J937" s="3491">
        <f>G937</f>
        <v>0</v>
      </c>
      <c r="K937" s="3536">
        <f>F936-J937</f>
        <v>16000000</v>
      </c>
      <c r="L937" s="3567" t="s">
        <v>4907</v>
      </c>
      <c r="M937" s="386"/>
      <c r="N937" s="386"/>
      <c r="O937" s="386"/>
      <c r="P937" s="386"/>
      <c r="Q937" s="386"/>
    </row>
    <row r="938" spans="1:17" ht="30" customHeight="1" x14ac:dyDescent="0.2">
      <c r="A938" s="4459"/>
      <c r="B938" s="4474" t="s">
        <v>825</v>
      </c>
      <c r="C938" s="4599"/>
      <c r="D938" s="4715" t="s">
        <v>4937</v>
      </c>
      <c r="E938" s="4716"/>
      <c r="F938" s="4717"/>
      <c r="G938" s="3524"/>
      <c r="H938" s="3524"/>
      <c r="I938" s="3524" t="s">
        <v>855</v>
      </c>
      <c r="J938" s="4413">
        <f>G938+G939</f>
        <v>0</v>
      </c>
      <c r="K938" s="4603">
        <f>100000000-J938</f>
        <v>100000000</v>
      </c>
      <c r="L938" s="3567"/>
      <c r="M938" s="386"/>
      <c r="N938" s="386"/>
      <c r="O938" s="386"/>
      <c r="P938" s="386"/>
      <c r="Q938" s="386"/>
    </row>
    <row r="939" spans="1:17" ht="30" customHeight="1" x14ac:dyDescent="0.2">
      <c r="A939" s="4464"/>
      <c r="B939" s="4487"/>
      <c r="C939" s="4600"/>
      <c r="D939" s="4721"/>
      <c r="E939" s="4722"/>
      <c r="F939" s="4723"/>
      <c r="G939" s="3493"/>
      <c r="H939" s="3493"/>
      <c r="I939" s="3493" t="s">
        <v>855</v>
      </c>
      <c r="J939" s="4415"/>
      <c r="K939" s="4604"/>
      <c r="L939" s="3567" t="s">
        <v>4630</v>
      </c>
      <c r="M939" s="386"/>
      <c r="N939" s="386"/>
      <c r="O939" s="386"/>
      <c r="P939" s="386"/>
      <c r="Q939" s="386"/>
    </row>
    <row r="940" spans="1:17" ht="30" customHeight="1" x14ac:dyDescent="0.2">
      <c r="A940" s="4460"/>
      <c r="B940" s="4475"/>
      <c r="C940" s="4607"/>
      <c r="D940" s="3541"/>
      <c r="E940" s="3541"/>
      <c r="F940" s="3541"/>
      <c r="G940" s="3493"/>
      <c r="H940" s="3493"/>
      <c r="I940" s="3493"/>
      <c r="J940" s="3493"/>
      <c r="K940" s="3533"/>
      <c r="L940" s="3567"/>
      <c r="M940" s="386"/>
      <c r="N940" s="386"/>
      <c r="O940" s="386"/>
      <c r="P940" s="386"/>
      <c r="Q940" s="386"/>
    </row>
    <row r="941" spans="1:17" ht="30" customHeight="1" x14ac:dyDescent="0.2">
      <c r="A941" s="399"/>
      <c r="B941" s="3495" t="s">
        <v>3215</v>
      </c>
      <c r="C941" s="3515" t="s">
        <v>3216</v>
      </c>
      <c r="D941" s="3493">
        <v>120000000</v>
      </c>
      <c r="E941" s="3499">
        <v>0.04</v>
      </c>
      <c r="F941" s="3493">
        <f>D941*E941</f>
        <v>4800000</v>
      </c>
      <c r="G941" s="3493">
        <v>4800000</v>
      </c>
      <c r="H941" s="3493"/>
      <c r="I941" s="3493" t="s">
        <v>5848</v>
      </c>
      <c r="J941" s="3493">
        <f t="shared" ref="J941:J956" si="91">G941</f>
        <v>4800000</v>
      </c>
      <c r="K941" s="3533">
        <f t="shared" ref="K941:K951" si="92">F941-J941</f>
        <v>0</v>
      </c>
      <c r="L941" s="3567"/>
      <c r="M941" s="386"/>
      <c r="N941" s="386"/>
      <c r="O941" s="386"/>
      <c r="P941" s="386"/>
      <c r="Q941" s="386"/>
    </row>
    <row r="942" spans="1:17" ht="30" customHeight="1" x14ac:dyDescent="0.2">
      <c r="A942" s="146"/>
      <c r="B942" s="3495" t="s">
        <v>3218</v>
      </c>
      <c r="C942" s="3515" t="s">
        <v>3219</v>
      </c>
      <c r="D942" s="3493">
        <v>100000000</v>
      </c>
      <c r="E942" s="3535">
        <v>0.05</v>
      </c>
      <c r="F942" s="3493">
        <f>D942*E942</f>
        <v>5000000</v>
      </c>
      <c r="G942" s="3524">
        <v>5000000</v>
      </c>
      <c r="H942" s="3524" t="s">
        <v>5343</v>
      </c>
      <c r="I942" s="3524" t="s">
        <v>3520</v>
      </c>
      <c r="J942" s="3524">
        <f t="shared" si="91"/>
        <v>5000000</v>
      </c>
      <c r="K942" s="3533">
        <f t="shared" si="92"/>
        <v>0</v>
      </c>
      <c r="L942" s="3567" t="s">
        <v>4907</v>
      </c>
      <c r="M942" s="386"/>
      <c r="N942" s="386"/>
      <c r="O942" s="386"/>
      <c r="P942" s="386"/>
      <c r="Q942" s="386"/>
    </row>
    <row r="943" spans="1:17" ht="30" customHeight="1" x14ac:dyDescent="0.2">
      <c r="A943" s="146"/>
      <c r="B943" s="3495" t="s">
        <v>3221</v>
      </c>
      <c r="C943" s="3515" t="s">
        <v>1796</v>
      </c>
      <c r="D943" s="3493">
        <v>50000000</v>
      </c>
      <c r="E943" s="3535">
        <v>0.05</v>
      </c>
      <c r="F943" s="3493">
        <f>D943*E943</f>
        <v>2500000</v>
      </c>
      <c r="G943" s="3524">
        <v>2500000</v>
      </c>
      <c r="H943" s="3524" t="s">
        <v>6002</v>
      </c>
      <c r="I943" s="3524" t="s">
        <v>4264</v>
      </c>
      <c r="J943" s="3524">
        <f t="shared" si="91"/>
        <v>2500000</v>
      </c>
      <c r="K943" s="3533">
        <f t="shared" si="92"/>
        <v>0</v>
      </c>
      <c r="L943" s="3567"/>
      <c r="M943" s="386"/>
      <c r="N943" s="386"/>
      <c r="O943" s="386"/>
      <c r="P943" s="386"/>
      <c r="Q943" s="386"/>
    </row>
    <row r="944" spans="1:17" ht="30" customHeight="1" x14ac:dyDescent="0.2">
      <c r="A944" s="146"/>
      <c r="B944" s="3516" t="s">
        <v>3224</v>
      </c>
      <c r="C944" s="3556"/>
      <c r="D944" s="3556"/>
      <c r="E944" s="2521"/>
      <c r="F944" s="3512"/>
      <c r="G944" s="3494"/>
      <c r="H944" s="3494"/>
      <c r="I944" s="3494" t="s">
        <v>3226</v>
      </c>
      <c r="J944" s="3494">
        <f t="shared" si="91"/>
        <v>0</v>
      </c>
      <c r="K944" s="3534">
        <f t="shared" si="92"/>
        <v>0</v>
      </c>
      <c r="L944" s="2179" t="s">
        <v>4833</v>
      </c>
      <c r="M944" s="386"/>
      <c r="N944" s="386"/>
      <c r="O944" s="386"/>
      <c r="P944" s="386"/>
      <c r="Q944" s="386"/>
    </row>
    <row r="945" spans="1:17" ht="30" customHeight="1" x14ac:dyDescent="0.2">
      <c r="A945" s="146"/>
      <c r="B945" s="3495" t="s">
        <v>3257</v>
      </c>
      <c r="C945" s="3515" t="s">
        <v>402</v>
      </c>
      <c r="D945" s="3493">
        <v>40000000</v>
      </c>
      <c r="E945" s="3535">
        <v>0.05</v>
      </c>
      <c r="F945" s="3493">
        <f>D945*E945</f>
        <v>2000000</v>
      </c>
      <c r="G945" s="3524">
        <v>2000000</v>
      </c>
      <c r="H945" s="3524" t="s">
        <v>5370</v>
      </c>
      <c r="I945" s="3524" t="s">
        <v>5544</v>
      </c>
      <c r="J945" s="3524">
        <f t="shared" si="91"/>
        <v>2000000</v>
      </c>
      <c r="K945" s="2354">
        <f t="shared" si="92"/>
        <v>0</v>
      </c>
      <c r="L945" s="3567"/>
      <c r="M945" s="386"/>
      <c r="N945" s="386"/>
      <c r="O945" s="386"/>
      <c r="P945" s="386"/>
      <c r="Q945" s="386"/>
    </row>
    <row r="946" spans="1:17" ht="30" customHeight="1" x14ac:dyDescent="0.2">
      <c r="A946" s="4459"/>
      <c r="B946" s="4474" t="s">
        <v>3293</v>
      </c>
      <c r="C946" s="4537" t="s">
        <v>1796</v>
      </c>
      <c r="D946" s="4413">
        <v>15000000</v>
      </c>
      <c r="E946" s="4476">
        <v>0.05</v>
      </c>
      <c r="F946" s="4413">
        <f>D946*E946</f>
        <v>750000</v>
      </c>
      <c r="G946" s="3524">
        <v>750000</v>
      </c>
      <c r="H946" s="3524" t="s">
        <v>1527</v>
      </c>
      <c r="I946" s="3524" t="s">
        <v>5419</v>
      </c>
      <c r="J946" s="3524">
        <f t="shared" si="91"/>
        <v>750000</v>
      </c>
      <c r="K946" s="3533">
        <f t="shared" si="92"/>
        <v>0</v>
      </c>
      <c r="L946" s="3567" t="s">
        <v>6005</v>
      </c>
      <c r="M946" s="386"/>
      <c r="N946" s="386"/>
      <c r="O946" s="386"/>
      <c r="P946" s="386"/>
      <c r="Q946" s="386"/>
    </row>
    <row r="947" spans="1:17" ht="30" customHeight="1" x14ac:dyDescent="0.2">
      <c r="A947" s="4460"/>
      <c r="B947" s="4475"/>
      <c r="C947" s="4538"/>
      <c r="D947" s="4415"/>
      <c r="E947" s="4477"/>
      <c r="F947" s="4415"/>
      <c r="G947" s="4168">
        <v>750000</v>
      </c>
      <c r="H947" s="4168" t="s">
        <v>6002</v>
      </c>
      <c r="I947" s="4168" t="s">
        <v>5419</v>
      </c>
      <c r="J947" s="4168">
        <f t="shared" si="91"/>
        <v>750000</v>
      </c>
      <c r="K947" s="4178">
        <f>F946-J947</f>
        <v>0</v>
      </c>
      <c r="L947" s="4183" t="s">
        <v>4908</v>
      </c>
      <c r="M947" s="386"/>
      <c r="N947" s="386"/>
      <c r="O947" s="386"/>
      <c r="P947" s="386"/>
      <c r="Q947" s="386"/>
    </row>
    <row r="948" spans="1:17" ht="30" customHeight="1" x14ac:dyDescent="0.2">
      <c r="A948" s="4459"/>
      <c r="B948" s="4474" t="s">
        <v>3296</v>
      </c>
      <c r="C948" s="4537" t="s">
        <v>942</v>
      </c>
      <c r="D948" s="4413">
        <v>150000000</v>
      </c>
      <c r="E948" s="4476">
        <v>0.05</v>
      </c>
      <c r="F948" s="4413">
        <f>D948*E948</f>
        <v>7500000</v>
      </c>
      <c r="G948" s="3524"/>
      <c r="H948" s="3524"/>
      <c r="I948" s="3524" t="s">
        <v>4265</v>
      </c>
      <c r="J948" s="3524">
        <f t="shared" si="91"/>
        <v>0</v>
      </c>
      <c r="K948" s="3533">
        <f t="shared" si="92"/>
        <v>7500000</v>
      </c>
      <c r="L948" s="3567" t="s">
        <v>4439</v>
      </c>
      <c r="M948" s="386"/>
      <c r="N948" s="386"/>
      <c r="O948" s="386"/>
      <c r="P948" s="386"/>
      <c r="Q948" s="386"/>
    </row>
    <row r="949" spans="1:17" ht="30" customHeight="1" x14ac:dyDescent="0.2">
      <c r="A949" s="4460"/>
      <c r="B949" s="4475"/>
      <c r="C949" s="4538"/>
      <c r="D949" s="4415"/>
      <c r="E949" s="4477"/>
      <c r="F949" s="4415"/>
      <c r="G949" s="3524"/>
      <c r="H949" s="3524"/>
      <c r="I949" s="3524" t="s">
        <v>4265</v>
      </c>
      <c r="J949" s="3524">
        <f t="shared" si="91"/>
        <v>0</v>
      </c>
      <c r="K949" s="3533">
        <f>F948-J949</f>
        <v>7500000</v>
      </c>
      <c r="L949" s="3567" t="s">
        <v>4907</v>
      </c>
      <c r="M949" s="386"/>
      <c r="N949" s="386"/>
      <c r="O949" s="386"/>
      <c r="P949" s="386"/>
      <c r="Q949" s="386"/>
    </row>
    <row r="950" spans="1:17" ht="30" customHeight="1" x14ac:dyDescent="0.2">
      <c r="A950" s="3538"/>
      <c r="B950" s="3" t="s">
        <v>3308</v>
      </c>
      <c r="C950" s="3515" t="s">
        <v>3323</v>
      </c>
      <c r="D950" s="3493">
        <v>20000000</v>
      </c>
      <c r="E950" s="3535">
        <v>0.05</v>
      </c>
      <c r="F950" s="3493">
        <f>D950*E950</f>
        <v>1000000</v>
      </c>
      <c r="G950" s="3524">
        <v>1000000</v>
      </c>
      <c r="H950" s="3524" t="s">
        <v>5437</v>
      </c>
      <c r="I950" s="3524" t="s">
        <v>3901</v>
      </c>
      <c r="J950" s="3524">
        <f t="shared" si="91"/>
        <v>1000000</v>
      </c>
      <c r="K950" s="3533">
        <f t="shared" si="92"/>
        <v>0</v>
      </c>
      <c r="L950" s="3567"/>
      <c r="M950" s="386"/>
      <c r="N950" s="386"/>
      <c r="O950" s="386"/>
      <c r="P950" s="386"/>
      <c r="Q950" s="386"/>
    </row>
    <row r="951" spans="1:17" ht="30" customHeight="1" x14ac:dyDescent="0.2">
      <c r="A951" s="3538"/>
      <c r="B951" s="3" t="s">
        <v>4307</v>
      </c>
      <c r="C951" s="3515" t="s">
        <v>889</v>
      </c>
      <c r="D951" s="3493">
        <v>200000000</v>
      </c>
      <c r="E951" s="3535">
        <v>0.05</v>
      </c>
      <c r="F951" s="3493">
        <f>D951*E951</f>
        <v>10000000</v>
      </c>
      <c r="G951" s="3524">
        <v>10000000</v>
      </c>
      <c r="H951" s="3524" t="s">
        <v>5361</v>
      </c>
      <c r="I951" s="3524" t="s">
        <v>4308</v>
      </c>
      <c r="J951" s="3524">
        <f t="shared" si="91"/>
        <v>10000000</v>
      </c>
      <c r="K951" s="3533">
        <f t="shared" si="92"/>
        <v>0</v>
      </c>
      <c r="L951" s="3567"/>
      <c r="M951" s="386"/>
      <c r="N951" s="386"/>
      <c r="O951" s="386"/>
      <c r="P951" s="386"/>
      <c r="Q951" s="386"/>
    </row>
    <row r="952" spans="1:17" ht="30" customHeight="1" x14ac:dyDescent="0.2">
      <c r="A952" s="3538"/>
      <c r="B952" s="3" t="s">
        <v>3332</v>
      </c>
      <c r="C952" s="3495"/>
      <c r="D952" s="3556"/>
      <c r="E952" s="2521"/>
      <c r="F952" s="3512"/>
      <c r="G952" s="3524"/>
      <c r="H952" s="3524"/>
      <c r="I952" s="3524"/>
      <c r="J952" s="3524">
        <f t="shared" si="91"/>
        <v>0</v>
      </c>
      <c r="K952" s="3534"/>
      <c r="L952" s="3567"/>
      <c r="M952" s="386"/>
      <c r="N952" s="386"/>
      <c r="O952" s="386"/>
      <c r="P952" s="386"/>
      <c r="Q952" s="386"/>
    </row>
    <row r="953" spans="1:17" ht="30" customHeight="1" x14ac:dyDescent="0.2">
      <c r="A953" s="4459"/>
      <c r="B953" s="4474" t="s">
        <v>3395</v>
      </c>
      <c r="C953" s="3515" t="s">
        <v>889</v>
      </c>
      <c r="D953" s="3493">
        <v>1000000000</v>
      </c>
      <c r="E953" s="3535">
        <v>6.5000000000000002E-2</v>
      </c>
      <c r="F953" s="3493">
        <f>D953*E953</f>
        <v>65000000</v>
      </c>
      <c r="G953" s="3493"/>
      <c r="H953" s="3493"/>
      <c r="I953" s="3520" t="s">
        <v>3941</v>
      </c>
      <c r="J953" s="3493">
        <f t="shared" si="91"/>
        <v>0</v>
      </c>
      <c r="K953" s="3533">
        <v>0</v>
      </c>
      <c r="L953" s="3567"/>
      <c r="M953" s="386"/>
      <c r="N953" s="386"/>
      <c r="O953" s="386"/>
      <c r="P953" s="386"/>
      <c r="Q953" s="386"/>
    </row>
    <row r="954" spans="1:17" ht="30" customHeight="1" x14ac:dyDescent="0.2">
      <c r="A954" s="4464"/>
      <c r="B954" s="4487"/>
      <c r="C954" s="3515" t="s">
        <v>1298</v>
      </c>
      <c r="D954" s="3493">
        <v>500000000</v>
      </c>
      <c r="E954" s="3535">
        <v>6.5000000000000002E-2</v>
      </c>
      <c r="F954" s="3493">
        <f>D954*E954</f>
        <v>32500000</v>
      </c>
      <c r="G954" s="3493"/>
      <c r="H954" s="3493"/>
      <c r="I954" s="3520" t="s">
        <v>3941</v>
      </c>
      <c r="J954" s="3493">
        <f t="shared" si="91"/>
        <v>0</v>
      </c>
      <c r="K954" s="3533">
        <f>F954-J954</f>
        <v>32500000</v>
      </c>
      <c r="L954" s="3567"/>
      <c r="M954" s="386"/>
      <c r="N954" s="386"/>
      <c r="O954" s="386"/>
      <c r="P954" s="386"/>
      <c r="Q954" s="386"/>
    </row>
    <row r="955" spans="1:17" ht="30" customHeight="1" x14ac:dyDescent="0.2">
      <c r="A955" s="4460"/>
      <c r="B955" s="4475"/>
      <c r="C955" s="3756"/>
      <c r="D955" s="3755">
        <v>500000000</v>
      </c>
      <c r="E955" s="3758"/>
      <c r="F955" s="3755"/>
      <c r="G955" s="4469" t="s">
        <v>5511</v>
      </c>
      <c r="H955" s="4470"/>
      <c r="I955" s="4470"/>
      <c r="J955" s="4471"/>
      <c r="K955" s="3757"/>
      <c r="L955" s="3761" t="s">
        <v>5510</v>
      </c>
      <c r="M955" s="386"/>
      <c r="N955" s="386"/>
      <c r="O955" s="386"/>
      <c r="P955" s="386"/>
      <c r="Q955" s="386"/>
    </row>
    <row r="956" spans="1:17" ht="30" customHeight="1" x14ac:dyDescent="0.2">
      <c r="A956" s="4459"/>
      <c r="B956" s="4474" t="s">
        <v>3514</v>
      </c>
      <c r="C956" s="4537" t="s">
        <v>1652</v>
      </c>
      <c r="D956" s="3518">
        <v>120000000</v>
      </c>
      <c r="E956" s="2350">
        <v>0.05</v>
      </c>
      <c r="F956" s="3518">
        <f>D956*E956</f>
        <v>6000000</v>
      </c>
      <c r="G956" s="3518">
        <v>6000000</v>
      </c>
      <c r="H956" s="3518" t="s">
        <v>5401</v>
      </c>
      <c r="I956" s="3519" t="s">
        <v>678</v>
      </c>
      <c r="J956" s="3518">
        <f t="shared" si="91"/>
        <v>6000000</v>
      </c>
      <c r="K956" s="2351">
        <f>F956-J956</f>
        <v>0</v>
      </c>
      <c r="L956" s="3567"/>
      <c r="M956" s="386"/>
      <c r="N956" s="386"/>
      <c r="O956" s="386"/>
      <c r="P956" s="386"/>
      <c r="Q956" s="386"/>
    </row>
    <row r="957" spans="1:17" ht="30" customHeight="1" x14ac:dyDescent="0.2">
      <c r="A957" s="4460"/>
      <c r="B957" s="4475"/>
      <c r="C957" s="4538"/>
      <c r="D957" s="3951">
        <v>30000000</v>
      </c>
      <c r="E957" s="2350">
        <v>0.05</v>
      </c>
      <c r="F957" s="3951">
        <f>D957*E957</f>
        <v>1500000</v>
      </c>
      <c r="G957" s="3925"/>
      <c r="H957" s="3925"/>
      <c r="I957" s="3926"/>
      <c r="J957" s="3925"/>
      <c r="K957" s="2351"/>
      <c r="L957" s="3929" t="s">
        <v>5672</v>
      </c>
      <c r="M957" s="386"/>
      <c r="N957" s="386"/>
      <c r="O957" s="386"/>
      <c r="P957" s="386"/>
      <c r="Q957" s="386"/>
    </row>
    <row r="958" spans="1:17" ht="30" customHeight="1" x14ac:dyDescent="0.2">
      <c r="A958" s="4459"/>
      <c r="B958" s="4474" t="s">
        <v>3424</v>
      </c>
      <c r="C958" s="4537"/>
      <c r="D958" s="4325" t="s">
        <v>4939</v>
      </c>
      <c r="E958" s="4326"/>
      <c r="F958" s="4563"/>
      <c r="G958" s="3524"/>
      <c r="H958" s="3524"/>
      <c r="I958" s="3524" t="s">
        <v>4940</v>
      </c>
      <c r="J958" s="4322">
        <f>G958+G959+G960+G961</f>
        <v>0</v>
      </c>
      <c r="K958" s="4332">
        <f>203000000-J958</f>
        <v>203000000</v>
      </c>
      <c r="L958" s="3554"/>
      <c r="M958" s="386"/>
      <c r="N958" s="386"/>
      <c r="O958" s="386"/>
      <c r="P958" s="386"/>
      <c r="Q958" s="386"/>
    </row>
    <row r="959" spans="1:17" ht="30" customHeight="1" x14ac:dyDescent="0.2">
      <c r="A959" s="4464"/>
      <c r="B959" s="4487"/>
      <c r="C959" s="4540"/>
      <c r="D959" s="4612"/>
      <c r="E959" s="4359"/>
      <c r="F959" s="4613"/>
      <c r="G959" s="3524"/>
      <c r="H959" s="3524"/>
      <c r="I959" s="3524" t="s">
        <v>4940</v>
      </c>
      <c r="J959" s="4322"/>
      <c r="K959" s="4332"/>
      <c r="L959" s="3554"/>
      <c r="M959" s="386"/>
      <c r="N959" s="386"/>
      <c r="O959" s="386"/>
      <c r="P959" s="386"/>
      <c r="Q959" s="386"/>
    </row>
    <row r="960" spans="1:17" ht="30" customHeight="1" x14ac:dyDescent="0.2">
      <c r="A960" s="4464"/>
      <c r="B960" s="4487"/>
      <c r="C960" s="4540"/>
      <c r="D960" s="4612"/>
      <c r="E960" s="4359"/>
      <c r="F960" s="4613"/>
      <c r="G960" s="3524"/>
      <c r="H960" s="3524"/>
      <c r="I960" s="3524" t="s">
        <v>4940</v>
      </c>
      <c r="J960" s="4322"/>
      <c r="K960" s="4332"/>
      <c r="L960" s="3554"/>
      <c r="M960" s="386"/>
      <c r="N960" s="386"/>
      <c r="O960" s="386"/>
      <c r="P960" s="386"/>
      <c r="Q960" s="386"/>
    </row>
    <row r="961" spans="1:17" ht="30" customHeight="1" x14ac:dyDescent="0.2">
      <c r="A961" s="4464"/>
      <c r="B961" s="4487"/>
      <c r="C961" s="4540"/>
      <c r="D961" s="4612"/>
      <c r="E961" s="4359"/>
      <c r="F961" s="4613"/>
      <c r="G961" s="3524"/>
      <c r="H961" s="4413"/>
      <c r="I961" s="4413" t="s">
        <v>4940</v>
      </c>
      <c r="J961" s="4322"/>
      <c r="K961" s="4332"/>
      <c r="L961" s="3554"/>
      <c r="M961" s="386"/>
      <c r="N961" s="386"/>
      <c r="O961" s="386"/>
      <c r="P961" s="386"/>
      <c r="Q961" s="386"/>
    </row>
    <row r="962" spans="1:17" ht="30" customHeight="1" x14ac:dyDescent="0.2">
      <c r="A962" s="4460"/>
      <c r="B962" s="4475"/>
      <c r="C962" s="4538"/>
      <c r="D962" s="4564"/>
      <c r="E962" s="4596"/>
      <c r="F962" s="4565"/>
      <c r="G962" s="3524"/>
      <c r="H962" s="4415"/>
      <c r="I962" s="4415"/>
      <c r="J962" s="7"/>
      <c r="K962" s="899"/>
      <c r="L962" s="3554" t="s">
        <v>5046</v>
      </c>
      <c r="M962" s="386"/>
      <c r="N962" s="386"/>
      <c r="O962" s="386"/>
      <c r="P962" s="386"/>
      <c r="Q962" s="386"/>
    </row>
    <row r="963" spans="1:17" s="1540" customFormat="1" ht="30" customHeight="1" x14ac:dyDescent="0.2">
      <c r="A963" s="4459"/>
      <c r="B963" s="4474" t="s">
        <v>3455</v>
      </c>
      <c r="C963" s="4537" t="s">
        <v>3483</v>
      </c>
      <c r="D963" s="3524">
        <v>25000000</v>
      </c>
      <c r="E963" s="3535">
        <v>0.05</v>
      </c>
      <c r="F963" s="3524">
        <f t="shared" ref="F963:F975" si="93">D963*E963</f>
        <v>1250000</v>
      </c>
      <c r="G963" s="4793" t="s">
        <v>4982</v>
      </c>
      <c r="H963" s="4794"/>
      <c r="I963" s="4794"/>
      <c r="J963" s="4795"/>
      <c r="K963" s="3488"/>
      <c r="L963" s="3567" t="s">
        <v>3456</v>
      </c>
      <c r="M963" s="387"/>
      <c r="N963" s="387"/>
      <c r="O963" s="387"/>
      <c r="P963" s="387"/>
      <c r="Q963" s="387"/>
    </row>
    <row r="964" spans="1:17" s="184" customFormat="1" ht="30" customHeight="1" x14ac:dyDescent="0.2">
      <c r="A964" s="4464"/>
      <c r="B964" s="4487"/>
      <c r="C964" s="4540"/>
      <c r="D964" s="3524">
        <v>1250000</v>
      </c>
      <c r="E964" s="3535">
        <v>0.05</v>
      </c>
      <c r="F964" s="3524">
        <f t="shared" si="93"/>
        <v>62500</v>
      </c>
      <c r="G964" s="4413">
        <v>3000000</v>
      </c>
      <c r="H964" s="4413" t="s">
        <v>5370</v>
      </c>
      <c r="I964" s="4413" t="s">
        <v>5572</v>
      </c>
      <c r="J964" s="4413">
        <f>G964</f>
        <v>3000000</v>
      </c>
      <c r="K964" s="4603">
        <f>F967-J964</f>
        <v>0</v>
      </c>
      <c r="L964" s="3567"/>
      <c r="M964" s="386"/>
      <c r="N964" s="386"/>
      <c r="O964" s="386"/>
      <c r="P964" s="386"/>
      <c r="Q964" s="386"/>
    </row>
    <row r="965" spans="1:17" s="184" customFormat="1" ht="30" customHeight="1" x14ac:dyDescent="0.2">
      <c r="A965" s="4464"/>
      <c r="B965" s="4487"/>
      <c r="C965" s="4540"/>
      <c r="D965" s="3524">
        <v>3750000</v>
      </c>
      <c r="E965" s="3535">
        <v>0.05</v>
      </c>
      <c r="F965" s="3524">
        <f t="shared" si="93"/>
        <v>187500</v>
      </c>
      <c r="G965" s="4414"/>
      <c r="H965" s="4414"/>
      <c r="I965" s="4414"/>
      <c r="J965" s="4414"/>
      <c r="K965" s="4609"/>
      <c r="L965" s="3567" t="s">
        <v>4983</v>
      </c>
      <c r="M965" s="386"/>
      <c r="N965" s="386"/>
      <c r="O965" s="386"/>
      <c r="P965" s="386"/>
      <c r="Q965" s="386"/>
    </row>
    <row r="966" spans="1:17" s="184" customFormat="1" ht="30" customHeight="1" x14ac:dyDescent="0.2">
      <c r="A966" s="4464"/>
      <c r="B966" s="4487"/>
      <c r="C966" s="4540"/>
      <c r="D966" s="3524">
        <v>30000000</v>
      </c>
      <c r="E966" s="3535">
        <v>0.05</v>
      </c>
      <c r="F966" s="3524">
        <f t="shared" si="93"/>
        <v>1500000</v>
      </c>
      <c r="G966" s="4414"/>
      <c r="H966" s="4414"/>
      <c r="I966" s="4414"/>
      <c r="J966" s="4414"/>
      <c r="K966" s="4609"/>
      <c r="L966" s="3567" t="s">
        <v>4984</v>
      </c>
      <c r="M966" s="386"/>
      <c r="N966" s="386"/>
      <c r="O966" s="386"/>
      <c r="P966" s="386"/>
      <c r="Q966" s="386"/>
    </row>
    <row r="967" spans="1:17" s="184" customFormat="1" ht="30" customHeight="1" x14ac:dyDescent="0.2">
      <c r="A967" s="4460"/>
      <c r="B967" s="4475"/>
      <c r="C967" s="4538"/>
      <c r="D967" s="3791">
        <f>SUM(D963:D966)</f>
        <v>60000000</v>
      </c>
      <c r="E967" s="3793">
        <v>0.05</v>
      </c>
      <c r="F967" s="3791">
        <f>D967*E967</f>
        <v>3000000</v>
      </c>
      <c r="G967" s="4415"/>
      <c r="H967" s="4415"/>
      <c r="I967" s="4415"/>
      <c r="J967" s="4415"/>
      <c r="K967" s="4604"/>
      <c r="L967" s="3820"/>
      <c r="M967" s="386"/>
      <c r="N967" s="386"/>
      <c r="O967" s="386"/>
      <c r="P967" s="386"/>
      <c r="Q967" s="386"/>
    </row>
    <row r="968" spans="1:17" s="184" customFormat="1" ht="30" customHeight="1" x14ac:dyDescent="0.2">
      <c r="A968" s="4459"/>
      <c r="B968" s="4474" t="s">
        <v>3459</v>
      </c>
      <c r="C968" s="4537" t="s">
        <v>262</v>
      </c>
      <c r="D968" s="4413">
        <v>2050000000</v>
      </c>
      <c r="E968" s="4476">
        <v>0.08</v>
      </c>
      <c r="F968" s="4413">
        <f>D968*E968</f>
        <v>164000000</v>
      </c>
      <c r="G968" s="3524">
        <v>50000000</v>
      </c>
      <c r="H968" s="3524" t="s">
        <v>5343</v>
      </c>
      <c r="I968" s="3524" t="s">
        <v>1401</v>
      </c>
      <c r="J968" s="3524">
        <f>G968</f>
        <v>50000000</v>
      </c>
      <c r="K968" s="3488"/>
      <c r="L968" s="3616" t="s">
        <v>5093</v>
      </c>
      <c r="M968" s="386"/>
      <c r="N968" s="386"/>
      <c r="O968" s="386"/>
      <c r="P968" s="386"/>
      <c r="Q968" s="386"/>
    </row>
    <row r="969" spans="1:17" s="184" customFormat="1" ht="30" customHeight="1" x14ac:dyDescent="0.2">
      <c r="A969" s="4464"/>
      <c r="B969" s="4487"/>
      <c r="C969" s="4540"/>
      <c r="D969" s="4414"/>
      <c r="E969" s="4516"/>
      <c r="F969" s="4414"/>
      <c r="G969" s="3524">
        <v>50000000</v>
      </c>
      <c r="H969" s="3524" t="s">
        <v>5401</v>
      </c>
      <c r="I969" s="3524" t="s">
        <v>1401</v>
      </c>
      <c r="J969" s="3524">
        <f>G969</f>
        <v>50000000</v>
      </c>
      <c r="K969" s="3488"/>
      <c r="L969" s="3616" t="s">
        <v>5358</v>
      </c>
      <c r="M969" s="386"/>
      <c r="N969" s="386"/>
      <c r="O969" s="386"/>
      <c r="P969" s="386"/>
      <c r="Q969" s="386"/>
    </row>
    <row r="970" spans="1:17" s="184" customFormat="1" ht="30" customHeight="1" x14ac:dyDescent="0.2">
      <c r="A970" s="4464"/>
      <c r="B970" s="4487"/>
      <c r="C970" s="4540"/>
      <c r="D970" s="4414"/>
      <c r="E970" s="4516"/>
      <c r="F970" s="4414"/>
      <c r="G970" s="4469" t="s">
        <v>5357</v>
      </c>
      <c r="H970" s="4470"/>
      <c r="I970" s="4470"/>
      <c r="J970" s="4471"/>
      <c r="K970" s="3488"/>
      <c r="L970" s="3567" t="s">
        <v>5407</v>
      </c>
      <c r="M970" s="386"/>
      <c r="N970" s="386"/>
      <c r="O970" s="386"/>
      <c r="P970" s="386"/>
      <c r="Q970" s="386"/>
    </row>
    <row r="971" spans="1:17" s="184" customFormat="1" ht="30" customHeight="1" x14ac:dyDescent="0.2">
      <c r="A971" s="4460"/>
      <c r="B971" s="4475"/>
      <c r="C971" s="4538"/>
      <c r="D971" s="4415"/>
      <c r="E971" s="4477"/>
      <c r="F971" s="4415"/>
      <c r="G971" s="4469" t="s">
        <v>5461</v>
      </c>
      <c r="H971" s="4470"/>
      <c r="I971" s="4470"/>
      <c r="J971" s="4471"/>
      <c r="K971" s="3695"/>
      <c r="L971" s="3721"/>
      <c r="M971" s="386"/>
      <c r="N971" s="386"/>
      <c r="O971" s="386"/>
      <c r="P971" s="386"/>
      <c r="Q971" s="386"/>
    </row>
    <row r="972" spans="1:17" s="184" customFormat="1" ht="30" customHeight="1" x14ac:dyDescent="0.2">
      <c r="A972" s="3538"/>
      <c r="B972" s="3" t="s">
        <v>3480</v>
      </c>
      <c r="C972" s="3541" t="s">
        <v>372</v>
      </c>
      <c r="D972" s="3524">
        <v>85000000</v>
      </c>
      <c r="E972" s="3535">
        <v>7.0000000000000007E-2</v>
      </c>
      <c r="F972" s="3524">
        <f t="shared" si="93"/>
        <v>5950000.0000000009</v>
      </c>
      <c r="G972" s="3524">
        <v>5950000</v>
      </c>
      <c r="H972" s="3524" t="s">
        <v>5370</v>
      </c>
      <c r="I972" s="3524" t="s">
        <v>4450</v>
      </c>
      <c r="J972" s="3524">
        <f t="shared" ref="J972:J978" si="94">G972</f>
        <v>5950000</v>
      </c>
      <c r="K972" s="3488">
        <f t="shared" ref="K972:K975" si="95">F972-J972</f>
        <v>0</v>
      </c>
      <c r="L972" s="3567"/>
      <c r="M972" s="386"/>
      <c r="N972" s="386"/>
      <c r="O972" s="386"/>
      <c r="P972" s="386"/>
      <c r="Q972" s="386"/>
    </row>
    <row r="973" spans="1:17" s="184" customFormat="1" ht="30" customHeight="1" x14ac:dyDescent="0.2">
      <c r="A973" s="3538"/>
      <c r="B973" s="3" t="s">
        <v>3482</v>
      </c>
      <c r="C973" s="3541" t="s">
        <v>3483</v>
      </c>
      <c r="D973" s="3524">
        <v>70000000</v>
      </c>
      <c r="E973" s="3535">
        <v>0.05</v>
      </c>
      <c r="F973" s="3524">
        <f t="shared" si="93"/>
        <v>3500000</v>
      </c>
      <c r="G973" s="3524">
        <v>3500000</v>
      </c>
      <c r="H973" s="3524" t="s">
        <v>5593</v>
      </c>
      <c r="I973" s="3524" t="s">
        <v>4430</v>
      </c>
      <c r="J973" s="3524">
        <f t="shared" si="94"/>
        <v>3500000</v>
      </c>
      <c r="K973" s="3488">
        <f t="shared" si="95"/>
        <v>0</v>
      </c>
      <c r="L973" s="3567"/>
      <c r="M973" s="386"/>
      <c r="N973" s="386"/>
      <c r="O973" s="386"/>
      <c r="P973" s="386"/>
      <c r="Q973" s="386"/>
    </row>
    <row r="974" spans="1:17" s="184" customFormat="1" ht="30" customHeight="1" x14ac:dyDescent="0.2">
      <c r="A974" s="3538"/>
      <c r="B974" s="3" t="s">
        <v>3980</v>
      </c>
      <c r="C974" s="3541" t="s">
        <v>889</v>
      </c>
      <c r="D974" s="3524">
        <v>20000000</v>
      </c>
      <c r="E974" s="3535">
        <v>0.05</v>
      </c>
      <c r="F974" s="3524">
        <f t="shared" si="93"/>
        <v>1000000</v>
      </c>
      <c r="G974" s="3524"/>
      <c r="H974" s="3524"/>
      <c r="I974" s="3524" t="s">
        <v>3981</v>
      </c>
      <c r="J974" s="3524">
        <f t="shared" si="94"/>
        <v>0</v>
      </c>
      <c r="K974" s="3488">
        <f t="shared" si="95"/>
        <v>1000000</v>
      </c>
      <c r="L974" s="3567"/>
      <c r="M974" s="386"/>
      <c r="N974" s="386"/>
      <c r="O974" s="386"/>
      <c r="P974" s="386"/>
      <c r="Q974" s="386"/>
    </row>
    <row r="975" spans="1:17" s="184" customFormat="1" ht="30" customHeight="1" x14ac:dyDescent="0.2">
      <c r="A975" s="3538"/>
      <c r="B975" s="2553" t="s">
        <v>2952</v>
      </c>
      <c r="C975" s="3033" t="s">
        <v>402</v>
      </c>
      <c r="D975" s="2550">
        <v>150000000</v>
      </c>
      <c r="E975" s="2551">
        <v>0.06</v>
      </c>
      <c r="F975" s="2550">
        <f t="shared" si="93"/>
        <v>9000000</v>
      </c>
      <c r="G975" s="2550">
        <v>9000000</v>
      </c>
      <c r="H975" s="2550" t="s">
        <v>1649</v>
      </c>
      <c r="I975" s="2550" t="s">
        <v>3964</v>
      </c>
      <c r="J975" s="2550">
        <f t="shared" si="94"/>
        <v>9000000</v>
      </c>
      <c r="K975" s="2550">
        <f t="shared" si="95"/>
        <v>0</v>
      </c>
      <c r="L975" s="3034" t="s">
        <v>5463</v>
      </c>
      <c r="M975" s="386"/>
      <c r="N975" s="386"/>
      <c r="O975" s="386"/>
      <c r="P975" s="386"/>
      <c r="Q975" s="386"/>
    </row>
    <row r="976" spans="1:17" s="1660" customFormat="1" ht="30" customHeight="1" x14ac:dyDescent="0.2">
      <c r="A976" s="3562"/>
      <c r="B976" s="3539" t="s">
        <v>3554</v>
      </c>
      <c r="C976" s="3515" t="s">
        <v>372</v>
      </c>
      <c r="D976" s="3524">
        <v>10000000</v>
      </c>
      <c r="E976" s="3535">
        <v>0.05</v>
      </c>
      <c r="F976" s="3524">
        <f>D976*E976</f>
        <v>500000</v>
      </c>
      <c r="G976" s="3493">
        <v>500000</v>
      </c>
      <c r="H976" s="3493" t="s">
        <v>5370</v>
      </c>
      <c r="I976" s="3520" t="s">
        <v>3555</v>
      </c>
      <c r="J976" s="3493">
        <f t="shared" si="94"/>
        <v>500000</v>
      </c>
      <c r="K976" s="3493">
        <f>F976-J976</f>
        <v>0</v>
      </c>
      <c r="L976" s="3555"/>
      <c r="M976" s="386"/>
      <c r="N976" s="386"/>
      <c r="O976" s="386"/>
      <c r="P976" s="386"/>
      <c r="Q976" s="386"/>
    </row>
    <row r="977" spans="1:17" s="1660" customFormat="1" ht="30" customHeight="1" x14ac:dyDescent="0.2">
      <c r="A977" s="3517"/>
      <c r="B977" s="3542" t="s">
        <v>4444</v>
      </c>
      <c r="C977" s="3514" t="s">
        <v>4225</v>
      </c>
      <c r="D977" s="3524">
        <v>100000000</v>
      </c>
      <c r="E977" s="3815">
        <v>0.05</v>
      </c>
      <c r="F977" s="3524">
        <f>D977*E977</f>
        <v>5000000</v>
      </c>
      <c r="G977" s="3524">
        <v>5000000</v>
      </c>
      <c r="H977" s="3524" t="s">
        <v>5370</v>
      </c>
      <c r="I977" s="3524" t="s">
        <v>5545</v>
      </c>
      <c r="J977" s="3491">
        <f t="shared" si="94"/>
        <v>5000000</v>
      </c>
      <c r="K977" s="3491">
        <f>F977-J977</f>
        <v>0</v>
      </c>
      <c r="L977" s="848"/>
      <c r="M977" s="386"/>
      <c r="N977" s="386"/>
      <c r="O977" s="386"/>
      <c r="P977" s="386"/>
      <c r="Q977" s="386"/>
    </row>
    <row r="978" spans="1:17" s="1660" customFormat="1" ht="30" customHeight="1" x14ac:dyDescent="0.2">
      <c r="A978" s="3562"/>
      <c r="B978" s="3539" t="s">
        <v>3566</v>
      </c>
      <c r="C978" s="3541"/>
      <c r="D978" s="3524">
        <v>6000000</v>
      </c>
      <c r="E978" s="3535">
        <f>F978/D978</f>
        <v>0.05</v>
      </c>
      <c r="F978" s="3524">
        <v>300000</v>
      </c>
      <c r="G978" s="3524"/>
      <c r="H978" s="3524"/>
      <c r="I978" s="3524" t="s">
        <v>3567</v>
      </c>
      <c r="J978" s="3524">
        <f t="shared" si="94"/>
        <v>0</v>
      </c>
      <c r="K978" s="3524">
        <f>F978-J978</f>
        <v>300000</v>
      </c>
      <c r="L978" s="2179" t="s">
        <v>3568</v>
      </c>
      <c r="M978" s="386"/>
      <c r="N978" s="386"/>
      <c r="O978" s="386"/>
      <c r="P978" s="386"/>
      <c r="Q978" s="386"/>
    </row>
    <row r="979" spans="1:17" s="1660" customFormat="1" ht="30" customHeight="1" x14ac:dyDescent="0.2">
      <c r="A979" s="4599"/>
      <c r="B979" s="4457" t="s">
        <v>3590</v>
      </c>
      <c r="C979" s="4537" t="s">
        <v>2278</v>
      </c>
      <c r="D979" s="4413">
        <v>870000000</v>
      </c>
      <c r="E979" s="4476">
        <v>7.0999999999999994E-2</v>
      </c>
      <c r="F979" s="4413">
        <v>62000000</v>
      </c>
      <c r="G979" s="4413"/>
      <c r="H979" s="4413"/>
      <c r="I979" s="4413" t="s">
        <v>4473</v>
      </c>
      <c r="J979" s="4413">
        <f>G979+G980</f>
        <v>0</v>
      </c>
      <c r="K979" s="4413">
        <f>F982-J979</f>
        <v>72500000</v>
      </c>
      <c r="L979" s="3555"/>
      <c r="M979" s="386"/>
      <c r="N979" s="386"/>
      <c r="O979" s="386"/>
      <c r="P979" s="386"/>
      <c r="Q979" s="386"/>
    </row>
    <row r="980" spans="1:17" s="1660" customFormat="1" ht="30" customHeight="1" x14ac:dyDescent="0.2">
      <c r="A980" s="4600"/>
      <c r="B980" s="4488"/>
      <c r="C980" s="4540"/>
      <c r="D980" s="4414"/>
      <c r="E980" s="4516"/>
      <c r="F980" s="4414"/>
      <c r="G980" s="4414"/>
      <c r="H980" s="4414"/>
      <c r="I980" s="4414"/>
      <c r="J980" s="4414"/>
      <c r="K980" s="4414"/>
      <c r="L980" s="3555"/>
      <c r="M980" s="386"/>
      <c r="N980" s="386"/>
      <c r="O980" s="386"/>
      <c r="P980" s="386"/>
      <c r="Q980" s="386"/>
    </row>
    <row r="981" spans="1:17" s="1660" customFormat="1" ht="30" customHeight="1" x14ac:dyDescent="0.2">
      <c r="A981" s="4600"/>
      <c r="B981" s="4488"/>
      <c r="C981" s="4540"/>
      <c r="D981" s="3491">
        <v>150000000</v>
      </c>
      <c r="E981" s="3498">
        <v>7.0999999999999994E-2</v>
      </c>
      <c r="F981" s="3524">
        <f>D981*E981</f>
        <v>10649999.999999998</v>
      </c>
      <c r="G981" s="4414"/>
      <c r="H981" s="4414"/>
      <c r="I981" s="4414"/>
      <c r="J981" s="4414"/>
      <c r="K981" s="4414"/>
      <c r="L981" s="3555" t="s">
        <v>4421</v>
      </c>
      <c r="M981" s="386"/>
      <c r="N981" s="386"/>
      <c r="O981" s="386"/>
      <c r="P981" s="386"/>
      <c r="Q981" s="386"/>
    </row>
    <row r="982" spans="1:17" s="1660" customFormat="1" ht="30" customHeight="1" x14ac:dyDescent="0.2">
      <c r="A982" s="4600"/>
      <c r="B982" s="4488"/>
      <c r="C982" s="4540"/>
      <c r="D982" s="3491">
        <f>D979+D981+1000000</f>
        <v>1021000000</v>
      </c>
      <c r="E982" s="3498">
        <v>7.0999999999999994E-2</v>
      </c>
      <c r="F982" s="3524">
        <v>72500000</v>
      </c>
      <c r="G982" s="4415"/>
      <c r="H982" s="4415"/>
      <c r="I982" s="4415"/>
      <c r="J982" s="4415"/>
      <c r="K982" s="4415"/>
      <c r="L982" s="3555" t="s">
        <v>4419</v>
      </c>
      <c r="M982" s="386"/>
      <c r="N982" s="386"/>
      <c r="O982" s="386"/>
      <c r="P982" s="386"/>
      <c r="Q982" s="386"/>
    </row>
    <row r="983" spans="1:17" s="1660" customFormat="1" ht="30" customHeight="1" x14ac:dyDescent="0.2">
      <c r="A983" s="4607"/>
      <c r="B983" s="4458"/>
      <c r="C983" s="4538"/>
      <c r="D983" s="3581">
        <v>1478000000</v>
      </c>
      <c r="E983" s="3583">
        <v>7.0999999999999994E-2</v>
      </c>
      <c r="F983" s="3595">
        <v>104500000</v>
      </c>
      <c r="G983" s="5025" t="s">
        <v>5269</v>
      </c>
      <c r="H983" s="5025"/>
      <c r="I983" s="5025"/>
      <c r="J983" s="5025"/>
      <c r="K983" s="5026"/>
      <c r="L983" s="3555" t="s">
        <v>5275</v>
      </c>
      <c r="M983" s="386"/>
      <c r="N983" s="386"/>
      <c r="O983" s="386"/>
      <c r="P983" s="386"/>
      <c r="Q983" s="386"/>
    </row>
    <row r="984" spans="1:17" s="1660" customFormat="1" ht="30" customHeight="1" x14ac:dyDescent="0.2">
      <c r="A984" s="19"/>
      <c r="B984" s="3539" t="s">
        <v>3597</v>
      </c>
      <c r="C984" s="3541" t="s">
        <v>889</v>
      </c>
      <c r="D984" s="3524">
        <v>200000000</v>
      </c>
      <c r="E984" s="3535">
        <v>0.05</v>
      </c>
      <c r="F984" s="3524">
        <f>D984*E984</f>
        <v>10000000</v>
      </c>
      <c r="G984" s="3524">
        <v>10000000</v>
      </c>
      <c r="H984" s="3524" t="s">
        <v>1649</v>
      </c>
      <c r="I984" s="3524" t="s">
        <v>3598</v>
      </c>
      <c r="J984" s="3524">
        <f>G984</f>
        <v>10000000</v>
      </c>
      <c r="K984" s="3524">
        <f>F984-J984</f>
        <v>0</v>
      </c>
      <c r="L984" s="3555"/>
      <c r="M984" s="386"/>
      <c r="N984" s="386"/>
      <c r="O984" s="386"/>
      <c r="P984" s="386"/>
      <c r="Q984" s="386"/>
    </row>
    <row r="985" spans="1:17" s="1660" customFormat="1" ht="30" customHeight="1" x14ac:dyDescent="0.2">
      <c r="A985" s="3562"/>
      <c r="B985" s="3539" t="s">
        <v>3612</v>
      </c>
      <c r="C985" s="3541" t="s">
        <v>2278</v>
      </c>
      <c r="D985" s="3524">
        <v>100000000</v>
      </c>
      <c r="E985" s="3535">
        <v>0.05</v>
      </c>
      <c r="F985" s="3524">
        <f t="shared" ref="F985:F998" si="96">D985*E985</f>
        <v>5000000</v>
      </c>
      <c r="G985" s="3524">
        <v>5000000</v>
      </c>
      <c r="H985" s="3524" t="s">
        <v>5643</v>
      </c>
      <c r="I985" s="3524" t="s">
        <v>4127</v>
      </c>
      <c r="J985" s="3524">
        <f>G985</f>
        <v>5000000</v>
      </c>
      <c r="K985" s="3524">
        <f>F985-J985</f>
        <v>0</v>
      </c>
      <c r="L985" s="3555"/>
      <c r="M985" s="386"/>
      <c r="N985" s="386"/>
      <c r="O985" s="386"/>
      <c r="P985" s="386"/>
      <c r="Q985" s="386"/>
    </row>
    <row r="986" spans="1:17" s="1660" customFormat="1" ht="30" customHeight="1" x14ac:dyDescent="0.2">
      <c r="A986" s="4599"/>
      <c r="B986" s="4457" t="s">
        <v>4057</v>
      </c>
      <c r="C986" s="4537" t="s">
        <v>2278</v>
      </c>
      <c r="D986" s="3524">
        <v>130000000</v>
      </c>
      <c r="E986" s="3535">
        <v>0.05</v>
      </c>
      <c r="F986" s="3524">
        <f t="shared" si="96"/>
        <v>6500000</v>
      </c>
      <c r="G986" s="4793" t="s">
        <v>4699</v>
      </c>
      <c r="H986" s="4794"/>
      <c r="I986" s="4794"/>
      <c r="J986" s="4794"/>
      <c r="K986" s="4795"/>
      <c r="L986" s="3555" t="s">
        <v>4522</v>
      </c>
      <c r="M986" s="386"/>
      <c r="N986" s="386"/>
      <c r="O986" s="386"/>
      <c r="P986" s="386"/>
      <c r="Q986" s="386"/>
    </row>
    <row r="987" spans="1:17" s="1660" customFormat="1" ht="30" customHeight="1" x14ac:dyDescent="0.2">
      <c r="A987" s="4600"/>
      <c r="B987" s="4488"/>
      <c r="C987" s="4540"/>
      <c r="D987" s="3524">
        <v>70000000</v>
      </c>
      <c r="E987" s="3535">
        <v>0.05</v>
      </c>
      <c r="F987" s="3524">
        <f t="shared" si="96"/>
        <v>3500000</v>
      </c>
      <c r="G987" s="4799"/>
      <c r="H987" s="4800"/>
      <c r="I987" s="4800"/>
      <c r="J987" s="4800"/>
      <c r="K987" s="4801"/>
      <c r="L987" s="3555" t="s">
        <v>4521</v>
      </c>
      <c r="M987" s="386"/>
      <c r="N987" s="386"/>
      <c r="O987" s="386"/>
      <c r="P987" s="386"/>
      <c r="Q987" s="386"/>
    </row>
    <row r="988" spans="1:17" s="1660" customFormat="1" ht="30" customHeight="1" x14ac:dyDescent="0.2">
      <c r="A988" s="4607"/>
      <c r="B988" s="4458"/>
      <c r="C988" s="4538"/>
      <c r="D988" s="3595">
        <v>200000000</v>
      </c>
      <c r="E988" s="897">
        <v>0.05</v>
      </c>
      <c r="F988" s="3595">
        <f t="shared" si="96"/>
        <v>10000000</v>
      </c>
      <c r="G988" s="3524">
        <v>10000000</v>
      </c>
      <c r="H988" s="3524" t="s">
        <v>5744</v>
      </c>
      <c r="I988" s="3524" t="s">
        <v>3776</v>
      </c>
      <c r="J988" s="3491">
        <f>G988</f>
        <v>10000000</v>
      </c>
      <c r="K988" s="3491">
        <f>F988-J988</f>
        <v>0</v>
      </c>
      <c r="L988" s="3555" t="s">
        <v>2685</v>
      </c>
      <c r="M988" s="386"/>
      <c r="N988" s="386"/>
      <c r="O988" s="386"/>
      <c r="P988" s="386"/>
      <c r="Q988" s="386"/>
    </row>
    <row r="989" spans="1:17" s="1660" customFormat="1" ht="30" customHeight="1" x14ac:dyDescent="0.2">
      <c r="A989" s="4599"/>
      <c r="B989" s="4457" t="s">
        <v>3674</v>
      </c>
      <c r="C989" s="4537" t="s">
        <v>402</v>
      </c>
      <c r="D989" s="4413">
        <v>1300000000</v>
      </c>
      <c r="E989" s="4476">
        <v>7.0000000000000007E-2</v>
      </c>
      <c r="F989" s="4413">
        <f t="shared" si="96"/>
        <v>91000000.000000015</v>
      </c>
      <c r="G989" s="3524">
        <v>30000000</v>
      </c>
      <c r="H989" s="3524" t="s">
        <v>5401</v>
      </c>
      <c r="I989" s="3524" t="s">
        <v>4936</v>
      </c>
      <c r="J989" s="4413">
        <f>G989+G991+G993</f>
        <v>76000000</v>
      </c>
      <c r="K989" s="4413">
        <f>F991-J989</f>
        <v>-76000000</v>
      </c>
      <c r="L989" s="3555" t="s">
        <v>3919</v>
      </c>
      <c r="M989" s="386"/>
      <c r="N989" s="386"/>
      <c r="O989" s="386"/>
      <c r="P989" s="386"/>
      <c r="Q989" s="386"/>
    </row>
    <row r="990" spans="1:17" s="1660" customFormat="1" ht="30" customHeight="1" x14ac:dyDescent="0.2">
      <c r="A990" s="4600"/>
      <c r="B990" s="4488"/>
      <c r="C990" s="4540"/>
      <c r="D990" s="4414"/>
      <c r="E990" s="4516"/>
      <c r="F990" s="4414"/>
      <c r="G990" s="4136">
        <v>56000000</v>
      </c>
      <c r="H990" s="4133" t="s">
        <v>5943</v>
      </c>
      <c r="I990" s="4133" t="s">
        <v>5946</v>
      </c>
      <c r="J990" s="4414"/>
      <c r="K990" s="4414"/>
      <c r="L990" s="4160" t="s">
        <v>5942</v>
      </c>
      <c r="M990" s="386"/>
      <c r="N990" s="386"/>
      <c r="O990" s="386"/>
      <c r="P990" s="386"/>
      <c r="Q990" s="386"/>
    </row>
    <row r="991" spans="1:17" s="1660" customFormat="1" ht="30" customHeight="1" x14ac:dyDescent="0.2">
      <c r="A991" s="4600"/>
      <c r="B991" s="4488"/>
      <c r="C991" s="4540"/>
      <c r="D991" s="4414"/>
      <c r="E991" s="4516"/>
      <c r="F991" s="4414"/>
      <c r="G991" s="3524">
        <v>38000000</v>
      </c>
      <c r="H991" s="3524" t="s">
        <v>1012</v>
      </c>
      <c r="I991" s="3524" t="s">
        <v>1613</v>
      </c>
      <c r="J991" s="4414"/>
      <c r="K991" s="4414"/>
      <c r="L991" s="3555" t="s">
        <v>3709</v>
      </c>
      <c r="M991" s="386"/>
      <c r="N991" s="386"/>
      <c r="O991" s="386"/>
      <c r="P991" s="386"/>
      <c r="Q991" s="386"/>
    </row>
    <row r="992" spans="1:17" s="1660" customFormat="1" ht="30" customHeight="1" x14ac:dyDescent="0.2">
      <c r="A992" s="4600"/>
      <c r="B992" s="4488"/>
      <c r="C992" s="4540"/>
      <c r="D992" s="4414"/>
      <c r="E992" s="4516"/>
      <c r="F992" s="4414"/>
      <c r="G992" s="4136">
        <v>40000000</v>
      </c>
      <c r="H992" s="4133" t="s">
        <v>5848</v>
      </c>
      <c r="I992" s="4133" t="s">
        <v>5944</v>
      </c>
      <c r="J992" s="4414"/>
      <c r="K992" s="4414"/>
      <c r="L992" s="4160" t="s">
        <v>5945</v>
      </c>
      <c r="M992" s="386"/>
      <c r="N992" s="386"/>
      <c r="O992" s="386"/>
      <c r="P992" s="386"/>
      <c r="Q992" s="386"/>
    </row>
    <row r="993" spans="1:17" s="1660" customFormat="1" ht="30" customHeight="1" x14ac:dyDescent="0.2">
      <c r="A993" s="4600"/>
      <c r="B993" s="4488"/>
      <c r="C993" s="4540"/>
      <c r="D993" s="4414"/>
      <c r="E993" s="4516"/>
      <c r="F993" s="4414"/>
      <c r="G993" s="3524">
        <v>8000000</v>
      </c>
      <c r="H993" s="3524" t="s">
        <v>5934</v>
      </c>
      <c r="I993" s="3524" t="s">
        <v>1613</v>
      </c>
      <c r="J993" s="4415"/>
      <c r="K993" s="4415"/>
      <c r="L993" s="3555"/>
      <c r="M993" s="386"/>
      <c r="N993" s="386"/>
      <c r="O993" s="386"/>
      <c r="P993" s="386"/>
      <c r="Q993" s="386"/>
    </row>
    <row r="994" spans="1:17" s="1660" customFormat="1" ht="30" customHeight="1" x14ac:dyDescent="0.2">
      <c r="A994" s="4600"/>
      <c r="B994" s="4488"/>
      <c r="C994" s="4540"/>
      <c r="D994" s="4414"/>
      <c r="E994" s="4516"/>
      <c r="F994" s="4414"/>
      <c r="G994" s="4197">
        <v>30000000</v>
      </c>
      <c r="H994" s="4197" t="s">
        <v>6007</v>
      </c>
      <c r="I994" s="4197" t="s">
        <v>1613</v>
      </c>
      <c r="J994" s="4413">
        <f>G994+G995</f>
        <v>80000000</v>
      </c>
      <c r="K994" s="4413"/>
      <c r="L994" s="4202" t="s">
        <v>6010</v>
      </c>
      <c r="M994" s="386"/>
      <c r="N994" s="386"/>
      <c r="O994" s="386"/>
      <c r="P994" s="386"/>
      <c r="Q994" s="386"/>
    </row>
    <row r="995" spans="1:17" s="1660" customFormat="1" ht="30" customHeight="1" x14ac:dyDescent="0.2">
      <c r="A995" s="4607"/>
      <c r="B995" s="4458"/>
      <c r="C995" s="4538"/>
      <c r="D995" s="4415"/>
      <c r="E995" s="4477"/>
      <c r="F995" s="4415"/>
      <c r="G995" s="4197">
        <v>50000000</v>
      </c>
      <c r="H995" s="4197" t="s">
        <v>6007</v>
      </c>
      <c r="I995" s="4197" t="s">
        <v>1613</v>
      </c>
      <c r="J995" s="4415"/>
      <c r="K995" s="4415"/>
      <c r="L995" s="4202" t="s">
        <v>6010</v>
      </c>
      <c r="M995" s="386"/>
      <c r="N995" s="386"/>
      <c r="O995" s="386"/>
      <c r="P995" s="386"/>
      <c r="Q995" s="386"/>
    </row>
    <row r="996" spans="1:17" s="1660" customFormat="1" ht="30" customHeight="1" x14ac:dyDescent="0.2">
      <c r="A996" s="3562"/>
      <c r="B996" s="3539" t="s">
        <v>3707</v>
      </c>
      <c r="C996" s="3541" t="s">
        <v>3390</v>
      </c>
      <c r="D996" s="3524">
        <v>10000000</v>
      </c>
      <c r="E996" s="3535">
        <v>0.05</v>
      </c>
      <c r="F996" s="3524">
        <f t="shared" si="96"/>
        <v>500000</v>
      </c>
      <c r="G996" s="3524">
        <v>500000</v>
      </c>
      <c r="H996" s="3524" t="s">
        <v>5848</v>
      </c>
      <c r="I996" s="3524" t="s">
        <v>4156</v>
      </c>
      <c r="J996" s="3524">
        <f>G996</f>
        <v>500000</v>
      </c>
      <c r="K996" s="3524">
        <f>F996-J996</f>
        <v>0</v>
      </c>
      <c r="L996" s="3555"/>
      <c r="M996" s="386"/>
      <c r="N996" s="386"/>
      <c r="O996" s="386"/>
      <c r="P996" s="386"/>
      <c r="Q996" s="386"/>
    </row>
    <row r="997" spans="1:17" s="1660" customFormat="1" ht="30" customHeight="1" x14ac:dyDescent="0.2">
      <c r="A997" s="4599"/>
      <c r="B997" s="4457" t="s">
        <v>3710</v>
      </c>
      <c r="C997" s="4537" t="s">
        <v>262</v>
      </c>
      <c r="D997" s="3524">
        <v>58000000</v>
      </c>
      <c r="E997" s="3535">
        <v>0.05</v>
      </c>
      <c r="F997" s="3524">
        <f t="shared" si="96"/>
        <v>2900000</v>
      </c>
      <c r="G997" s="3524"/>
      <c r="H997" s="3524"/>
      <c r="I997" s="3524"/>
      <c r="J997" s="3524"/>
      <c r="K997" s="3524"/>
      <c r="L997" s="3555"/>
      <c r="M997" s="386"/>
      <c r="N997" s="386"/>
      <c r="O997" s="386"/>
      <c r="P997" s="386"/>
      <c r="Q997" s="386"/>
    </row>
    <row r="998" spans="1:17" s="1660" customFormat="1" ht="30" customHeight="1" x14ac:dyDescent="0.2">
      <c r="A998" s="4600"/>
      <c r="B998" s="4488"/>
      <c r="C998" s="4540"/>
      <c r="D998" s="3524">
        <v>39500000</v>
      </c>
      <c r="E998" s="3535">
        <v>0.05</v>
      </c>
      <c r="F998" s="3524">
        <f t="shared" si="96"/>
        <v>1975000</v>
      </c>
      <c r="G998" s="3524"/>
      <c r="H998" s="3524"/>
      <c r="I998" s="3524"/>
      <c r="J998" s="3524"/>
      <c r="K998" s="3524"/>
      <c r="L998" s="3555" t="s">
        <v>5279</v>
      </c>
      <c r="M998" s="386"/>
      <c r="N998" s="386"/>
      <c r="O998" s="386"/>
      <c r="P998" s="386"/>
      <c r="Q998" s="386"/>
    </row>
    <row r="999" spans="1:17" s="1660" customFormat="1" ht="30" customHeight="1" x14ac:dyDescent="0.2">
      <c r="A999" s="4607"/>
      <c r="B999" s="4458"/>
      <c r="C999" s="4538"/>
      <c r="D999" s="3595">
        <f>D997+D998</f>
        <v>97500000</v>
      </c>
      <c r="E999" s="897"/>
      <c r="F999" s="3595"/>
      <c r="G999" s="3524"/>
      <c r="H999" s="3524"/>
      <c r="I999" s="3524"/>
      <c r="J999" s="3524"/>
      <c r="K999" s="3524"/>
      <c r="L999" s="3555"/>
      <c r="M999" s="386"/>
      <c r="N999" s="386"/>
      <c r="O999" s="386"/>
      <c r="P999" s="386"/>
      <c r="Q999" s="386"/>
    </row>
    <row r="1000" spans="1:17" s="1660" customFormat="1" ht="30" customHeight="1" x14ac:dyDescent="0.2">
      <c r="A1000" s="3562"/>
      <c r="B1000" s="3539" t="s">
        <v>3742</v>
      </c>
      <c r="C1000" s="3541" t="s">
        <v>1300</v>
      </c>
      <c r="D1000" s="3524">
        <v>100000000</v>
      </c>
      <c r="E1000" s="3535">
        <v>0.05</v>
      </c>
      <c r="F1000" s="3524">
        <f>D1000*E1000</f>
        <v>5000000</v>
      </c>
      <c r="G1000" s="3524">
        <v>5000000</v>
      </c>
      <c r="H1000" s="3524" t="s">
        <v>5706</v>
      </c>
      <c r="I1000" s="3524" t="s">
        <v>5119</v>
      </c>
      <c r="J1000" s="3524">
        <f>G1000</f>
        <v>5000000</v>
      </c>
      <c r="K1000" s="3524">
        <f>F1000-J1000</f>
        <v>0</v>
      </c>
      <c r="L1000" s="3555"/>
      <c r="M1000" s="386"/>
      <c r="N1000" s="386"/>
      <c r="O1000" s="386"/>
      <c r="P1000" s="386"/>
      <c r="Q1000" s="386"/>
    </row>
    <row r="1001" spans="1:17" s="1660" customFormat="1" ht="30" customHeight="1" x14ac:dyDescent="0.2">
      <c r="A1001" s="3562"/>
      <c r="B1001" s="3539" t="s">
        <v>3743</v>
      </c>
      <c r="C1001" s="3541" t="s">
        <v>1300</v>
      </c>
      <c r="D1001" s="3493">
        <v>96000000</v>
      </c>
      <c r="E1001" s="3499">
        <v>0.05</v>
      </c>
      <c r="F1001" s="3493">
        <v>5000000</v>
      </c>
      <c r="G1001" s="3524">
        <v>5000000</v>
      </c>
      <c r="H1001" s="3524" t="s">
        <v>5706</v>
      </c>
      <c r="I1001" s="3524" t="s">
        <v>5118</v>
      </c>
      <c r="J1001" s="3524">
        <f>G1001</f>
        <v>5000000</v>
      </c>
      <c r="K1001" s="3524">
        <f>F1001-J1001</f>
        <v>0</v>
      </c>
      <c r="L1001" s="3555"/>
      <c r="M1001" s="386"/>
      <c r="N1001" s="386"/>
      <c r="O1001" s="386"/>
      <c r="P1001" s="386"/>
      <c r="Q1001" s="386"/>
    </row>
    <row r="1002" spans="1:17" s="1660" customFormat="1" ht="30" customHeight="1" x14ac:dyDescent="0.2">
      <c r="A1002" s="3562"/>
      <c r="B1002" s="3539" t="s">
        <v>3869</v>
      </c>
      <c r="C1002" s="3541" t="s">
        <v>3219</v>
      </c>
      <c r="D1002" s="3493">
        <v>100000000</v>
      </c>
      <c r="E1002" s="3499">
        <v>0.06</v>
      </c>
      <c r="F1002" s="3493">
        <f>D1002*E1002</f>
        <v>6000000</v>
      </c>
      <c r="G1002" s="3493"/>
      <c r="H1002" s="3493"/>
      <c r="I1002" s="3520"/>
      <c r="J1002" s="3493"/>
      <c r="K1002" s="3493"/>
      <c r="L1002" s="3555" t="s">
        <v>3872</v>
      </c>
      <c r="M1002" s="386"/>
      <c r="N1002" s="386"/>
      <c r="O1002" s="386"/>
      <c r="P1002" s="386"/>
      <c r="Q1002" s="386"/>
    </row>
    <row r="1003" spans="1:17" s="1660" customFormat="1" ht="30" customHeight="1" x14ac:dyDescent="0.2">
      <c r="A1003" s="3562"/>
      <c r="B1003" s="3539" t="s">
        <v>3871</v>
      </c>
      <c r="C1003" s="3541" t="s">
        <v>3390</v>
      </c>
      <c r="D1003" s="3524">
        <v>50000000</v>
      </c>
      <c r="E1003" s="3499">
        <v>0.05</v>
      </c>
      <c r="F1003" s="3493">
        <f>D1003*E1003</f>
        <v>2500000</v>
      </c>
      <c r="G1003" s="3493"/>
      <c r="H1003" s="3493"/>
      <c r="I1003" s="3520"/>
      <c r="J1003" s="3493"/>
      <c r="K1003" s="3493"/>
      <c r="L1003" s="3555"/>
      <c r="M1003" s="386"/>
      <c r="N1003" s="386"/>
      <c r="O1003" s="386"/>
      <c r="P1003" s="386"/>
      <c r="Q1003" s="386"/>
    </row>
    <row r="1004" spans="1:17" s="1660" customFormat="1" ht="30" customHeight="1" x14ac:dyDescent="0.2">
      <c r="A1004" s="3562"/>
      <c r="B1004" s="3539" t="s">
        <v>3890</v>
      </c>
      <c r="C1004" s="3541"/>
      <c r="D1004" s="3494"/>
      <c r="E1004" s="3494"/>
      <c r="F1004" s="3494"/>
      <c r="G1004" s="3493"/>
      <c r="H1004" s="3493"/>
      <c r="I1004" s="3520" t="s">
        <v>3891</v>
      </c>
      <c r="J1004" s="3493">
        <f>G1004</f>
        <v>0</v>
      </c>
      <c r="K1004" s="3493">
        <f>F1004-J1004</f>
        <v>0</v>
      </c>
      <c r="L1004" s="3555"/>
      <c r="M1004" s="386"/>
      <c r="N1004" s="386"/>
      <c r="O1004" s="386"/>
      <c r="P1004" s="386"/>
      <c r="Q1004" s="386"/>
    </row>
    <row r="1005" spans="1:17" s="1660" customFormat="1" ht="30" customHeight="1" x14ac:dyDescent="0.2">
      <c r="A1005" s="4687"/>
      <c r="B1005" s="4615" t="s">
        <v>3895</v>
      </c>
      <c r="C1005" s="4620" t="s">
        <v>4107</v>
      </c>
      <c r="D1005" s="3524">
        <v>120000000</v>
      </c>
      <c r="E1005" s="3499">
        <v>0.05</v>
      </c>
      <c r="F1005" s="3493">
        <f>D1005*E1005</f>
        <v>6000000</v>
      </c>
      <c r="G1005" s="4413"/>
      <c r="H1005" s="4413"/>
      <c r="I1005" s="4413" t="s">
        <v>4315</v>
      </c>
      <c r="J1005" s="4413">
        <f>G1005</f>
        <v>0</v>
      </c>
      <c r="K1005" s="4413">
        <f>(F1005+F1006)-J1005</f>
        <v>8100000</v>
      </c>
      <c r="L1005" s="3555" t="s">
        <v>3897</v>
      </c>
      <c r="M1005" s="386"/>
      <c r="N1005" s="386"/>
      <c r="O1005" s="386"/>
      <c r="P1005" s="386"/>
      <c r="Q1005" s="386"/>
    </row>
    <row r="1006" spans="1:17" s="1660" customFormat="1" ht="30" customHeight="1" x14ac:dyDescent="0.2">
      <c r="A1006" s="4687"/>
      <c r="B1006" s="4615"/>
      <c r="C1006" s="4620"/>
      <c r="D1006" s="3493">
        <v>30000000</v>
      </c>
      <c r="E1006" s="3499">
        <v>7.0000000000000007E-2</v>
      </c>
      <c r="F1006" s="3493">
        <f>D1006*E1006</f>
        <v>2100000</v>
      </c>
      <c r="G1006" s="4415"/>
      <c r="H1006" s="4415"/>
      <c r="I1006" s="4415"/>
      <c r="J1006" s="4415"/>
      <c r="K1006" s="4415"/>
      <c r="L1006" s="2024" t="s">
        <v>4217</v>
      </c>
      <c r="M1006" s="386"/>
      <c r="N1006" s="386"/>
      <c r="O1006" s="386"/>
      <c r="P1006" s="386"/>
      <c r="Q1006" s="386"/>
    </row>
    <row r="1007" spans="1:17" s="1660" customFormat="1" ht="30" customHeight="1" x14ac:dyDescent="0.2">
      <c r="A1007" s="3562"/>
      <c r="B1007" s="3539" t="s">
        <v>3957</v>
      </c>
      <c r="C1007" s="3515" t="s">
        <v>3390</v>
      </c>
      <c r="D1007" s="3493">
        <v>50000000</v>
      </c>
      <c r="E1007" s="3499">
        <v>0.05</v>
      </c>
      <c r="F1007" s="3493">
        <f>D1007*E1007</f>
        <v>2500000</v>
      </c>
      <c r="G1007" s="3493">
        <v>2500000</v>
      </c>
      <c r="H1007" s="3493" t="s">
        <v>5859</v>
      </c>
      <c r="I1007" s="3520" t="s">
        <v>4602</v>
      </c>
      <c r="J1007" s="3493">
        <f>G1007</f>
        <v>2500000</v>
      </c>
      <c r="K1007" s="3493">
        <f>F1007-J1007</f>
        <v>0</v>
      </c>
      <c r="L1007" s="3555"/>
      <c r="M1007" s="386"/>
      <c r="N1007" s="386"/>
      <c r="O1007" s="386"/>
      <c r="P1007" s="386"/>
      <c r="Q1007" s="386"/>
    </row>
    <row r="1008" spans="1:17" s="1660" customFormat="1" ht="30" customHeight="1" x14ac:dyDescent="0.2">
      <c r="A1008" s="3562"/>
      <c r="B1008" s="3539" t="s">
        <v>3962</v>
      </c>
      <c r="C1008" s="3515"/>
      <c r="D1008" s="3493">
        <f>25000000+10000000+10000000+250000+2500000+1500000+500000</f>
        <v>49750000</v>
      </c>
      <c r="E1008" s="3499"/>
      <c r="F1008" s="3493"/>
      <c r="G1008" s="3493"/>
      <c r="H1008" s="3493"/>
      <c r="I1008" s="3520"/>
      <c r="J1008" s="3493"/>
      <c r="K1008" s="3493"/>
      <c r="L1008" s="3555" t="s">
        <v>3963</v>
      </c>
      <c r="M1008" s="386"/>
      <c r="N1008" s="386"/>
      <c r="O1008" s="386"/>
      <c r="P1008" s="386"/>
      <c r="Q1008" s="386"/>
    </row>
    <row r="1009" spans="1:17" s="1660" customFormat="1" ht="30" customHeight="1" x14ac:dyDescent="0.2">
      <c r="A1009" s="4599"/>
      <c r="B1009" s="4457" t="s">
        <v>4904</v>
      </c>
      <c r="C1009" s="4537" t="s">
        <v>942</v>
      </c>
      <c r="D1009" s="4413">
        <v>800000000</v>
      </c>
      <c r="E1009" s="4476">
        <v>6.5000000000000002E-2</v>
      </c>
      <c r="F1009" s="4648">
        <f>D1009*E1009</f>
        <v>52000000</v>
      </c>
      <c r="G1009" s="3493">
        <v>2000000</v>
      </c>
      <c r="H1009" s="3493" t="s">
        <v>5859</v>
      </c>
      <c r="I1009" s="3520" t="s">
        <v>4264</v>
      </c>
      <c r="J1009" s="3493">
        <f>G1009</f>
        <v>2000000</v>
      </c>
      <c r="K1009" s="3493"/>
      <c r="L1009" s="3597" t="s">
        <v>5926</v>
      </c>
      <c r="M1009" s="386"/>
      <c r="N1009" s="386"/>
      <c r="O1009" s="386"/>
      <c r="P1009" s="386"/>
      <c r="Q1009" s="386"/>
    </row>
    <row r="1010" spans="1:17" s="1660" customFormat="1" ht="30" customHeight="1" x14ac:dyDescent="0.2">
      <c r="A1010" s="4607"/>
      <c r="B1010" s="4458"/>
      <c r="C1010" s="4538"/>
      <c r="D1010" s="4415"/>
      <c r="E1010" s="4477"/>
      <c r="F1010" s="4650"/>
      <c r="G1010" s="4117"/>
      <c r="H1010" s="4117"/>
      <c r="I1010" s="4121"/>
      <c r="J1010" s="4117"/>
      <c r="K1010" s="4117"/>
      <c r="L1010" s="4127" t="s">
        <v>4973</v>
      </c>
      <c r="M1010" s="386"/>
      <c r="N1010" s="386"/>
      <c r="O1010" s="386"/>
      <c r="P1010" s="386"/>
      <c r="Q1010" s="386"/>
    </row>
    <row r="1011" spans="1:17" s="1660" customFormat="1" ht="30" customHeight="1" x14ac:dyDescent="0.2">
      <c r="A1011" s="4599"/>
      <c r="B1011" s="4457" t="s">
        <v>3965</v>
      </c>
      <c r="C1011" s="3515" t="s">
        <v>1652</v>
      </c>
      <c r="D1011" s="3493">
        <v>58000000</v>
      </c>
      <c r="E1011" s="3499">
        <v>0.05</v>
      </c>
      <c r="F1011" s="3493">
        <f>D1011*E1011</f>
        <v>2900000</v>
      </c>
      <c r="G1011" s="4413">
        <v>4620000</v>
      </c>
      <c r="H1011" s="4413" t="s">
        <v>5370</v>
      </c>
      <c r="I1011" s="4413" t="s">
        <v>5543</v>
      </c>
      <c r="J1011" s="4413">
        <f>G1011</f>
        <v>4620000</v>
      </c>
      <c r="K1011" s="4413"/>
      <c r="L1011" s="3555"/>
      <c r="M1011" s="386"/>
      <c r="N1011" s="386"/>
      <c r="O1011" s="386"/>
      <c r="P1011" s="386"/>
      <c r="Q1011" s="386"/>
    </row>
    <row r="1012" spans="1:17" s="1660" customFormat="1" ht="30" customHeight="1" x14ac:dyDescent="0.2">
      <c r="A1012" s="4607"/>
      <c r="B1012" s="4458"/>
      <c r="C1012" s="3515" t="s">
        <v>1298</v>
      </c>
      <c r="D1012" s="3493">
        <v>40000000</v>
      </c>
      <c r="E1012" s="3499">
        <v>0.05</v>
      </c>
      <c r="F1012" s="3493">
        <f>D1012*E1012</f>
        <v>2000000</v>
      </c>
      <c r="G1012" s="4415"/>
      <c r="H1012" s="4415"/>
      <c r="I1012" s="4415"/>
      <c r="J1012" s="4415"/>
      <c r="K1012" s="4415"/>
      <c r="L1012" s="3555" t="s">
        <v>5288</v>
      </c>
      <c r="M1012" s="386"/>
      <c r="N1012" s="386"/>
      <c r="O1012" s="386"/>
      <c r="P1012" s="386"/>
      <c r="Q1012" s="386"/>
    </row>
    <row r="1013" spans="1:17" s="1660" customFormat="1" ht="30" customHeight="1" x14ac:dyDescent="0.2">
      <c r="A1013" s="3562"/>
      <c r="B1013" s="3539" t="s">
        <v>896</v>
      </c>
      <c r="C1013" s="3515"/>
      <c r="D1013" s="3493">
        <v>130000000</v>
      </c>
      <c r="E1013" s="3499">
        <v>0.05</v>
      </c>
      <c r="F1013" s="3493">
        <f>D1013*E1013</f>
        <v>6500000</v>
      </c>
      <c r="G1013" s="3493">
        <v>6500000</v>
      </c>
      <c r="H1013" s="3493" t="s">
        <v>1527</v>
      </c>
      <c r="I1013" s="3520" t="s">
        <v>4871</v>
      </c>
      <c r="J1013" s="3493">
        <f t="shared" ref="J1013:J1016" si="97">G1013</f>
        <v>6500000</v>
      </c>
      <c r="K1013" s="3493">
        <f>F1013-J1013</f>
        <v>0</v>
      </c>
      <c r="L1013" s="3555"/>
      <c r="M1013" s="386"/>
      <c r="N1013" s="386"/>
      <c r="O1013" s="386"/>
      <c r="P1013" s="386"/>
      <c r="Q1013" s="386"/>
    </row>
    <row r="1014" spans="1:17" s="1660" customFormat="1" ht="30" customHeight="1" x14ac:dyDescent="0.2">
      <c r="A1014" s="3562"/>
      <c r="B1014" s="3539" t="s">
        <v>2305</v>
      </c>
      <c r="C1014" s="3515"/>
      <c r="D1014" s="4303" t="s">
        <v>5712</v>
      </c>
      <c r="E1014" s="4324"/>
      <c r="F1014" s="4355"/>
      <c r="G1014" s="3493">
        <v>10000000</v>
      </c>
      <c r="H1014" s="3493" t="s">
        <v>5706</v>
      </c>
      <c r="I1014" s="3520" t="s">
        <v>3609</v>
      </c>
      <c r="J1014" s="3493">
        <f t="shared" si="97"/>
        <v>10000000</v>
      </c>
      <c r="K1014" s="3493"/>
      <c r="L1014" s="3555"/>
      <c r="M1014" s="386"/>
      <c r="N1014" s="386"/>
      <c r="O1014" s="386"/>
      <c r="P1014" s="386"/>
      <c r="Q1014" s="386"/>
    </row>
    <row r="1015" spans="1:17" s="1660" customFormat="1" ht="30" customHeight="1" x14ac:dyDescent="0.2">
      <c r="A1015" s="3562"/>
      <c r="B1015" s="3539" t="s">
        <v>4015</v>
      </c>
      <c r="C1015" s="3515" t="s">
        <v>4225</v>
      </c>
      <c r="D1015" s="3493">
        <v>100000000</v>
      </c>
      <c r="E1015" s="3499">
        <v>0.06</v>
      </c>
      <c r="F1015" s="3493">
        <f>D1015*E1015</f>
        <v>6000000</v>
      </c>
      <c r="G1015" s="3800">
        <v>6000000</v>
      </c>
      <c r="H1015" s="3800" t="s">
        <v>5370</v>
      </c>
      <c r="I1015" s="3800" t="s">
        <v>5087</v>
      </c>
      <c r="J1015" s="3800">
        <f t="shared" si="97"/>
        <v>6000000</v>
      </c>
      <c r="K1015" s="3493">
        <f>F1015-J1015</f>
        <v>0</v>
      </c>
      <c r="L1015" s="3555"/>
      <c r="M1015" s="386"/>
      <c r="N1015" s="386"/>
      <c r="O1015" s="386"/>
      <c r="P1015" s="386"/>
      <c r="Q1015" s="386"/>
    </row>
    <row r="1016" spans="1:17" s="1660" customFormat="1" ht="30" customHeight="1" x14ac:dyDescent="0.2">
      <c r="A1016" s="3562"/>
      <c r="B1016" s="3539" t="s">
        <v>4026</v>
      </c>
      <c r="C1016" s="3515"/>
      <c r="D1016" s="3493">
        <v>110000000</v>
      </c>
      <c r="E1016" s="3499">
        <v>0.04</v>
      </c>
      <c r="F1016" s="3493">
        <f>D1016*E1016</f>
        <v>4400000</v>
      </c>
      <c r="G1016" s="3493">
        <v>4400000</v>
      </c>
      <c r="H1016" s="3493" t="s">
        <v>2019</v>
      </c>
      <c r="I1016" s="3520" t="s">
        <v>3469</v>
      </c>
      <c r="J1016" s="3493">
        <f t="shared" si="97"/>
        <v>4400000</v>
      </c>
      <c r="K1016" s="3493">
        <f>F1016-J1016</f>
        <v>0</v>
      </c>
      <c r="L1016" s="3555"/>
      <c r="M1016" s="386"/>
      <c r="N1016" s="386"/>
      <c r="O1016" s="386"/>
      <c r="P1016" s="386"/>
      <c r="Q1016" s="386"/>
    </row>
    <row r="1017" spans="1:17" s="1660" customFormat="1" ht="30" customHeight="1" x14ac:dyDescent="0.2">
      <c r="A1017" s="3562"/>
      <c r="B1017" s="3539" t="s">
        <v>1455</v>
      </c>
      <c r="C1017" s="3515"/>
      <c r="D1017" s="3493">
        <v>50000000</v>
      </c>
      <c r="E1017" s="3499">
        <v>0.05</v>
      </c>
      <c r="F1017" s="3493">
        <f>D1017*E1017</f>
        <v>2500000</v>
      </c>
      <c r="G1017" s="233"/>
      <c r="H1017" s="233"/>
      <c r="I1017" s="233"/>
      <c r="J1017" s="233"/>
      <c r="K1017" s="3493"/>
      <c r="L1017" s="3555"/>
      <c r="M1017" s="386"/>
      <c r="N1017" s="386"/>
      <c r="O1017" s="386"/>
      <c r="P1017" s="386"/>
      <c r="Q1017" s="386"/>
    </row>
    <row r="1018" spans="1:17" s="1660" customFormat="1" ht="30" customHeight="1" x14ac:dyDescent="0.2">
      <c r="A1018" s="4599"/>
      <c r="B1018" s="4457" t="s">
        <v>4039</v>
      </c>
      <c r="C1018" s="4537"/>
      <c r="D1018" s="3491">
        <v>21000000</v>
      </c>
      <c r="E1018" s="3524"/>
      <c r="F1018" s="3491"/>
      <c r="G1018" s="3491"/>
      <c r="H1018" s="3491"/>
      <c r="I1018" s="3491"/>
      <c r="J1018" s="3491"/>
      <c r="K1018" s="3492"/>
      <c r="L1018" s="3566" t="s">
        <v>4221</v>
      </c>
      <c r="M1018" s="386"/>
      <c r="N1018" s="386"/>
      <c r="O1018" s="386"/>
      <c r="P1018" s="386"/>
      <c r="Q1018" s="386"/>
    </row>
    <row r="1019" spans="1:17" s="1660" customFormat="1" ht="30" customHeight="1" x14ac:dyDescent="0.2">
      <c r="A1019" s="4607"/>
      <c r="B1019" s="4458"/>
      <c r="C1019" s="4538"/>
      <c r="D1019" s="3491">
        <v>520000000</v>
      </c>
      <c r="E1019" s="3493"/>
      <c r="F1019" s="3491"/>
      <c r="G1019" s="3491"/>
      <c r="H1019" s="3491"/>
      <c r="I1019" s="3491"/>
      <c r="J1019" s="3491"/>
      <c r="K1019" s="3492"/>
      <c r="L1019" s="3566" t="s">
        <v>5128</v>
      </c>
      <c r="M1019" s="386"/>
      <c r="N1019" s="386"/>
      <c r="O1019" s="386"/>
      <c r="P1019" s="386"/>
      <c r="Q1019" s="386"/>
    </row>
    <row r="1020" spans="1:17" s="1660" customFormat="1" ht="30" customHeight="1" x14ac:dyDescent="0.2">
      <c r="A1020" s="4599"/>
      <c r="B1020" s="4457" t="s">
        <v>4048</v>
      </c>
      <c r="C1020" s="4537" t="s">
        <v>990</v>
      </c>
      <c r="D1020" s="3524">
        <v>47000000</v>
      </c>
      <c r="E1020" s="3499">
        <v>0.05</v>
      </c>
      <c r="F1020" s="3524">
        <f>D1020*E1020</f>
        <v>2350000</v>
      </c>
      <c r="G1020" s="4413">
        <v>3850000</v>
      </c>
      <c r="H1020" s="4413" t="s">
        <v>6002</v>
      </c>
      <c r="I1020" s="4413" t="s">
        <v>4768</v>
      </c>
      <c r="J1020" s="4413">
        <f>G1020</f>
        <v>3850000</v>
      </c>
      <c r="K1020" s="4413">
        <f>(F1020+F1021)-J1020</f>
        <v>3000000</v>
      </c>
      <c r="L1020" s="3567" t="s">
        <v>5285</v>
      </c>
      <c r="M1020" s="386"/>
      <c r="N1020" s="386"/>
      <c r="O1020" s="386"/>
      <c r="P1020" s="386"/>
      <c r="Q1020" s="386"/>
    </row>
    <row r="1021" spans="1:17" s="1660" customFormat="1" ht="30" customHeight="1" x14ac:dyDescent="0.2">
      <c r="A1021" s="4607"/>
      <c r="B1021" s="4458"/>
      <c r="C1021" s="4538"/>
      <c r="D1021" s="3520">
        <v>90000000</v>
      </c>
      <c r="E1021" s="3499">
        <v>0.05</v>
      </c>
      <c r="F1021" s="3521">
        <f>D1021*E1021</f>
        <v>4500000</v>
      </c>
      <c r="G1021" s="4415"/>
      <c r="H1021" s="4415"/>
      <c r="I1021" s="4415"/>
      <c r="J1021" s="4415"/>
      <c r="K1021" s="4415"/>
      <c r="L1021" s="3555" t="s">
        <v>5286</v>
      </c>
      <c r="M1021" s="386"/>
      <c r="N1021" s="386"/>
      <c r="O1021" s="386"/>
      <c r="P1021" s="386"/>
      <c r="Q1021" s="386"/>
    </row>
    <row r="1022" spans="1:17" s="1660" customFormat="1" ht="30" customHeight="1" x14ac:dyDescent="0.2">
      <c r="A1022" s="4175"/>
      <c r="B1022" s="4171"/>
      <c r="C1022" s="4176"/>
      <c r="D1022" s="4173">
        <v>3000000</v>
      </c>
      <c r="E1022" s="4170">
        <v>0.05</v>
      </c>
      <c r="F1022" s="4174">
        <f>D1023*E1022</f>
        <v>5000000</v>
      </c>
      <c r="G1022" s="4469" t="s">
        <v>6003</v>
      </c>
      <c r="H1022" s="4470"/>
      <c r="I1022" s="4470"/>
      <c r="J1022" s="4471"/>
      <c r="K1022" s="4169"/>
      <c r="L1022" s="4177"/>
      <c r="M1022" s="386"/>
      <c r="N1022" s="386"/>
      <c r="O1022" s="386"/>
      <c r="P1022" s="386"/>
      <c r="Q1022" s="386"/>
    </row>
    <row r="1023" spans="1:17" s="1660" customFormat="1" ht="30" customHeight="1" x14ac:dyDescent="0.2">
      <c r="A1023" s="3562"/>
      <c r="B1023" s="3502" t="s">
        <v>4081</v>
      </c>
      <c r="C1023" s="3515" t="s">
        <v>1652</v>
      </c>
      <c r="D1023" s="3520">
        <v>100000000</v>
      </c>
      <c r="E1023" s="3499">
        <v>0.05</v>
      </c>
      <c r="F1023" s="3521">
        <f>D1023*E1023</f>
        <v>5000000</v>
      </c>
      <c r="G1023" s="3493">
        <v>5000000</v>
      </c>
      <c r="H1023" s="3493" t="s">
        <v>1649</v>
      </c>
      <c r="I1023" s="3520" t="s">
        <v>5473</v>
      </c>
      <c r="J1023" s="3493">
        <f t="shared" ref="J1023:J1025" si="98">G1023</f>
        <v>5000000</v>
      </c>
      <c r="K1023" s="3493">
        <f>F1023-J1023</f>
        <v>0</v>
      </c>
      <c r="L1023" s="3555"/>
      <c r="M1023" s="386"/>
      <c r="N1023" s="386"/>
      <c r="O1023" s="386"/>
      <c r="P1023" s="386"/>
      <c r="Q1023" s="386"/>
    </row>
    <row r="1024" spans="1:17" s="1660" customFormat="1" ht="30" customHeight="1" x14ac:dyDescent="0.2">
      <c r="A1024" s="3562"/>
      <c r="B1024" s="3539" t="s">
        <v>4085</v>
      </c>
      <c r="C1024" s="3515"/>
      <c r="D1024" s="453"/>
      <c r="E1024" s="3513"/>
      <c r="F1024" s="598"/>
      <c r="G1024" s="3493"/>
      <c r="H1024" s="3493"/>
      <c r="I1024" s="938">
        <v>5423044873</v>
      </c>
      <c r="J1024" s="3493">
        <f t="shared" si="98"/>
        <v>0</v>
      </c>
      <c r="K1024" s="3512"/>
      <c r="L1024" s="3555"/>
      <c r="M1024" s="386"/>
      <c r="N1024" s="386"/>
      <c r="O1024" s="386"/>
      <c r="P1024" s="386"/>
      <c r="Q1024" s="386"/>
    </row>
    <row r="1025" spans="1:17" s="1660" customFormat="1" ht="30" customHeight="1" x14ac:dyDescent="0.2">
      <c r="A1025" s="4599"/>
      <c r="B1025" s="4457" t="s">
        <v>4102</v>
      </c>
      <c r="C1025" s="4537" t="s">
        <v>1796</v>
      </c>
      <c r="D1025" s="3524">
        <v>11000000</v>
      </c>
      <c r="E1025" s="3535">
        <v>0.05</v>
      </c>
      <c r="F1025" s="3524">
        <f>D1025*E1025</f>
        <v>550000</v>
      </c>
      <c r="G1025" s="3524">
        <v>1600000</v>
      </c>
      <c r="H1025" s="3524" t="s">
        <v>6035</v>
      </c>
      <c r="I1025" s="3524" t="s">
        <v>6037</v>
      </c>
      <c r="J1025" s="3524">
        <f t="shared" si="98"/>
        <v>1600000</v>
      </c>
      <c r="K1025" s="3524"/>
      <c r="L1025" s="3930" t="s">
        <v>5435</v>
      </c>
      <c r="M1025" s="386"/>
      <c r="N1025" s="386"/>
      <c r="O1025" s="386"/>
      <c r="P1025" s="386"/>
      <c r="Q1025" s="386"/>
    </row>
    <row r="1026" spans="1:17" s="1660" customFormat="1" ht="30" customHeight="1" x14ac:dyDescent="0.2">
      <c r="A1026" s="4607"/>
      <c r="B1026" s="4458"/>
      <c r="C1026" s="4538"/>
      <c r="D1026" s="3684">
        <v>30000000</v>
      </c>
      <c r="E1026" s="3668">
        <v>0.05</v>
      </c>
      <c r="F1026" s="3685">
        <f>D1026*E1026</f>
        <v>1500000</v>
      </c>
      <c r="G1026" s="5054" t="s">
        <v>5676</v>
      </c>
      <c r="H1026" s="5055"/>
      <c r="I1026" s="5055"/>
      <c r="J1026" s="5056"/>
      <c r="K1026" s="3659"/>
      <c r="L1026" s="3680" t="s">
        <v>5675</v>
      </c>
      <c r="M1026" s="386"/>
      <c r="N1026" s="386"/>
      <c r="O1026" s="386"/>
      <c r="P1026" s="386"/>
      <c r="Q1026" s="386"/>
    </row>
    <row r="1027" spans="1:17" s="1660" customFormat="1" ht="30" customHeight="1" x14ac:dyDescent="0.2">
      <c r="A1027" s="3562"/>
      <c r="B1027" s="3539" t="s">
        <v>4116</v>
      </c>
      <c r="C1027" s="3515" t="s">
        <v>1172</v>
      </c>
      <c r="D1027" s="3520">
        <v>50000000</v>
      </c>
      <c r="E1027" s="3499">
        <v>0.05</v>
      </c>
      <c r="F1027" s="3521">
        <f>D1027*E1027</f>
        <v>2500000</v>
      </c>
      <c r="G1027" s="3493"/>
      <c r="H1027" s="3493"/>
      <c r="I1027" s="3520"/>
      <c r="J1027" s="3493"/>
      <c r="K1027" s="3493"/>
      <c r="L1027" s="3555"/>
      <c r="M1027" s="386"/>
      <c r="N1027" s="386"/>
      <c r="O1027" s="386"/>
      <c r="P1027" s="386"/>
      <c r="Q1027" s="386"/>
    </row>
    <row r="1028" spans="1:17" s="1660" customFormat="1" ht="30" customHeight="1" x14ac:dyDescent="0.2">
      <c r="A1028" s="3562"/>
      <c r="B1028" s="3539" t="s">
        <v>4117</v>
      </c>
      <c r="C1028" s="3515"/>
      <c r="D1028" s="3520">
        <v>5000000</v>
      </c>
      <c r="E1028" s="3499"/>
      <c r="F1028" s="3521"/>
      <c r="G1028" s="3493"/>
      <c r="H1028" s="3493"/>
      <c r="I1028" s="3520"/>
      <c r="J1028" s="3493"/>
      <c r="K1028" s="3493"/>
      <c r="L1028" s="3555"/>
      <c r="M1028" s="386"/>
      <c r="N1028" s="386"/>
      <c r="O1028" s="386"/>
      <c r="P1028" s="386"/>
      <c r="Q1028" s="386"/>
    </row>
    <row r="1029" spans="1:17" s="1660" customFormat="1" ht="30" customHeight="1" x14ac:dyDescent="0.2">
      <c r="A1029" s="3562"/>
      <c r="B1029" s="3539" t="s">
        <v>4118</v>
      </c>
      <c r="C1029" s="3515" t="s">
        <v>1172</v>
      </c>
      <c r="D1029" s="3520">
        <v>70000000</v>
      </c>
      <c r="E1029" s="3499">
        <v>0.06</v>
      </c>
      <c r="F1029" s="3521">
        <f>D1029*E1029</f>
        <v>4200000</v>
      </c>
      <c r="G1029" s="3493"/>
      <c r="H1029" s="3493"/>
      <c r="I1029" s="3520"/>
      <c r="J1029" s="3493"/>
      <c r="K1029" s="3493"/>
      <c r="L1029" s="3555"/>
      <c r="M1029" s="386"/>
      <c r="N1029" s="386"/>
      <c r="O1029" s="386"/>
      <c r="P1029" s="386"/>
      <c r="Q1029" s="386"/>
    </row>
    <row r="1030" spans="1:17" s="1660" customFormat="1" ht="30" customHeight="1" x14ac:dyDescent="0.2">
      <c r="A1030" s="3562"/>
      <c r="B1030" s="3539" t="s">
        <v>4133</v>
      </c>
      <c r="C1030" s="3515"/>
      <c r="D1030" s="3520">
        <v>45000000</v>
      </c>
      <c r="E1030" s="3499">
        <v>0.05</v>
      </c>
      <c r="F1030" s="3521">
        <f>D1030*E1030</f>
        <v>2250000</v>
      </c>
      <c r="G1030" s="3524">
        <v>2250000</v>
      </c>
      <c r="H1030" s="3524" t="s">
        <v>2019</v>
      </c>
      <c r="I1030" s="3524" t="s">
        <v>3561</v>
      </c>
      <c r="J1030" s="3524">
        <f>G1030</f>
        <v>2250000</v>
      </c>
      <c r="K1030" s="3493">
        <f>F1030-J1030</f>
        <v>0</v>
      </c>
      <c r="L1030" s="3555"/>
      <c r="M1030" s="386"/>
      <c r="N1030" s="386"/>
      <c r="O1030" s="386"/>
      <c r="P1030" s="386"/>
      <c r="Q1030" s="386"/>
    </row>
    <row r="1031" spans="1:17" s="1660" customFormat="1" ht="30" customHeight="1" x14ac:dyDescent="0.2">
      <c r="A1031" s="3562"/>
      <c r="B1031" s="3539" t="s">
        <v>4244</v>
      </c>
      <c r="C1031" s="3515"/>
      <c r="D1031" s="3520">
        <v>60000000</v>
      </c>
      <c r="E1031" s="3499">
        <v>0.05</v>
      </c>
      <c r="F1031" s="3521">
        <f>D1031*E1031</f>
        <v>3000000</v>
      </c>
      <c r="G1031" s="3493">
        <v>3000000</v>
      </c>
      <c r="H1031" s="3493" t="s">
        <v>5744</v>
      </c>
      <c r="I1031" s="3520" t="s">
        <v>5769</v>
      </c>
      <c r="J1031" s="3493">
        <f>G1031</f>
        <v>3000000</v>
      </c>
      <c r="K1031" s="3493">
        <f>F1031-J1031</f>
        <v>0</v>
      </c>
      <c r="L1031" s="3555" t="s">
        <v>5367</v>
      </c>
      <c r="M1031" s="386"/>
      <c r="N1031" s="386"/>
      <c r="O1031" s="386"/>
      <c r="P1031" s="386"/>
      <c r="Q1031" s="386"/>
    </row>
    <row r="1032" spans="1:17" s="1660" customFormat="1" ht="30" customHeight="1" x14ac:dyDescent="0.2">
      <c r="A1032" s="3331"/>
      <c r="B1032" s="2553" t="s">
        <v>4245</v>
      </c>
      <c r="C1032" s="3033" t="s">
        <v>942</v>
      </c>
      <c r="D1032" s="2550">
        <v>10000000</v>
      </c>
      <c r="E1032" s="2551">
        <v>0.05</v>
      </c>
      <c r="F1032" s="2550">
        <f>D1032*E1032</f>
        <v>500000</v>
      </c>
      <c r="G1032" s="3729">
        <v>10000000</v>
      </c>
      <c r="H1032" s="3729" t="s">
        <v>1649</v>
      </c>
      <c r="I1032" s="3730" t="s">
        <v>5465</v>
      </c>
      <c r="J1032" s="3729">
        <f>G1032</f>
        <v>10000000</v>
      </c>
      <c r="K1032" s="3729"/>
      <c r="L1032" s="4469" t="s">
        <v>5466</v>
      </c>
      <c r="M1032" s="4470"/>
      <c r="N1032" s="4470"/>
      <c r="O1032" s="4471"/>
      <c r="P1032" s="386"/>
      <c r="Q1032" s="386"/>
    </row>
    <row r="1033" spans="1:17" s="1660" customFormat="1" ht="30" customHeight="1" x14ac:dyDescent="0.2">
      <c r="A1033" s="3562"/>
      <c r="B1033" s="3539" t="s">
        <v>4141</v>
      </c>
      <c r="C1033" s="3515"/>
      <c r="D1033" s="3520">
        <v>10000000</v>
      </c>
      <c r="E1033" s="3499"/>
      <c r="F1033" s="3521"/>
      <c r="G1033" s="3493"/>
      <c r="H1033" s="3493"/>
      <c r="I1033" s="3520"/>
      <c r="J1033" s="3493"/>
      <c r="K1033" s="3493"/>
      <c r="L1033" s="4469"/>
      <c r="M1033" s="4470"/>
      <c r="N1033" s="4470"/>
      <c r="O1033" s="4471"/>
      <c r="P1033" s="386"/>
      <c r="Q1033" s="386"/>
    </row>
    <row r="1034" spans="1:17" s="1660" customFormat="1" ht="30" customHeight="1" x14ac:dyDescent="0.2">
      <c r="A1034" s="4209"/>
      <c r="B1034" s="4206" t="s">
        <v>4144</v>
      </c>
      <c r="C1034" s="4205"/>
      <c r="D1034" s="4197">
        <v>200000000</v>
      </c>
      <c r="E1034" s="4204">
        <v>7.0000000000000007E-2</v>
      </c>
      <c r="F1034" s="4197">
        <f>D1034*E1034</f>
        <v>14000000.000000002</v>
      </c>
      <c r="G1034" s="3520">
        <v>14000000</v>
      </c>
      <c r="H1034" s="3499" t="s">
        <v>6007</v>
      </c>
      <c r="I1034" s="3521" t="s">
        <v>815</v>
      </c>
      <c r="J1034" s="3520">
        <f>G1034</f>
        <v>14000000</v>
      </c>
      <c r="K1034" s="3493">
        <f>F1034-J1034</f>
        <v>0</v>
      </c>
      <c r="L1034" s="4469"/>
      <c r="M1034" s="4470"/>
      <c r="N1034" s="4470"/>
      <c r="O1034" s="4471"/>
      <c r="P1034" s="386"/>
      <c r="Q1034" s="386"/>
    </row>
    <row r="1035" spans="1:17" s="1660" customFormat="1" ht="30" customHeight="1" x14ac:dyDescent="0.2">
      <c r="A1035" s="3562"/>
      <c r="B1035" s="2375" t="s">
        <v>4157</v>
      </c>
      <c r="C1035" s="3515"/>
      <c r="D1035" s="453"/>
      <c r="E1035" s="3513"/>
      <c r="F1035" s="598"/>
      <c r="G1035" s="3493"/>
      <c r="H1035" s="3493"/>
      <c r="I1035" s="3520" t="s">
        <v>4158</v>
      </c>
      <c r="J1035" s="3493">
        <f>G1035</f>
        <v>0</v>
      </c>
      <c r="K1035" s="3493"/>
      <c r="L1035" s="3555"/>
      <c r="M1035" s="3568"/>
      <c r="N1035" s="3568"/>
      <c r="O1035" s="3568"/>
      <c r="P1035" s="386"/>
      <c r="Q1035" s="386"/>
    </row>
    <row r="1036" spans="1:17" s="1660" customFormat="1" ht="30" customHeight="1" x14ac:dyDescent="0.2">
      <c r="A1036" s="3562"/>
      <c r="B1036" s="2375" t="s">
        <v>4159</v>
      </c>
      <c r="C1036" s="3515"/>
      <c r="D1036" s="453"/>
      <c r="E1036" s="3513"/>
      <c r="F1036" s="598"/>
      <c r="G1036" s="3493"/>
      <c r="H1036" s="3493"/>
      <c r="I1036" s="3520" t="s">
        <v>4160</v>
      </c>
      <c r="J1036" s="3493">
        <f>G1036</f>
        <v>0</v>
      </c>
      <c r="K1036" s="3493"/>
      <c r="L1036" s="3555"/>
      <c r="M1036" s="3568"/>
      <c r="N1036" s="3568"/>
      <c r="O1036" s="3568"/>
      <c r="P1036" s="386"/>
      <c r="Q1036" s="386"/>
    </row>
    <row r="1037" spans="1:17" s="1660" customFormat="1" ht="30" customHeight="1" x14ac:dyDescent="0.2">
      <c r="A1037" s="3562"/>
      <c r="B1037" s="2375" t="s">
        <v>4162</v>
      </c>
      <c r="C1037" s="3515"/>
      <c r="D1037" s="453"/>
      <c r="E1037" s="3513"/>
      <c r="F1037" s="598"/>
      <c r="G1037" s="3493"/>
      <c r="H1037" s="3493"/>
      <c r="I1037" s="3520" t="s">
        <v>4163</v>
      </c>
      <c r="J1037" s="3493">
        <f>G1037</f>
        <v>0</v>
      </c>
      <c r="K1037" s="3493"/>
      <c r="L1037" s="3555"/>
      <c r="M1037" s="3568"/>
      <c r="N1037" s="3568"/>
      <c r="O1037" s="3568"/>
      <c r="P1037" s="386"/>
      <c r="Q1037" s="386"/>
    </row>
    <row r="1038" spans="1:17" s="1660" customFormat="1" ht="30" customHeight="1" x14ac:dyDescent="0.2">
      <c r="A1038" s="4599"/>
      <c r="B1038" s="4813" t="s">
        <v>4164</v>
      </c>
      <c r="C1038" s="4858" t="s">
        <v>392</v>
      </c>
      <c r="D1038" s="4861">
        <v>70000000</v>
      </c>
      <c r="E1038" s="4802">
        <v>0.05</v>
      </c>
      <c r="F1038" s="4861">
        <f>D1038*E1038</f>
        <v>3500000</v>
      </c>
      <c r="G1038" s="5033" t="s">
        <v>4676</v>
      </c>
      <c r="H1038" s="5034"/>
      <c r="I1038" s="5034"/>
      <c r="J1038" s="5035"/>
      <c r="K1038" s="5061"/>
      <c r="L1038" s="3557" t="s">
        <v>4210</v>
      </c>
      <c r="M1038" s="3568"/>
      <c r="N1038" s="3568"/>
      <c r="O1038" s="3568"/>
      <c r="P1038" s="386"/>
      <c r="Q1038" s="386"/>
    </row>
    <row r="1039" spans="1:17" s="1660" customFormat="1" ht="30" customHeight="1" x14ac:dyDescent="0.2">
      <c r="A1039" s="4600"/>
      <c r="B1039" s="5032"/>
      <c r="C1039" s="4859"/>
      <c r="D1039" s="4863"/>
      <c r="E1039" s="4803"/>
      <c r="F1039" s="4863"/>
      <c r="G1039" s="5036"/>
      <c r="H1039" s="5037"/>
      <c r="I1039" s="5037"/>
      <c r="J1039" s="5038"/>
      <c r="K1039" s="5061"/>
      <c r="L1039" s="3566" t="s">
        <v>4211</v>
      </c>
      <c r="M1039" s="3568"/>
      <c r="N1039" s="3568"/>
      <c r="O1039" s="3568"/>
      <c r="P1039" s="386"/>
      <c r="Q1039" s="386"/>
    </row>
    <row r="1040" spans="1:17" s="1660" customFormat="1" ht="30" customHeight="1" x14ac:dyDescent="0.2">
      <c r="A1040" s="4600"/>
      <c r="B1040" s="5032"/>
      <c r="C1040" s="4859"/>
      <c r="D1040" s="3579">
        <v>10000000</v>
      </c>
      <c r="E1040" s="3589">
        <v>0.05</v>
      </c>
      <c r="F1040" s="3579">
        <f t="shared" ref="F1040:F1046" si="99">D1040*E1040</f>
        <v>500000</v>
      </c>
      <c r="G1040" s="4854"/>
      <c r="H1040" s="4855"/>
      <c r="I1040" s="4855"/>
      <c r="J1040" s="4856"/>
      <c r="K1040" s="5061"/>
      <c r="L1040" s="3566" t="s">
        <v>4272</v>
      </c>
      <c r="M1040" s="3568"/>
      <c r="N1040" s="3568"/>
      <c r="O1040" s="3568"/>
      <c r="P1040" s="386"/>
      <c r="Q1040" s="386"/>
    </row>
    <row r="1041" spans="1:17" s="1660" customFormat="1" ht="30" customHeight="1" x14ac:dyDescent="0.2">
      <c r="A1041" s="4600"/>
      <c r="B1041" s="5032"/>
      <c r="C1041" s="4859"/>
      <c r="D1041" s="3592">
        <v>84000000</v>
      </c>
      <c r="E1041" s="680">
        <v>0.05</v>
      </c>
      <c r="F1041" s="3592">
        <f t="shared" si="99"/>
        <v>4200000</v>
      </c>
      <c r="G1041" s="5062" t="s">
        <v>4834</v>
      </c>
      <c r="H1041" s="5062"/>
      <c r="I1041" s="5062"/>
      <c r="J1041" s="5062"/>
      <c r="K1041" s="3579"/>
      <c r="L1041" s="3566"/>
      <c r="M1041" s="3568"/>
      <c r="N1041" s="3568"/>
      <c r="O1041" s="3568"/>
      <c r="P1041" s="386"/>
      <c r="Q1041" s="386"/>
    </row>
    <row r="1042" spans="1:17" s="1660" customFormat="1" ht="30" customHeight="1" x14ac:dyDescent="0.2">
      <c r="A1042" s="4600"/>
      <c r="B1042" s="5032"/>
      <c r="C1042" s="4859"/>
      <c r="D1042" s="3592">
        <f>D1041+F1041</f>
        <v>88200000</v>
      </c>
      <c r="E1042" s="680">
        <v>0.05</v>
      </c>
      <c r="F1042" s="3592">
        <f t="shared" si="99"/>
        <v>4410000</v>
      </c>
      <c r="G1042" s="5062" t="s">
        <v>4835</v>
      </c>
      <c r="H1042" s="5062"/>
      <c r="I1042" s="5062"/>
      <c r="J1042" s="5062"/>
      <c r="K1042" s="3579"/>
      <c r="L1042" s="3566"/>
      <c r="M1042" s="3568"/>
      <c r="N1042" s="3568"/>
      <c r="O1042" s="3568"/>
      <c r="P1042" s="386"/>
      <c r="Q1042" s="386"/>
    </row>
    <row r="1043" spans="1:17" s="1660" customFormat="1" ht="30" customHeight="1" x14ac:dyDescent="0.2">
      <c r="A1043" s="4607"/>
      <c r="B1043" s="4814"/>
      <c r="C1043" s="4860"/>
      <c r="D1043" s="3592">
        <v>100000000</v>
      </c>
      <c r="E1043" s="680">
        <v>0.06</v>
      </c>
      <c r="F1043" s="3592">
        <f t="shared" si="99"/>
        <v>6000000</v>
      </c>
      <c r="G1043" s="3580"/>
      <c r="H1043" s="3580"/>
      <c r="I1043" s="2967"/>
      <c r="J1043" s="3579"/>
      <c r="K1043" s="3579"/>
      <c r="L1043" s="3566" t="s">
        <v>4373</v>
      </c>
      <c r="M1043" s="3568"/>
      <c r="N1043" s="3568"/>
      <c r="O1043" s="3568"/>
      <c r="P1043" s="386"/>
      <c r="Q1043" s="386"/>
    </row>
    <row r="1044" spans="1:17" s="1660" customFormat="1" ht="30" customHeight="1" x14ac:dyDescent="0.2">
      <c r="A1044" s="3562"/>
      <c r="B1044" s="3539" t="s">
        <v>4188</v>
      </c>
      <c r="C1044" s="3541"/>
      <c r="D1044" s="3524">
        <v>120000000</v>
      </c>
      <c r="E1044" s="3535">
        <v>0.05</v>
      </c>
      <c r="F1044" s="3524">
        <f t="shared" si="99"/>
        <v>6000000</v>
      </c>
      <c r="G1044" s="3493">
        <v>6000000</v>
      </c>
      <c r="H1044" s="3493" t="s">
        <v>1649</v>
      </c>
      <c r="I1044" s="3524" t="s">
        <v>5063</v>
      </c>
      <c r="J1044" s="3524">
        <f>G1044</f>
        <v>6000000</v>
      </c>
      <c r="K1044" s="3524">
        <f>F1044-J1044</f>
        <v>0</v>
      </c>
      <c r="L1044" s="3555" t="s">
        <v>4992</v>
      </c>
      <c r="M1044" s="3568"/>
      <c r="N1044" s="3568"/>
      <c r="O1044" s="3568"/>
      <c r="P1044" s="386"/>
      <c r="Q1044" s="386"/>
    </row>
    <row r="1045" spans="1:17" s="1660" customFormat="1" ht="30" customHeight="1" x14ac:dyDescent="0.2">
      <c r="A1045" s="3562"/>
      <c r="B1045" s="3539" t="s">
        <v>4198</v>
      </c>
      <c r="C1045" s="3541"/>
      <c r="D1045" s="3524">
        <v>100000000</v>
      </c>
      <c r="E1045" s="3535">
        <v>0.05</v>
      </c>
      <c r="F1045" s="3524">
        <f t="shared" si="99"/>
        <v>5000000</v>
      </c>
      <c r="G1045" s="3493">
        <v>5000000</v>
      </c>
      <c r="H1045" s="3493" t="s">
        <v>5848</v>
      </c>
      <c r="I1045" s="3520" t="s">
        <v>5854</v>
      </c>
      <c r="J1045" s="3493">
        <f>G1045</f>
        <v>5000000</v>
      </c>
      <c r="K1045" s="3493">
        <f>F1045-J1045</f>
        <v>0</v>
      </c>
      <c r="L1045" s="3555" t="s">
        <v>5818</v>
      </c>
      <c r="M1045" s="3568"/>
      <c r="N1045" s="3568"/>
      <c r="O1045" s="3568"/>
      <c r="P1045" s="386"/>
      <c r="Q1045" s="386"/>
    </row>
    <row r="1046" spans="1:17" s="1660" customFormat="1" ht="30" customHeight="1" x14ac:dyDescent="0.2">
      <c r="A1046" s="4599"/>
      <c r="B1046" s="4457" t="s">
        <v>4215</v>
      </c>
      <c r="C1046" s="4537" t="s">
        <v>4107</v>
      </c>
      <c r="D1046" s="4413">
        <v>100000000</v>
      </c>
      <c r="E1046" s="4476">
        <v>7.0000000000000007E-2</v>
      </c>
      <c r="F1046" s="4413">
        <f t="shared" si="99"/>
        <v>7000000.0000000009</v>
      </c>
      <c r="G1046" s="3493"/>
      <c r="H1046" s="3493"/>
      <c r="I1046" s="3520" t="s">
        <v>4847</v>
      </c>
      <c r="J1046" s="3493">
        <f>G1046</f>
        <v>0</v>
      </c>
      <c r="K1046" s="3493">
        <f>F1046-J1046</f>
        <v>7000000.0000000009</v>
      </c>
      <c r="L1046" s="3597" t="s">
        <v>4216</v>
      </c>
      <c r="M1046" s="3568"/>
      <c r="N1046" s="3568"/>
      <c r="O1046" s="3568"/>
      <c r="P1046" s="386"/>
      <c r="Q1046" s="386"/>
    </row>
    <row r="1047" spans="1:17" s="1660" customFormat="1" ht="30" customHeight="1" x14ac:dyDescent="0.2">
      <c r="A1047" s="4607"/>
      <c r="B1047" s="4458"/>
      <c r="C1047" s="4538"/>
      <c r="D1047" s="4415"/>
      <c r="E1047" s="4477"/>
      <c r="F1047" s="4415"/>
      <c r="G1047" s="3493"/>
      <c r="H1047" s="3493"/>
      <c r="I1047" s="3520" t="s">
        <v>4847</v>
      </c>
      <c r="J1047" s="3493">
        <f>G1047</f>
        <v>0</v>
      </c>
      <c r="K1047" s="3493">
        <f>F1046-J1047</f>
        <v>7000000.0000000009</v>
      </c>
      <c r="L1047" s="3597" t="s">
        <v>4907</v>
      </c>
      <c r="M1047" s="3568"/>
      <c r="N1047" s="3568"/>
      <c r="O1047" s="3568"/>
      <c r="P1047" s="386"/>
      <c r="Q1047" s="386"/>
    </row>
    <row r="1048" spans="1:17" s="1660" customFormat="1" ht="30" customHeight="1" x14ac:dyDescent="0.2">
      <c r="A1048" s="3562"/>
      <c r="B1048" s="3539" t="s">
        <v>4294</v>
      </c>
      <c r="C1048" s="3541"/>
      <c r="D1048" s="3524"/>
      <c r="E1048" s="3499"/>
      <c r="F1048" s="3493"/>
      <c r="G1048" s="3493"/>
      <c r="H1048" s="3493"/>
      <c r="I1048" s="3520"/>
      <c r="J1048" s="3493"/>
      <c r="K1048" s="3493"/>
      <c r="L1048" s="4281" t="s">
        <v>6068</v>
      </c>
      <c r="M1048" s="3568"/>
      <c r="N1048" s="3568"/>
      <c r="O1048" s="3568"/>
      <c r="P1048" s="386"/>
      <c r="Q1048" s="386"/>
    </row>
    <row r="1049" spans="1:17" s="1660" customFormat="1" ht="30" customHeight="1" x14ac:dyDescent="0.2">
      <c r="A1049" s="4209"/>
      <c r="B1049" s="4206" t="s">
        <v>4297</v>
      </c>
      <c r="C1049" s="4205" t="s">
        <v>4298</v>
      </c>
      <c r="D1049" s="4197">
        <v>80000000</v>
      </c>
      <c r="E1049" s="4204">
        <v>0.05</v>
      </c>
      <c r="F1049" s="4197">
        <f>D1049*E1049</f>
        <v>4000000</v>
      </c>
      <c r="G1049" s="3493">
        <v>4000000</v>
      </c>
      <c r="H1049" s="3493" t="s">
        <v>6007</v>
      </c>
      <c r="I1049" s="3520" t="s">
        <v>1720</v>
      </c>
      <c r="J1049" s="3493">
        <f t="shared" ref="J1049:J1065" si="100">G1049</f>
        <v>4000000</v>
      </c>
      <c r="K1049" s="3493">
        <f>F1049-J1049</f>
        <v>0</v>
      </c>
      <c r="L1049" s="3597" t="s">
        <v>4672</v>
      </c>
      <c r="M1049" s="3568"/>
      <c r="N1049" s="3568"/>
      <c r="O1049" s="3568"/>
      <c r="P1049" s="386"/>
      <c r="Q1049" s="386"/>
    </row>
    <row r="1050" spans="1:17" s="1660" customFormat="1" ht="30" customHeight="1" x14ac:dyDescent="0.2">
      <c r="A1050" s="19"/>
      <c r="B1050" s="3720" t="s">
        <v>4334</v>
      </c>
      <c r="C1050" s="3719" t="s">
        <v>402</v>
      </c>
      <c r="D1050" s="3712">
        <v>200000000</v>
      </c>
      <c r="E1050" s="3718">
        <v>0.05</v>
      </c>
      <c r="F1050" s="3712">
        <f>D1050*E1050</f>
        <v>10000000</v>
      </c>
      <c r="G1050" s="3699">
        <v>10000000</v>
      </c>
      <c r="H1050" s="3699" t="s">
        <v>5437</v>
      </c>
      <c r="I1050" s="3710" t="s">
        <v>1220</v>
      </c>
      <c r="J1050" s="3699">
        <f t="shared" si="100"/>
        <v>10000000</v>
      </c>
      <c r="K1050" s="3699">
        <f>F1050-J1050</f>
        <v>0</v>
      </c>
      <c r="L1050" s="3597" t="s">
        <v>4797</v>
      </c>
      <c r="M1050" s="3568"/>
      <c r="N1050" s="3568"/>
      <c r="O1050" s="3568"/>
      <c r="P1050" s="386"/>
      <c r="Q1050" s="386"/>
    </row>
    <row r="1051" spans="1:17" s="1660" customFormat="1" ht="30" customHeight="1" x14ac:dyDescent="0.2">
      <c r="A1051" s="3562"/>
      <c r="B1051" s="3539" t="s">
        <v>4370</v>
      </c>
      <c r="C1051" s="3541"/>
      <c r="D1051" s="453"/>
      <c r="E1051" s="3513"/>
      <c r="F1051" s="598"/>
      <c r="G1051" s="3493"/>
      <c r="H1051" s="3493"/>
      <c r="I1051" s="3520" t="s">
        <v>2986</v>
      </c>
      <c r="J1051" s="3493">
        <f t="shared" si="100"/>
        <v>0</v>
      </c>
      <c r="K1051" s="3493"/>
      <c r="L1051" s="3597"/>
      <c r="M1051" s="3568"/>
      <c r="N1051" s="3568"/>
      <c r="O1051" s="3568"/>
      <c r="P1051" s="386"/>
      <c r="Q1051" s="386"/>
    </row>
    <row r="1052" spans="1:17" s="1660" customFormat="1" ht="30" customHeight="1" x14ac:dyDescent="0.2">
      <c r="A1052" s="3562"/>
      <c r="B1052" s="3539" t="s">
        <v>4376</v>
      </c>
      <c r="C1052" s="3541"/>
      <c r="D1052" s="3520">
        <v>100000000</v>
      </c>
      <c r="E1052" s="3499">
        <v>0.05</v>
      </c>
      <c r="F1052" s="3521">
        <f>D1052*E1052</f>
        <v>5000000</v>
      </c>
      <c r="G1052" s="3493">
        <v>5000000</v>
      </c>
      <c r="H1052" s="3493" t="s">
        <v>3978</v>
      </c>
      <c r="I1052" s="3520" t="s">
        <v>5016</v>
      </c>
      <c r="J1052" s="3493">
        <f t="shared" si="100"/>
        <v>5000000</v>
      </c>
      <c r="K1052" s="3493">
        <f>F1052-J1052</f>
        <v>0</v>
      </c>
      <c r="L1052" s="3555" t="s">
        <v>4377</v>
      </c>
      <c r="M1052" s="3568"/>
      <c r="N1052" s="3568"/>
      <c r="O1052" s="3568"/>
      <c r="P1052" s="386"/>
      <c r="Q1052" s="386"/>
    </row>
    <row r="1053" spans="1:17" s="1660" customFormat="1" ht="30" customHeight="1" x14ac:dyDescent="0.2">
      <c r="A1053" s="4599"/>
      <c r="B1053" s="4457" t="s">
        <v>5364</v>
      </c>
      <c r="C1053" s="4537"/>
      <c r="D1053" s="3605">
        <v>115000000</v>
      </c>
      <c r="E1053" s="3602">
        <v>0.05</v>
      </c>
      <c r="F1053" s="3606">
        <f>D1053*E1053</f>
        <v>5750000</v>
      </c>
      <c r="G1053" s="4469" t="s">
        <v>5664</v>
      </c>
      <c r="H1053" s="4470"/>
      <c r="I1053" s="4470"/>
      <c r="J1053" s="4471"/>
      <c r="K1053" s="3599"/>
      <c r="L1053" s="3610" t="s">
        <v>5720</v>
      </c>
      <c r="M1053" s="3617"/>
      <c r="N1053" s="3617"/>
      <c r="O1053" s="3617"/>
      <c r="P1053" s="386"/>
      <c r="Q1053" s="386"/>
    </row>
    <row r="1054" spans="1:17" s="1660" customFormat="1" ht="30" customHeight="1" x14ac:dyDescent="0.2">
      <c r="A1054" s="4607"/>
      <c r="B1054" s="4458"/>
      <c r="C1054" s="4538"/>
      <c r="D1054" s="3962">
        <v>5000000</v>
      </c>
      <c r="E1054" s="3957">
        <v>0.05</v>
      </c>
      <c r="F1054" s="3963">
        <f>D1054*E1054</f>
        <v>250000</v>
      </c>
      <c r="G1054" s="4469" t="s">
        <v>5719</v>
      </c>
      <c r="H1054" s="4470"/>
      <c r="I1054" s="4470"/>
      <c r="J1054" s="4471"/>
      <c r="K1054" s="3954"/>
      <c r="L1054" s="3966" t="s">
        <v>5721</v>
      </c>
      <c r="M1054" s="3969"/>
      <c r="N1054" s="3969"/>
      <c r="O1054" s="3969"/>
      <c r="P1054" s="386"/>
      <c r="Q1054" s="386"/>
    </row>
    <row r="1055" spans="1:17" s="1660" customFormat="1" ht="31.5" customHeight="1" x14ac:dyDescent="0.2">
      <c r="A1055" s="3562"/>
      <c r="B1055" s="3539" t="s">
        <v>4378</v>
      </c>
      <c r="C1055" s="3541" t="s">
        <v>1718</v>
      </c>
      <c r="D1055" s="3520">
        <v>70000000</v>
      </c>
      <c r="E1055" s="3499">
        <v>7.0000000000000007E-2</v>
      </c>
      <c r="F1055" s="3521">
        <f>D1055*E1055</f>
        <v>4900000.0000000009</v>
      </c>
      <c r="G1055" s="3493">
        <v>4900000</v>
      </c>
      <c r="H1055" s="3493" t="s">
        <v>2019</v>
      </c>
      <c r="I1055" s="3520" t="s">
        <v>5522</v>
      </c>
      <c r="J1055" s="3493">
        <f t="shared" si="100"/>
        <v>4900000</v>
      </c>
      <c r="K1055" s="3493">
        <f t="shared" ref="K1055:K1060" si="101">F1055-J1055</f>
        <v>0</v>
      </c>
      <c r="L1055" s="3597" t="s">
        <v>4994</v>
      </c>
      <c r="M1055" s="3568"/>
      <c r="N1055" s="3568"/>
      <c r="O1055" s="3568"/>
      <c r="P1055" s="386"/>
      <c r="Q1055" s="386"/>
    </row>
    <row r="1056" spans="1:17" s="1660" customFormat="1" ht="30" customHeight="1" x14ac:dyDescent="0.2">
      <c r="A1056" s="3562"/>
      <c r="B1056" s="3539" t="s">
        <v>4395</v>
      </c>
      <c r="C1056" s="3541"/>
      <c r="D1056" s="3520">
        <v>350000000</v>
      </c>
      <c r="E1056" s="3499">
        <v>7.0000000000000007E-2</v>
      </c>
      <c r="F1056" s="3521">
        <f>D1056*E1056</f>
        <v>24500000.000000004</v>
      </c>
      <c r="G1056" s="3493">
        <v>24500000</v>
      </c>
      <c r="H1056" s="3493" t="s">
        <v>2019</v>
      </c>
      <c r="I1056" s="3520" t="s">
        <v>4902</v>
      </c>
      <c r="J1056" s="3493">
        <f t="shared" si="100"/>
        <v>24500000</v>
      </c>
      <c r="K1056" s="3493">
        <f t="shared" si="101"/>
        <v>0</v>
      </c>
      <c r="L1056" s="3597" t="s">
        <v>4396</v>
      </c>
      <c r="M1056" s="3568"/>
      <c r="N1056" s="3568"/>
      <c r="O1056" s="3568"/>
      <c r="P1056" s="386"/>
      <c r="Q1056" s="386"/>
    </row>
    <row r="1057" spans="1:17" s="1660" customFormat="1" ht="30" customHeight="1" x14ac:dyDescent="0.2">
      <c r="A1057" s="3562"/>
      <c r="B1057" s="3539" t="s">
        <v>4399</v>
      </c>
      <c r="C1057" s="3541"/>
      <c r="D1057" s="3520">
        <v>50000000</v>
      </c>
      <c r="E1057" s="3499">
        <v>0.05</v>
      </c>
      <c r="F1057" s="3521">
        <f t="shared" ref="F1057:F1064" si="102">D1057*E1057</f>
        <v>2500000</v>
      </c>
      <c r="G1057" s="3493">
        <v>2500000</v>
      </c>
      <c r="H1057" s="3493" t="s">
        <v>5348</v>
      </c>
      <c r="I1057" s="3520" t="s">
        <v>4528</v>
      </c>
      <c r="J1057" s="3493">
        <f t="shared" si="100"/>
        <v>2500000</v>
      </c>
      <c r="K1057" s="3493">
        <f t="shared" si="101"/>
        <v>0</v>
      </c>
      <c r="L1057" s="3597" t="s">
        <v>4400</v>
      </c>
      <c r="M1057" s="3568"/>
      <c r="N1057" s="3568"/>
      <c r="O1057" s="3568"/>
      <c r="P1057" s="386"/>
      <c r="Q1057" s="386"/>
    </row>
    <row r="1058" spans="1:17" s="1660" customFormat="1" ht="30" customHeight="1" x14ac:dyDescent="0.2">
      <c r="A1058" s="3562"/>
      <c r="B1058" s="3539" t="s">
        <v>5015</v>
      </c>
      <c r="C1058" s="3541"/>
      <c r="D1058" s="3520">
        <v>100000000</v>
      </c>
      <c r="E1058" s="3499">
        <v>0.05</v>
      </c>
      <c r="F1058" s="3521">
        <f t="shared" si="102"/>
        <v>5000000</v>
      </c>
      <c r="G1058" s="3493">
        <v>5000000</v>
      </c>
      <c r="H1058" s="3493" t="s">
        <v>5348</v>
      </c>
      <c r="I1058" s="3520" t="s">
        <v>4408</v>
      </c>
      <c r="J1058" s="3493">
        <f t="shared" si="100"/>
        <v>5000000</v>
      </c>
      <c r="K1058" s="3493">
        <f t="shared" si="101"/>
        <v>0</v>
      </c>
      <c r="L1058" s="3597"/>
      <c r="M1058" s="3568"/>
      <c r="N1058" s="3568"/>
      <c r="O1058" s="3568"/>
      <c r="P1058" s="386"/>
      <c r="Q1058" s="386"/>
    </row>
    <row r="1059" spans="1:17" s="1660" customFormat="1" ht="30" customHeight="1" x14ac:dyDescent="0.2">
      <c r="A1059" s="3562"/>
      <c r="B1059" s="3539" t="s">
        <v>4412</v>
      </c>
      <c r="C1059" s="3541"/>
      <c r="D1059" s="3520">
        <v>50000000</v>
      </c>
      <c r="E1059" s="3499">
        <v>0.05</v>
      </c>
      <c r="F1059" s="3521">
        <f t="shared" si="102"/>
        <v>2500000</v>
      </c>
      <c r="G1059" s="3493">
        <v>2500000</v>
      </c>
      <c r="H1059" s="3493" t="s">
        <v>3978</v>
      </c>
      <c r="I1059" s="3520" t="s">
        <v>4413</v>
      </c>
      <c r="J1059" s="3493">
        <f t="shared" si="100"/>
        <v>2500000</v>
      </c>
      <c r="K1059" s="3493">
        <f t="shared" si="101"/>
        <v>0</v>
      </c>
      <c r="L1059" s="3597"/>
      <c r="M1059" s="3568"/>
      <c r="N1059" s="3568"/>
      <c r="O1059" s="3568"/>
      <c r="P1059" s="386"/>
      <c r="Q1059" s="386"/>
    </row>
    <row r="1060" spans="1:17" s="1660" customFormat="1" ht="30" customHeight="1" x14ac:dyDescent="0.2">
      <c r="A1060" s="3562"/>
      <c r="B1060" s="3539" t="s">
        <v>5007</v>
      </c>
      <c r="C1060" s="3541" t="s">
        <v>262</v>
      </c>
      <c r="D1060" s="3520">
        <v>20000000</v>
      </c>
      <c r="E1060" s="3499">
        <v>0.05</v>
      </c>
      <c r="F1060" s="3521">
        <f t="shared" si="102"/>
        <v>1000000</v>
      </c>
      <c r="G1060" s="3493">
        <v>1000000</v>
      </c>
      <c r="H1060" s="3493" t="s">
        <v>1879</v>
      </c>
      <c r="I1060" s="3520" t="s">
        <v>5579</v>
      </c>
      <c r="J1060" s="3493">
        <f t="shared" si="100"/>
        <v>1000000</v>
      </c>
      <c r="K1060" s="3493">
        <f t="shared" si="101"/>
        <v>0</v>
      </c>
      <c r="L1060" s="3597" t="s">
        <v>5038</v>
      </c>
      <c r="M1060" s="3568"/>
      <c r="N1060" s="3568"/>
      <c r="O1060" s="3568"/>
      <c r="P1060" s="386"/>
      <c r="Q1060" s="386"/>
    </row>
    <row r="1061" spans="1:17" s="1660" customFormat="1" ht="30" customHeight="1" x14ac:dyDescent="0.2">
      <c r="A1061" s="3562"/>
      <c r="B1061" s="3539" t="s">
        <v>4434</v>
      </c>
      <c r="C1061" s="3541" t="s">
        <v>2644</v>
      </c>
      <c r="D1061" s="3520">
        <v>300000000</v>
      </c>
      <c r="E1061" s="3499">
        <v>0.05</v>
      </c>
      <c r="F1061" s="3521">
        <f t="shared" si="102"/>
        <v>15000000</v>
      </c>
      <c r="G1061" s="3493">
        <v>15000000</v>
      </c>
      <c r="H1061" s="3493" t="s">
        <v>1527</v>
      </c>
      <c r="I1061" s="3520" t="s">
        <v>1063</v>
      </c>
      <c r="J1061" s="3493">
        <f t="shared" si="100"/>
        <v>15000000</v>
      </c>
      <c r="K1061" s="3493">
        <f t="shared" ref="K1061:K1064" si="103">F1061-J1061</f>
        <v>0</v>
      </c>
      <c r="L1061" s="3597" t="s">
        <v>4437</v>
      </c>
      <c r="M1061" s="3568"/>
      <c r="N1061" s="3568"/>
      <c r="O1061" s="3568"/>
      <c r="P1061" s="386"/>
      <c r="Q1061" s="386"/>
    </row>
    <row r="1062" spans="1:17" s="1660" customFormat="1" ht="30" customHeight="1" x14ac:dyDescent="0.2">
      <c r="A1062" s="3562"/>
      <c r="B1062" s="3539" t="s">
        <v>4435</v>
      </c>
      <c r="C1062" s="3541" t="s">
        <v>371</v>
      </c>
      <c r="D1062" s="3520">
        <v>200000000</v>
      </c>
      <c r="E1062" s="3499">
        <v>0.05</v>
      </c>
      <c r="F1062" s="3521">
        <f t="shared" si="102"/>
        <v>10000000</v>
      </c>
      <c r="G1062" s="3493">
        <v>10000000</v>
      </c>
      <c r="H1062" s="3493" t="s">
        <v>5370</v>
      </c>
      <c r="I1062" s="3520" t="s">
        <v>4169</v>
      </c>
      <c r="J1062" s="3493">
        <f t="shared" si="100"/>
        <v>10000000</v>
      </c>
      <c r="K1062" s="3493">
        <f t="shared" si="103"/>
        <v>0</v>
      </c>
      <c r="L1062" s="3597" t="s">
        <v>4436</v>
      </c>
      <c r="M1062" s="3568"/>
      <c r="N1062" s="3568"/>
      <c r="O1062" s="3568"/>
      <c r="P1062" s="386"/>
      <c r="Q1062" s="386"/>
    </row>
    <row r="1063" spans="1:17" s="1660" customFormat="1" ht="30" customHeight="1" x14ac:dyDescent="0.2">
      <c r="A1063" s="3562"/>
      <c r="B1063" s="3539" t="s">
        <v>4456</v>
      </c>
      <c r="C1063" s="3541" t="s">
        <v>262</v>
      </c>
      <c r="D1063" s="3520">
        <v>120000000</v>
      </c>
      <c r="E1063" s="3499">
        <v>0.06</v>
      </c>
      <c r="F1063" s="3521">
        <f t="shared" si="102"/>
        <v>7200000</v>
      </c>
      <c r="G1063" s="3493">
        <v>7200000</v>
      </c>
      <c r="H1063" s="3493" t="s">
        <v>3978</v>
      </c>
      <c r="I1063" s="3520" t="s">
        <v>4457</v>
      </c>
      <c r="J1063" s="3493">
        <f t="shared" si="100"/>
        <v>7200000</v>
      </c>
      <c r="K1063" s="3493">
        <f t="shared" si="103"/>
        <v>0</v>
      </c>
      <c r="L1063" s="3597" t="s">
        <v>4458</v>
      </c>
      <c r="M1063" s="3568"/>
      <c r="N1063" s="3568"/>
      <c r="O1063" s="3568"/>
      <c r="P1063" s="386"/>
      <c r="Q1063" s="386"/>
    </row>
    <row r="1064" spans="1:17" s="1660" customFormat="1" ht="30" customHeight="1" x14ac:dyDescent="0.2">
      <c r="A1064" s="3562"/>
      <c r="B1064" s="3539" t="s">
        <v>4470</v>
      </c>
      <c r="C1064" s="3541" t="s">
        <v>1300</v>
      </c>
      <c r="D1064" s="3520">
        <v>75000000</v>
      </c>
      <c r="E1064" s="3499">
        <v>0.05</v>
      </c>
      <c r="F1064" s="3521">
        <f t="shared" si="102"/>
        <v>3750000</v>
      </c>
      <c r="G1064" s="3493">
        <v>3750000</v>
      </c>
      <c r="H1064" s="3493" t="s">
        <v>5706</v>
      </c>
      <c r="I1064" s="3520" t="s">
        <v>5097</v>
      </c>
      <c r="J1064" s="3493">
        <f t="shared" si="100"/>
        <v>3750000</v>
      </c>
      <c r="K1064" s="3493">
        <f t="shared" si="103"/>
        <v>0</v>
      </c>
      <c r="L1064" s="3597" t="s">
        <v>4471</v>
      </c>
      <c r="M1064" s="3568"/>
      <c r="N1064" s="3568"/>
      <c r="O1064" s="3568"/>
      <c r="P1064" s="386"/>
      <c r="Q1064" s="386"/>
    </row>
    <row r="1065" spans="1:17" s="1660" customFormat="1" ht="30" customHeight="1" x14ac:dyDescent="0.2">
      <c r="A1065" s="4599"/>
      <c r="B1065" s="4457" t="s">
        <v>4498</v>
      </c>
      <c r="C1065" s="4537" t="s">
        <v>1287</v>
      </c>
      <c r="D1065" s="3520">
        <v>100000000</v>
      </c>
      <c r="E1065" s="3499">
        <v>0.06</v>
      </c>
      <c r="F1065" s="3521">
        <f>D1065*E1065</f>
        <v>6000000</v>
      </c>
      <c r="G1065" s="4413">
        <v>9840000</v>
      </c>
      <c r="H1065" s="4413" t="s">
        <v>5706</v>
      </c>
      <c r="I1065" s="4413" t="s">
        <v>5135</v>
      </c>
      <c r="J1065" s="4413">
        <f t="shared" si="100"/>
        <v>9840000</v>
      </c>
      <c r="K1065" s="4413"/>
      <c r="L1065" s="3597"/>
      <c r="M1065" s="3568"/>
      <c r="N1065" s="3568"/>
      <c r="O1065" s="3568"/>
      <c r="P1065" s="386"/>
      <c r="Q1065" s="386"/>
    </row>
    <row r="1066" spans="1:17" s="1660" customFormat="1" ht="30" customHeight="1" x14ac:dyDescent="0.2">
      <c r="A1066" s="4600"/>
      <c r="B1066" s="4488"/>
      <c r="C1066" s="4540"/>
      <c r="D1066" s="4413">
        <v>160000000</v>
      </c>
      <c r="E1066" s="4476">
        <v>0.06</v>
      </c>
      <c r="F1066" s="4413">
        <f>D1066*E1066</f>
        <v>9600000</v>
      </c>
      <c r="G1066" s="4414"/>
      <c r="H1066" s="4414"/>
      <c r="I1066" s="4414"/>
      <c r="J1066" s="4414"/>
      <c r="K1066" s="4414"/>
      <c r="L1066" s="3597" t="s">
        <v>5310</v>
      </c>
      <c r="M1066" s="3568"/>
      <c r="N1066" s="3568"/>
      <c r="O1066" s="3568"/>
      <c r="P1066" s="386"/>
      <c r="Q1066" s="386"/>
    </row>
    <row r="1067" spans="1:17" s="1660" customFormat="1" ht="30" customHeight="1" x14ac:dyDescent="0.2">
      <c r="A1067" s="4600"/>
      <c r="B1067" s="4488"/>
      <c r="C1067" s="4540"/>
      <c r="D1067" s="4415"/>
      <c r="E1067" s="4477"/>
      <c r="F1067" s="4415"/>
      <c r="G1067" s="4414"/>
      <c r="H1067" s="4414"/>
      <c r="I1067" s="4414"/>
      <c r="J1067" s="4414"/>
      <c r="K1067" s="4414"/>
      <c r="L1067" s="3686" t="s">
        <v>5409</v>
      </c>
      <c r="M1067" s="3683"/>
      <c r="N1067" s="3683"/>
      <c r="O1067" s="3683"/>
      <c r="P1067" s="386"/>
      <c r="Q1067" s="386"/>
    </row>
    <row r="1068" spans="1:17" s="1660" customFormat="1" ht="30" customHeight="1" x14ac:dyDescent="0.2">
      <c r="A1068" s="4607"/>
      <c r="B1068" s="4458"/>
      <c r="C1068" s="4538"/>
      <c r="D1068" s="3574">
        <f>D1065+D1066</f>
        <v>260000000</v>
      </c>
      <c r="E1068" s="3511">
        <v>0.06</v>
      </c>
      <c r="F1068" s="3575">
        <f>D1068*E1068</f>
        <v>15600000</v>
      </c>
      <c r="G1068" s="4415"/>
      <c r="H1068" s="4415"/>
      <c r="I1068" s="4415"/>
      <c r="J1068" s="4415"/>
      <c r="K1068" s="4415"/>
      <c r="L1068" s="3597" t="s">
        <v>5716</v>
      </c>
      <c r="M1068" s="3568"/>
      <c r="N1068" s="3568"/>
      <c r="O1068" s="3568"/>
      <c r="P1068" s="386"/>
      <c r="Q1068" s="386"/>
    </row>
    <row r="1069" spans="1:17" s="1660" customFormat="1" ht="30" customHeight="1" x14ac:dyDescent="0.2">
      <c r="A1069" s="4599"/>
      <c r="B1069" s="4457" t="s">
        <v>4496</v>
      </c>
      <c r="C1069" s="4537" t="s">
        <v>1287</v>
      </c>
      <c r="D1069" s="3524">
        <v>150000000</v>
      </c>
      <c r="E1069" s="3499">
        <v>0.06</v>
      </c>
      <c r="F1069" s="3493">
        <f>D1069*E1069</f>
        <v>9000000</v>
      </c>
      <c r="G1069" s="4793" t="s">
        <v>5312</v>
      </c>
      <c r="H1069" s="4794"/>
      <c r="I1069" s="4794"/>
      <c r="J1069" s="4795"/>
      <c r="K1069" s="3493"/>
      <c r="L1069" s="3558" t="s">
        <v>4497</v>
      </c>
      <c r="M1069" s="3568"/>
      <c r="N1069" s="3568"/>
      <c r="O1069" s="3568"/>
      <c r="P1069" s="386"/>
      <c r="Q1069" s="386"/>
    </row>
    <row r="1070" spans="1:17" s="1660" customFormat="1" ht="30" customHeight="1" x14ac:dyDescent="0.2">
      <c r="A1070" s="4600"/>
      <c r="B1070" s="4488"/>
      <c r="C1070" s="4540"/>
      <c r="D1070" s="3524">
        <v>130000000</v>
      </c>
      <c r="E1070" s="3499">
        <v>0.06</v>
      </c>
      <c r="F1070" s="3493">
        <f>D1070*E1070</f>
        <v>7800000</v>
      </c>
      <c r="G1070" s="4799"/>
      <c r="H1070" s="4800"/>
      <c r="I1070" s="4800"/>
      <c r="J1070" s="4801"/>
      <c r="K1070" s="3493"/>
      <c r="L1070" s="3597" t="s">
        <v>5311</v>
      </c>
      <c r="M1070" s="3568"/>
      <c r="N1070" s="3568"/>
      <c r="O1070" s="3568"/>
      <c r="P1070" s="386"/>
      <c r="Q1070" s="386"/>
    </row>
    <row r="1071" spans="1:17" s="1660" customFormat="1" ht="30" customHeight="1" x14ac:dyDescent="0.2">
      <c r="A1071" s="4607"/>
      <c r="B1071" s="4458"/>
      <c r="C1071" s="4538"/>
      <c r="D1071" s="3490">
        <f>D1069+D1070</f>
        <v>280000000</v>
      </c>
      <c r="E1071" s="3511">
        <v>0.06</v>
      </c>
      <c r="F1071" s="3510">
        <f>D1071*E1071</f>
        <v>16800000</v>
      </c>
      <c r="G1071" s="3493">
        <v>12900000</v>
      </c>
      <c r="H1071" s="3493" t="s">
        <v>5706</v>
      </c>
      <c r="I1071" s="3520" t="s">
        <v>2078</v>
      </c>
      <c r="J1071" s="3493">
        <f>G1071</f>
        <v>12900000</v>
      </c>
      <c r="K1071" s="3493"/>
      <c r="L1071" s="3558" t="s">
        <v>5671</v>
      </c>
      <c r="M1071" s="3568"/>
      <c r="N1071" s="3568"/>
      <c r="O1071" s="3568"/>
      <c r="P1071" s="386"/>
      <c r="Q1071" s="386"/>
    </row>
    <row r="1072" spans="1:17" s="1660" customFormat="1" ht="30" customHeight="1" x14ac:dyDescent="0.2">
      <c r="A1072" s="4599"/>
      <c r="B1072" s="4457" t="s">
        <v>4515</v>
      </c>
      <c r="C1072" s="3541"/>
      <c r="D1072" s="3524">
        <v>20000000</v>
      </c>
      <c r="E1072" s="3499">
        <f>F1072/D1072</f>
        <v>0.06</v>
      </c>
      <c r="F1072" s="3493">
        <v>1200000</v>
      </c>
      <c r="G1072" s="3493"/>
      <c r="H1072" s="3493"/>
      <c r="I1072" s="3520" t="s">
        <v>4528</v>
      </c>
      <c r="J1072" s="3493">
        <f>G1072</f>
        <v>0</v>
      </c>
      <c r="K1072" s="3493"/>
      <c r="L1072" s="3558" t="s">
        <v>4527</v>
      </c>
      <c r="M1072" s="3568"/>
      <c r="N1072" s="3568"/>
      <c r="O1072" s="3568"/>
      <c r="P1072" s="386"/>
      <c r="Q1072" s="386"/>
    </row>
    <row r="1073" spans="1:17" s="1660" customFormat="1" ht="30" customHeight="1" x14ac:dyDescent="0.2">
      <c r="A1073" s="4607"/>
      <c r="B1073" s="4458"/>
      <c r="C1073" s="3541" t="s">
        <v>1138</v>
      </c>
      <c r="D1073" s="3524">
        <v>130000000</v>
      </c>
      <c r="E1073" s="3499">
        <v>7.0000000000000007E-2</v>
      </c>
      <c r="F1073" s="3493">
        <v>9000000</v>
      </c>
      <c r="G1073" s="3493">
        <v>27000000</v>
      </c>
      <c r="H1073" s="3493" t="s">
        <v>6035</v>
      </c>
      <c r="I1073" s="3520" t="s">
        <v>4528</v>
      </c>
      <c r="J1073" s="3493">
        <f>G1073</f>
        <v>27000000</v>
      </c>
      <c r="K1073" s="3493"/>
      <c r="L1073" s="3558" t="s">
        <v>6046</v>
      </c>
      <c r="M1073" s="3568"/>
      <c r="N1073" s="3568"/>
      <c r="O1073" s="3568"/>
      <c r="P1073" s="386"/>
      <c r="Q1073" s="386"/>
    </row>
    <row r="1074" spans="1:17" s="1660" customFormat="1" ht="30" customHeight="1" x14ac:dyDescent="0.2">
      <c r="A1074" s="4599"/>
      <c r="B1074" s="4457" t="s">
        <v>3186</v>
      </c>
      <c r="C1074" s="4537" t="s">
        <v>889</v>
      </c>
      <c r="D1074" s="4413">
        <v>150000000</v>
      </c>
      <c r="E1074" s="4476">
        <v>0.06</v>
      </c>
      <c r="F1074" s="4413">
        <f>D1074*E1074</f>
        <v>9000000</v>
      </c>
      <c r="G1074" s="4413"/>
      <c r="H1074" s="4413"/>
      <c r="I1074" s="4413" t="s">
        <v>4784</v>
      </c>
      <c r="J1074" s="4413">
        <f>G1074</f>
        <v>0</v>
      </c>
      <c r="K1074" s="4413">
        <f>G1074-J1074</f>
        <v>0</v>
      </c>
      <c r="L1074" s="3558" t="s">
        <v>4684</v>
      </c>
      <c r="M1074" s="3568"/>
      <c r="N1074" s="3568"/>
      <c r="O1074" s="3568"/>
      <c r="P1074" s="386"/>
      <c r="Q1074" s="386"/>
    </row>
    <row r="1075" spans="1:17" s="1660" customFormat="1" ht="30" customHeight="1" x14ac:dyDescent="0.2">
      <c r="A1075" s="4607"/>
      <c r="B1075" s="4458"/>
      <c r="C1075" s="4538"/>
      <c r="D1075" s="4415"/>
      <c r="E1075" s="4477"/>
      <c r="F1075" s="4415"/>
      <c r="G1075" s="4415"/>
      <c r="H1075" s="4415"/>
      <c r="I1075" s="4415"/>
      <c r="J1075" s="4415"/>
      <c r="K1075" s="4415"/>
      <c r="L1075" s="3558" t="s">
        <v>4683</v>
      </c>
      <c r="M1075" s="3568"/>
      <c r="N1075" s="3568"/>
      <c r="O1075" s="3568"/>
      <c r="P1075" s="386"/>
      <c r="Q1075" s="386"/>
    </row>
    <row r="1076" spans="1:17" s="1660" customFormat="1" ht="30" customHeight="1" x14ac:dyDescent="0.2">
      <c r="A1076" s="3562"/>
      <c r="B1076" s="3539" t="s">
        <v>4529</v>
      </c>
      <c r="C1076" s="3541"/>
      <c r="D1076" s="3524">
        <v>100000000</v>
      </c>
      <c r="E1076" s="3499">
        <v>0.05</v>
      </c>
      <c r="F1076" s="3493">
        <v>5000000</v>
      </c>
      <c r="G1076" s="3493">
        <v>5000000</v>
      </c>
      <c r="H1076" s="3493" t="s">
        <v>5744</v>
      </c>
      <c r="I1076" s="3520" t="s">
        <v>5766</v>
      </c>
      <c r="J1076" s="3493">
        <f>F1076</f>
        <v>5000000</v>
      </c>
      <c r="K1076" s="3493">
        <f>F1076-J1076</f>
        <v>0</v>
      </c>
      <c r="L1076" s="3558" t="s">
        <v>5844</v>
      </c>
      <c r="M1076" s="3568"/>
      <c r="N1076" s="3568"/>
      <c r="O1076" s="3568"/>
      <c r="P1076" s="386"/>
      <c r="Q1076" s="386"/>
    </row>
    <row r="1077" spans="1:17" s="1660" customFormat="1" ht="30" customHeight="1" x14ac:dyDescent="0.2">
      <c r="A1077" s="3562"/>
      <c r="B1077" s="3539" t="s">
        <v>5137</v>
      </c>
      <c r="C1077" s="3541"/>
      <c r="D1077" s="3524">
        <v>10000000</v>
      </c>
      <c r="E1077" s="3499">
        <v>0.05</v>
      </c>
      <c r="F1077" s="3493">
        <f>D1077*E1077</f>
        <v>500000</v>
      </c>
      <c r="G1077" s="3493">
        <v>500000</v>
      </c>
      <c r="H1077" s="3493" t="s">
        <v>5744</v>
      </c>
      <c r="I1077" s="3520" t="s">
        <v>5744</v>
      </c>
      <c r="J1077" s="3493">
        <f>G1077</f>
        <v>500000</v>
      </c>
      <c r="K1077" s="3493">
        <f>F1077-J1077</f>
        <v>0</v>
      </c>
      <c r="L1077" s="3558" t="s">
        <v>5138</v>
      </c>
      <c r="M1077" s="3568"/>
      <c r="N1077" s="3568"/>
      <c r="O1077" s="3568"/>
      <c r="P1077" s="386"/>
      <c r="Q1077" s="386"/>
    </row>
    <row r="1078" spans="1:17" s="1660" customFormat="1" ht="30" customHeight="1" x14ac:dyDescent="0.2">
      <c r="A1078" s="3562"/>
      <c r="B1078" s="3539" t="s">
        <v>4539</v>
      </c>
      <c r="C1078" s="3541"/>
      <c r="D1078" s="3524">
        <v>100000000</v>
      </c>
      <c r="E1078" s="3499">
        <v>0.05</v>
      </c>
      <c r="F1078" s="3493">
        <f>D1078*E1078</f>
        <v>5000000</v>
      </c>
      <c r="G1078" s="3493">
        <v>5000000</v>
      </c>
      <c r="H1078" s="3493" t="s">
        <v>5848</v>
      </c>
      <c r="I1078" s="3520" t="s">
        <v>5215</v>
      </c>
      <c r="J1078" s="3493">
        <f>G1078</f>
        <v>5000000</v>
      </c>
      <c r="K1078" s="3493">
        <f>F1078-J1078</f>
        <v>0</v>
      </c>
      <c r="L1078" s="3558" t="s">
        <v>4540</v>
      </c>
      <c r="M1078" s="3568"/>
      <c r="N1078" s="3568"/>
      <c r="O1078" s="3568"/>
      <c r="P1078" s="386"/>
      <c r="Q1078" s="386"/>
    </row>
    <row r="1079" spans="1:17" s="1660" customFormat="1" ht="30" customHeight="1" x14ac:dyDescent="0.2">
      <c r="A1079" s="3562"/>
      <c r="B1079" s="3539" t="s">
        <v>105</v>
      </c>
      <c r="C1079" s="3541"/>
      <c r="D1079" s="3524">
        <v>200000000</v>
      </c>
      <c r="E1079" s="3499">
        <v>7.0000000000000007E-2</v>
      </c>
      <c r="F1079" s="3493">
        <f>D1079*E1079</f>
        <v>14000000.000000002</v>
      </c>
      <c r="G1079" s="3493">
        <v>14000000</v>
      </c>
      <c r="H1079" s="3493" t="s">
        <v>6007</v>
      </c>
      <c r="I1079" s="3520" t="s">
        <v>2794</v>
      </c>
      <c r="J1079" s="3493">
        <f>G1079</f>
        <v>14000000</v>
      </c>
      <c r="K1079" s="3493">
        <f>F1079-J1079</f>
        <v>0</v>
      </c>
      <c r="L1079" s="3558"/>
      <c r="M1079" s="3568"/>
      <c r="N1079" s="3568"/>
      <c r="O1079" s="3568"/>
      <c r="P1079" s="386"/>
      <c r="Q1079" s="386"/>
    </row>
    <row r="1080" spans="1:17" s="1660" customFormat="1" ht="30" customHeight="1" x14ac:dyDescent="0.2">
      <c r="A1080" s="4599"/>
      <c r="B1080" s="4457" t="s">
        <v>4552</v>
      </c>
      <c r="C1080" s="4537" t="s">
        <v>1299</v>
      </c>
      <c r="D1080" s="4413">
        <v>120000000</v>
      </c>
      <c r="E1080" s="4476">
        <v>7.0000000000000007E-2</v>
      </c>
      <c r="F1080" s="4413">
        <f>D1080*E1080</f>
        <v>8400000</v>
      </c>
      <c r="G1080" s="3524">
        <v>6000000</v>
      </c>
      <c r="H1080" s="3493" t="s">
        <v>5350</v>
      </c>
      <c r="I1080" s="3520" t="s">
        <v>5506</v>
      </c>
      <c r="J1080" s="4413">
        <f>G1080+G1081</f>
        <v>14400000</v>
      </c>
      <c r="K1080" s="4413">
        <f>F1080-J1080</f>
        <v>-6000000</v>
      </c>
      <c r="L1080" s="3558" t="s">
        <v>4553</v>
      </c>
      <c r="M1080" s="3568"/>
      <c r="N1080" s="3568"/>
      <c r="O1080" s="3568"/>
      <c r="P1080" s="386"/>
      <c r="Q1080" s="386"/>
    </row>
    <row r="1081" spans="1:17" s="1660" customFormat="1" ht="30" customHeight="1" x14ac:dyDescent="0.2">
      <c r="A1081" s="4607"/>
      <c r="B1081" s="4458"/>
      <c r="C1081" s="4538"/>
      <c r="D1081" s="4415"/>
      <c r="E1081" s="4477"/>
      <c r="F1081" s="4415"/>
      <c r="G1081" s="3524">
        <v>8400000</v>
      </c>
      <c r="H1081" s="3493" t="s">
        <v>5744</v>
      </c>
      <c r="I1081" s="3520" t="s">
        <v>5180</v>
      </c>
      <c r="J1081" s="4415"/>
      <c r="K1081" s="4415"/>
      <c r="L1081" s="3558" t="s">
        <v>5150</v>
      </c>
      <c r="M1081" s="3568"/>
      <c r="N1081" s="3568"/>
      <c r="O1081" s="3568"/>
      <c r="P1081" s="386"/>
      <c r="Q1081" s="386"/>
    </row>
    <row r="1082" spans="1:17" s="1660" customFormat="1" ht="30" customHeight="1" x14ac:dyDescent="0.2">
      <c r="A1082" s="3562"/>
      <c r="B1082" s="3539" t="s">
        <v>4579</v>
      </c>
      <c r="C1082" s="3541" t="s">
        <v>371</v>
      </c>
      <c r="D1082" s="3524">
        <v>50000000</v>
      </c>
      <c r="E1082" s="3499">
        <v>0.05</v>
      </c>
      <c r="F1082" s="3493">
        <f>D1082*E1082</f>
        <v>2500000</v>
      </c>
      <c r="G1082" s="3493">
        <v>2500000</v>
      </c>
      <c r="H1082" s="3493" t="s">
        <v>5604</v>
      </c>
      <c r="I1082" s="3520" t="s">
        <v>4580</v>
      </c>
      <c r="J1082" s="3493">
        <f>G1082</f>
        <v>2500000</v>
      </c>
      <c r="K1082" s="3493">
        <f>F1082-G1082</f>
        <v>0</v>
      </c>
      <c r="L1082" s="3558" t="s">
        <v>5096</v>
      </c>
      <c r="M1082" s="3568"/>
      <c r="N1082" s="3568"/>
      <c r="O1082" s="3568"/>
      <c r="P1082" s="386"/>
      <c r="Q1082" s="386"/>
    </row>
    <row r="1083" spans="1:17" s="1660" customFormat="1" ht="30" customHeight="1" x14ac:dyDescent="0.2">
      <c r="A1083" s="3562"/>
      <c r="B1083" s="3539" t="s">
        <v>4659</v>
      </c>
      <c r="C1083" s="3541" t="s">
        <v>990</v>
      </c>
      <c r="D1083" s="3524">
        <v>10000000</v>
      </c>
      <c r="E1083" s="3535">
        <v>0.05</v>
      </c>
      <c r="F1083" s="3524">
        <f>D1083*E1083</f>
        <v>500000</v>
      </c>
      <c r="G1083" s="3524"/>
      <c r="H1083" s="3524"/>
      <c r="I1083" s="3524"/>
      <c r="J1083" s="3524"/>
      <c r="K1083" s="3493"/>
      <c r="L1083" s="3597" t="s">
        <v>4660</v>
      </c>
      <c r="M1083" s="3568"/>
      <c r="N1083" s="3568"/>
      <c r="O1083" s="3568"/>
      <c r="P1083" s="386"/>
      <c r="Q1083" s="386"/>
    </row>
    <row r="1084" spans="1:17" s="1660" customFormat="1" ht="30" customHeight="1" x14ac:dyDescent="0.2">
      <c r="A1084" s="3562"/>
      <c r="B1084" s="3539" t="s">
        <v>4669</v>
      </c>
      <c r="C1084" s="3541" t="s">
        <v>1796</v>
      </c>
      <c r="D1084" s="3524">
        <v>100000000</v>
      </c>
      <c r="E1084" s="3499">
        <v>7.0000000000000007E-2</v>
      </c>
      <c r="F1084" s="3493">
        <f>D1084*E1084</f>
        <v>7000000.0000000009</v>
      </c>
      <c r="G1084" s="3493"/>
      <c r="H1084" s="3493"/>
      <c r="I1084" s="3520" t="s">
        <v>4789</v>
      </c>
      <c r="J1084" s="3493">
        <f>G1084</f>
        <v>0</v>
      </c>
      <c r="K1084" s="3493">
        <f>F1084-J1084</f>
        <v>7000000.0000000009</v>
      </c>
      <c r="L1084" s="3558"/>
      <c r="M1084" s="3568"/>
      <c r="N1084" s="3568"/>
      <c r="O1084" s="3568"/>
      <c r="P1084" s="386"/>
      <c r="Q1084" s="386"/>
    </row>
    <row r="1085" spans="1:17" s="1660" customFormat="1" ht="30" customHeight="1" x14ac:dyDescent="0.2">
      <c r="A1085" s="3562"/>
      <c r="B1085" s="3539" t="s">
        <v>4670</v>
      </c>
      <c r="C1085" s="3541"/>
      <c r="D1085" s="3524">
        <v>100000000</v>
      </c>
      <c r="E1085" s="3499">
        <v>7.0000000000000007E-2</v>
      </c>
      <c r="F1085" s="3493">
        <f t="shared" ref="F1085:F1088" si="104">D1085*E1085</f>
        <v>7000000.0000000009</v>
      </c>
      <c r="G1085" s="3493"/>
      <c r="H1085" s="3493"/>
      <c r="I1085" s="3520" t="s">
        <v>4863</v>
      </c>
      <c r="J1085" s="3493">
        <f>G1085</f>
        <v>0</v>
      </c>
      <c r="K1085" s="3493">
        <f>F1085-J1085</f>
        <v>7000000.0000000009</v>
      </c>
      <c r="L1085" s="3558"/>
      <c r="M1085" s="3568"/>
      <c r="N1085" s="3568"/>
      <c r="O1085" s="3568"/>
      <c r="P1085" s="386"/>
      <c r="Q1085" s="386"/>
    </row>
    <row r="1086" spans="1:17" s="1660" customFormat="1" ht="30" customHeight="1" x14ac:dyDescent="0.2">
      <c r="A1086" s="3562"/>
      <c r="B1086" s="3539" t="s">
        <v>4671</v>
      </c>
      <c r="C1086" s="3541"/>
      <c r="D1086" s="3524">
        <v>35000000</v>
      </c>
      <c r="E1086" s="3499">
        <v>7.0000000000000007E-2</v>
      </c>
      <c r="F1086" s="3493">
        <f t="shared" si="104"/>
        <v>2450000.0000000005</v>
      </c>
      <c r="G1086" s="3493"/>
      <c r="H1086" s="3493"/>
      <c r="I1086" s="3520" t="s">
        <v>4864</v>
      </c>
      <c r="J1086" s="3493">
        <f>G1086</f>
        <v>0</v>
      </c>
      <c r="K1086" s="3493">
        <f>F1086-J1086</f>
        <v>2450000.0000000005</v>
      </c>
      <c r="L1086" s="3558"/>
      <c r="M1086" s="3568"/>
      <c r="N1086" s="3568"/>
      <c r="O1086" s="3568"/>
      <c r="P1086" s="386"/>
      <c r="Q1086" s="386"/>
    </row>
    <row r="1087" spans="1:17" s="1660" customFormat="1" ht="30" customHeight="1" x14ac:dyDescent="0.2">
      <c r="A1087" s="3562"/>
      <c r="B1087" s="3539" t="s">
        <v>4678</v>
      </c>
      <c r="C1087" s="3541"/>
      <c r="D1087" s="3524">
        <v>110000000</v>
      </c>
      <c r="E1087" s="3499">
        <v>0.05</v>
      </c>
      <c r="F1087" s="3493">
        <f t="shared" si="104"/>
        <v>5500000</v>
      </c>
      <c r="G1087" s="3493">
        <v>5500000</v>
      </c>
      <c r="H1087" s="3493" t="s">
        <v>5744</v>
      </c>
      <c r="I1087" s="3520" t="s">
        <v>5768</v>
      </c>
      <c r="J1087" s="3493">
        <f>G1087</f>
        <v>5500000</v>
      </c>
      <c r="K1087" s="3493">
        <f>F1087-J1087</f>
        <v>0</v>
      </c>
      <c r="L1087" s="3558" t="s">
        <v>4679</v>
      </c>
      <c r="M1087" s="3568"/>
      <c r="N1087" s="3568"/>
      <c r="O1087" s="3568"/>
      <c r="P1087" s="386"/>
      <c r="Q1087" s="386"/>
    </row>
    <row r="1088" spans="1:17" s="1660" customFormat="1" ht="30" customHeight="1" x14ac:dyDescent="0.2">
      <c r="A1088" s="4599"/>
      <c r="B1088" s="4457" t="s">
        <v>4757</v>
      </c>
      <c r="C1088" s="4537"/>
      <c r="D1088" s="4413">
        <v>50000000</v>
      </c>
      <c r="E1088" s="4476">
        <v>0.05</v>
      </c>
      <c r="F1088" s="4413">
        <f t="shared" si="104"/>
        <v>2500000</v>
      </c>
      <c r="G1088" s="4413"/>
      <c r="H1088" s="4413"/>
      <c r="I1088" s="4413" t="s">
        <v>5334</v>
      </c>
      <c r="J1088" s="4413">
        <f>G1088</f>
        <v>0</v>
      </c>
      <c r="K1088" s="4413">
        <f>F1088-J1088</f>
        <v>2500000</v>
      </c>
      <c r="L1088" s="3597" t="s">
        <v>4758</v>
      </c>
      <c r="M1088" s="3568"/>
      <c r="N1088" s="3568"/>
      <c r="O1088" s="3568"/>
      <c r="P1088" s="386"/>
      <c r="Q1088" s="386"/>
    </row>
    <row r="1089" spans="1:17" s="1660" customFormat="1" ht="30" customHeight="1" x14ac:dyDescent="0.2">
      <c r="A1089" s="4607"/>
      <c r="B1089" s="4458"/>
      <c r="C1089" s="4538"/>
      <c r="D1089" s="4415"/>
      <c r="E1089" s="4477"/>
      <c r="F1089" s="4415"/>
      <c r="G1089" s="4415"/>
      <c r="H1089" s="4415"/>
      <c r="I1089" s="4415"/>
      <c r="J1089" s="4415"/>
      <c r="K1089" s="4415"/>
      <c r="L1089" s="3597" t="s">
        <v>5245</v>
      </c>
      <c r="M1089" s="3568"/>
      <c r="N1089" s="3568"/>
      <c r="O1089" s="3568"/>
      <c r="P1089" s="386"/>
      <c r="Q1089" s="386"/>
    </row>
    <row r="1090" spans="1:17" s="1660" customFormat="1" ht="30" customHeight="1" x14ac:dyDescent="0.2">
      <c r="A1090" s="3562"/>
      <c r="B1090" s="3539" t="s">
        <v>229</v>
      </c>
      <c r="C1090" s="3541" t="s">
        <v>1306</v>
      </c>
      <c r="D1090" s="3524">
        <v>60000000</v>
      </c>
      <c r="E1090" s="3499">
        <v>0.05</v>
      </c>
      <c r="F1090" s="3493">
        <f t="shared" ref="F1090:F1095" si="105">D1090*E1090</f>
        <v>3000000</v>
      </c>
      <c r="G1090" s="3493">
        <v>3000000</v>
      </c>
      <c r="H1090" s="3493" t="s">
        <v>5960</v>
      </c>
      <c r="I1090" s="3520" t="s">
        <v>1063</v>
      </c>
      <c r="J1090" s="3493">
        <f t="shared" ref="J1090:J1097" si="106">G1090</f>
        <v>3000000</v>
      </c>
      <c r="K1090" s="3493">
        <f t="shared" ref="K1090:K1097" si="107">F1090-J1090</f>
        <v>0</v>
      </c>
      <c r="L1090" s="3558"/>
      <c r="M1090" s="3568"/>
      <c r="N1090" s="3568"/>
      <c r="O1090" s="3568"/>
      <c r="P1090" s="386"/>
      <c r="Q1090" s="386"/>
    </row>
    <row r="1091" spans="1:17" s="1660" customFormat="1" ht="30" customHeight="1" x14ac:dyDescent="0.2">
      <c r="A1091" s="3562"/>
      <c r="B1091" s="3539" t="s">
        <v>4794</v>
      </c>
      <c r="C1091" s="3541" t="s">
        <v>2278</v>
      </c>
      <c r="D1091" s="3524">
        <v>200000000</v>
      </c>
      <c r="E1091" s="3499">
        <v>7.0000000000000007E-2</v>
      </c>
      <c r="F1091" s="3493">
        <f t="shared" si="105"/>
        <v>14000000.000000002</v>
      </c>
      <c r="G1091" s="3493">
        <v>14000000</v>
      </c>
      <c r="H1091" s="3493" t="s">
        <v>5706</v>
      </c>
      <c r="I1091" s="3520" t="s">
        <v>5124</v>
      </c>
      <c r="J1091" s="3493">
        <f t="shared" si="106"/>
        <v>14000000</v>
      </c>
      <c r="K1091" s="3493">
        <f t="shared" si="107"/>
        <v>0</v>
      </c>
      <c r="L1091" s="3558" t="s">
        <v>4979</v>
      </c>
      <c r="M1091" s="3568"/>
      <c r="N1091" s="3568"/>
      <c r="O1091" s="3568"/>
      <c r="P1091" s="386"/>
      <c r="Q1091" s="386"/>
    </row>
    <row r="1092" spans="1:17" s="1660" customFormat="1" ht="30" customHeight="1" x14ac:dyDescent="0.2">
      <c r="A1092" s="3562"/>
      <c r="B1092" s="3539" t="s">
        <v>5042</v>
      </c>
      <c r="C1092" s="3541" t="s">
        <v>1300</v>
      </c>
      <c r="D1092" s="3524">
        <v>250000000</v>
      </c>
      <c r="E1092" s="3499">
        <v>7.0000000000000007E-2</v>
      </c>
      <c r="F1092" s="3493">
        <f t="shared" si="105"/>
        <v>17500000</v>
      </c>
      <c r="G1092" s="3493">
        <v>17500000</v>
      </c>
      <c r="H1092" s="3493" t="s">
        <v>5706</v>
      </c>
      <c r="I1092" s="3520" t="s">
        <v>5134</v>
      </c>
      <c r="J1092" s="3493">
        <f t="shared" si="106"/>
        <v>17500000</v>
      </c>
      <c r="K1092" s="3493">
        <f t="shared" si="107"/>
        <v>0</v>
      </c>
      <c r="L1092" s="3844" t="s">
        <v>5608</v>
      </c>
      <c r="M1092" s="3568"/>
      <c r="N1092" s="3568"/>
      <c r="O1092" s="3568"/>
      <c r="P1092" s="386"/>
      <c r="Q1092" s="386"/>
    </row>
    <row r="1093" spans="1:17" s="1660" customFormat="1" ht="30" customHeight="1" x14ac:dyDescent="0.2">
      <c r="A1093" s="3562"/>
      <c r="B1093" s="3539" t="s">
        <v>4916</v>
      </c>
      <c r="C1093" s="3541" t="s">
        <v>1299</v>
      </c>
      <c r="D1093" s="3524">
        <v>200000000</v>
      </c>
      <c r="E1093" s="3499">
        <v>5.5E-2</v>
      </c>
      <c r="F1093" s="3493">
        <f t="shared" si="105"/>
        <v>11000000</v>
      </c>
      <c r="G1093" s="3493">
        <v>11000000</v>
      </c>
      <c r="H1093" s="3493" t="s">
        <v>5744</v>
      </c>
      <c r="I1093" s="3520" t="s">
        <v>1574</v>
      </c>
      <c r="J1093" s="3493">
        <f t="shared" si="106"/>
        <v>11000000</v>
      </c>
      <c r="K1093" s="3493">
        <f t="shared" si="107"/>
        <v>0</v>
      </c>
      <c r="L1093" s="3558" t="s">
        <v>4917</v>
      </c>
      <c r="M1093" s="3568"/>
      <c r="N1093" s="3568"/>
      <c r="O1093" s="3568"/>
      <c r="P1093" s="386"/>
      <c r="Q1093" s="386"/>
    </row>
    <row r="1094" spans="1:17" s="1660" customFormat="1" ht="30" customHeight="1" x14ac:dyDescent="0.2">
      <c r="A1094" s="3562"/>
      <c r="B1094" s="3539" t="s">
        <v>4924</v>
      </c>
      <c r="C1094" s="3541"/>
      <c r="D1094" s="3524">
        <v>600000000</v>
      </c>
      <c r="E1094" s="3499">
        <v>7.0000000000000007E-2</v>
      </c>
      <c r="F1094" s="3493">
        <f t="shared" si="105"/>
        <v>42000000.000000007</v>
      </c>
      <c r="G1094" s="3493">
        <v>42000000</v>
      </c>
      <c r="H1094" s="3493" t="s">
        <v>5370</v>
      </c>
      <c r="I1094" s="3520" t="s">
        <v>5612</v>
      </c>
      <c r="J1094" s="3493">
        <f t="shared" si="106"/>
        <v>42000000</v>
      </c>
      <c r="K1094" s="3493">
        <f t="shared" si="107"/>
        <v>0</v>
      </c>
      <c r="L1094" s="3558" t="s">
        <v>5665</v>
      </c>
      <c r="M1094" s="3568"/>
      <c r="N1094" s="3568"/>
      <c r="O1094" s="3568"/>
      <c r="P1094" s="386"/>
      <c r="Q1094" s="386"/>
    </row>
    <row r="1095" spans="1:17" s="1660" customFormat="1" ht="30" customHeight="1" x14ac:dyDescent="0.2">
      <c r="A1095" s="3562"/>
      <c r="B1095" s="3539" t="s">
        <v>4971</v>
      </c>
      <c r="C1095" s="3541"/>
      <c r="D1095" s="3524">
        <v>100000000</v>
      </c>
      <c r="E1095" s="3499">
        <v>0.05</v>
      </c>
      <c r="F1095" s="3493">
        <f t="shared" si="105"/>
        <v>5000000</v>
      </c>
      <c r="G1095" s="3493">
        <v>5000000</v>
      </c>
      <c r="H1095" s="3493" t="s">
        <v>3978</v>
      </c>
      <c r="I1095" s="3520" t="s">
        <v>3956</v>
      </c>
      <c r="J1095" s="3493">
        <f t="shared" si="106"/>
        <v>5000000</v>
      </c>
      <c r="K1095" s="3493">
        <f t="shared" si="107"/>
        <v>0</v>
      </c>
      <c r="L1095" s="3558" t="s">
        <v>4972</v>
      </c>
      <c r="M1095" s="3568"/>
      <c r="N1095" s="3568"/>
      <c r="O1095" s="3568"/>
      <c r="P1095" s="386"/>
      <c r="Q1095" s="386"/>
    </row>
    <row r="1096" spans="1:17" s="1660" customFormat="1" ht="30" customHeight="1" x14ac:dyDescent="0.2">
      <c r="A1096" s="3562"/>
      <c r="B1096" s="3539" t="s">
        <v>4969</v>
      </c>
      <c r="C1096" s="3541" t="s">
        <v>3483</v>
      </c>
      <c r="D1096" s="3524">
        <v>150000000</v>
      </c>
      <c r="E1096" s="3499">
        <v>5.6000000000000001E-2</v>
      </c>
      <c r="F1096" s="3493">
        <v>8500000</v>
      </c>
      <c r="G1096" s="3493">
        <v>8500000</v>
      </c>
      <c r="H1096" s="3493" t="s">
        <v>2019</v>
      </c>
      <c r="I1096" s="3520" t="s">
        <v>5523</v>
      </c>
      <c r="J1096" s="3493">
        <f t="shared" si="106"/>
        <v>8500000</v>
      </c>
      <c r="K1096" s="3493">
        <f t="shared" si="107"/>
        <v>0</v>
      </c>
      <c r="L1096" s="3558" t="s">
        <v>4970</v>
      </c>
      <c r="M1096" s="3568"/>
      <c r="N1096" s="3568"/>
      <c r="O1096" s="3568"/>
      <c r="P1096" s="386"/>
      <c r="Q1096" s="386"/>
    </row>
    <row r="1097" spans="1:17" s="1660" customFormat="1" ht="30" customHeight="1" x14ac:dyDescent="0.2">
      <c r="A1097" s="3562"/>
      <c r="B1097" s="3539" t="s">
        <v>5021</v>
      </c>
      <c r="C1097" s="3515"/>
      <c r="D1097" s="3493">
        <v>130000000</v>
      </c>
      <c r="E1097" s="3499">
        <v>0.05</v>
      </c>
      <c r="F1097" s="3493">
        <f>D1097*E1097</f>
        <v>6500000</v>
      </c>
      <c r="G1097" s="3493">
        <v>6500000</v>
      </c>
      <c r="H1097" s="3493" t="s">
        <v>5604</v>
      </c>
      <c r="I1097" s="3520" t="s">
        <v>1220</v>
      </c>
      <c r="J1097" s="3493">
        <f t="shared" si="106"/>
        <v>6500000</v>
      </c>
      <c r="K1097" s="3493">
        <f t="shared" si="107"/>
        <v>0</v>
      </c>
      <c r="L1097" s="3558" t="s">
        <v>5022</v>
      </c>
      <c r="M1097" s="3568"/>
      <c r="N1097" s="3568"/>
      <c r="O1097" s="3568"/>
      <c r="P1097" s="386"/>
      <c r="Q1097" s="386"/>
    </row>
    <row r="1098" spans="1:17" s="1660" customFormat="1" ht="30" customHeight="1" x14ac:dyDescent="0.2">
      <c r="A1098" s="4599"/>
      <c r="B1098" s="4457" t="s">
        <v>5023</v>
      </c>
      <c r="C1098" s="4537"/>
      <c r="D1098" s="3493">
        <v>200000000</v>
      </c>
      <c r="E1098" s="3499">
        <v>0.05</v>
      </c>
      <c r="F1098" s="3493">
        <f>D1098*E1098</f>
        <v>10000000</v>
      </c>
      <c r="G1098" s="4413">
        <v>20000000</v>
      </c>
      <c r="H1098" s="4413" t="s">
        <v>5706</v>
      </c>
      <c r="I1098" s="4413" t="s">
        <v>5717</v>
      </c>
      <c r="J1098" s="4413">
        <f>G1098</f>
        <v>20000000</v>
      </c>
      <c r="K1098" s="4413">
        <f>F1100-J1098</f>
        <v>0</v>
      </c>
      <c r="L1098" s="3558" t="s">
        <v>5024</v>
      </c>
      <c r="M1098" s="3568"/>
      <c r="N1098" s="3568"/>
      <c r="O1098" s="3568"/>
      <c r="P1098" s="386"/>
      <c r="Q1098" s="386"/>
    </row>
    <row r="1099" spans="1:17" s="1660" customFormat="1" ht="30" customHeight="1" x14ac:dyDescent="0.2">
      <c r="A1099" s="4600"/>
      <c r="B1099" s="4488"/>
      <c r="C1099" s="4540"/>
      <c r="D1099" s="3493">
        <v>200000000</v>
      </c>
      <c r="E1099" s="3499">
        <v>0.05</v>
      </c>
      <c r="F1099" s="3493">
        <f>D1099*E1099</f>
        <v>10000000</v>
      </c>
      <c r="G1099" s="4414"/>
      <c r="H1099" s="4414"/>
      <c r="I1099" s="4414"/>
      <c r="J1099" s="4414"/>
      <c r="K1099" s="4414"/>
      <c r="L1099" s="3558" t="s">
        <v>5153</v>
      </c>
      <c r="M1099" s="3568"/>
      <c r="N1099" s="3568"/>
      <c r="O1099" s="3568"/>
      <c r="P1099" s="386"/>
      <c r="Q1099" s="386"/>
    </row>
    <row r="1100" spans="1:17" s="1660" customFormat="1" ht="30" customHeight="1" x14ac:dyDescent="0.2">
      <c r="A1100" s="4607"/>
      <c r="B1100" s="4458"/>
      <c r="C1100" s="4538"/>
      <c r="D1100" s="3582">
        <v>400000000</v>
      </c>
      <c r="E1100" s="3584">
        <v>0.05</v>
      </c>
      <c r="F1100" s="3582">
        <f>D1100*E1100</f>
        <v>20000000</v>
      </c>
      <c r="G1100" s="4415"/>
      <c r="H1100" s="4415"/>
      <c r="I1100" s="4415"/>
      <c r="J1100" s="4415"/>
      <c r="K1100" s="4415"/>
      <c r="L1100" s="3558" t="s">
        <v>5718</v>
      </c>
      <c r="M1100" s="3568"/>
      <c r="N1100" s="3568"/>
      <c r="O1100" s="3568"/>
      <c r="P1100" s="386"/>
      <c r="Q1100" s="386"/>
    </row>
    <row r="1101" spans="1:17" s="1660" customFormat="1" ht="30" customHeight="1" x14ac:dyDescent="0.2">
      <c r="A1101" s="3562"/>
      <c r="B1101" s="3539" t="s">
        <v>5035</v>
      </c>
      <c r="C1101" s="3515"/>
      <c r="D1101" s="3512"/>
      <c r="E1101" s="3513"/>
      <c r="F1101" s="3512"/>
      <c r="G1101" s="3493"/>
      <c r="H1101" s="3493"/>
      <c r="I1101" s="3520" t="s">
        <v>5036</v>
      </c>
      <c r="J1101" s="3493">
        <f>G1101</f>
        <v>0</v>
      </c>
      <c r="K1101" s="3512">
        <f>F1101-J1101</f>
        <v>0</v>
      </c>
      <c r="L1101" s="3558"/>
      <c r="M1101" s="3568"/>
      <c r="N1101" s="3568"/>
      <c r="O1101" s="3568"/>
      <c r="P1101" s="386"/>
      <c r="Q1101" s="386"/>
    </row>
    <row r="1102" spans="1:17" s="1660" customFormat="1" ht="30" customHeight="1" x14ac:dyDescent="0.2">
      <c r="A1102" s="3128"/>
      <c r="B1102" s="3539" t="s">
        <v>5039</v>
      </c>
      <c r="C1102" s="3515" t="s">
        <v>371</v>
      </c>
      <c r="D1102" s="3493">
        <v>60000000</v>
      </c>
      <c r="E1102" s="3499">
        <v>0.06</v>
      </c>
      <c r="F1102" s="3493">
        <f t="shared" ref="F1102:F1107" si="108">D1102*E1102</f>
        <v>3600000</v>
      </c>
      <c r="G1102" s="3493"/>
      <c r="H1102" s="3493"/>
      <c r="I1102" s="3520"/>
      <c r="J1102" s="3493"/>
      <c r="K1102" s="3493"/>
      <c r="L1102" s="3558" t="s">
        <v>5040</v>
      </c>
      <c r="M1102" s="3568"/>
      <c r="N1102" s="3568"/>
      <c r="O1102" s="3568"/>
      <c r="P1102" s="386"/>
      <c r="Q1102" s="386"/>
    </row>
    <row r="1103" spans="1:17" s="1660" customFormat="1" ht="30" customHeight="1" x14ac:dyDescent="0.2">
      <c r="A1103" s="3128"/>
      <c r="B1103" s="3539" t="s">
        <v>5055</v>
      </c>
      <c r="C1103" s="3515"/>
      <c r="D1103" s="3493">
        <v>300000000</v>
      </c>
      <c r="E1103" s="3499">
        <v>0.05</v>
      </c>
      <c r="F1103" s="3493">
        <f t="shared" si="108"/>
        <v>15000000</v>
      </c>
      <c r="G1103" s="3493">
        <v>15000000</v>
      </c>
      <c r="H1103" s="3493" t="s">
        <v>3978</v>
      </c>
      <c r="I1103" s="3520" t="s">
        <v>5061</v>
      </c>
      <c r="J1103" s="3493">
        <f t="shared" ref="J1103:J1110" si="109">G1103</f>
        <v>15000000</v>
      </c>
      <c r="K1103" s="3493">
        <f>F1103-J1103</f>
        <v>0</v>
      </c>
      <c r="L1103" s="3558"/>
      <c r="M1103" s="3568"/>
      <c r="N1103" s="3568"/>
      <c r="O1103" s="3568"/>
      <c r="P1103" s="386"/>
      <c r="Q1103" s="386"/>
    </row>
    <row r="1104" spans="1:17" s="1660" customFormat="1" ht="30" customHeight="1" x14ac:dyDescent="0.2">
      <c r="A1104" s="3128"/>
      <c r="B1104" s="3539" t="s">
        <v>5066</v>
      </c>
      <c r="C1104" s="3515"/>
      <c r="D1104" s="3493">
        <v>700000000</v>
      </c>
      <c r="E1104" s="3499">
        <v>6.5000000000000002E-2</v>
      </c>
      <c r="F1104" s="3493">
        <f t="shared" si="108"/>
        <v>45500000</v>
      </c>
      <c r="G1104" s="3493">
        <v>45500000</v>
      </c>
      <c r="H1104" s="3493" t="s">
        <v>3978</v>
      </c>
      <c r="I1104" s="3520" t="s">
        <v>5528</v>
      </c>
      <c r="J1104" s="3493">
        <f t="shared" si="109"/>
        <v>45500000</v>
      </c>
      <c r="K1104" s="3493">
        <f>F1104-J1104</f>
        <v>0</v>
      </c>
      <c r="L1104" s="3558" t="s">
        <v>5068</v>
      </c>
      <c r="M1104" s="3568"/>
      <c r="N1104" s="3568"/>
      <c r="O1104" s="3568"/>
      <c r="P1104" s="386"/>
      <c r="Q1104" s="386"/>
    </row>
    <row r="1105" spans="1:17" s="1660" customFormat="1" ht="30" customHeight="1" x14ac:dyDescent="0.2">
      <c r="A1105" s="3128"/>
      <c r="B1105" s="3539" t="s">
        <v>5067</v>
      </c>
      <c r="C1105" s="3515"/>
      <c r="D1105" s="3493">
        <v>400000000</v>
      </c>
      <c r="E1105" s="3499">
        <v>6.5000000000000002E-2</v>
      </c>
      <c r="F1105" s="3493">
        <f t="shared" si="108"/>
        <v>26000000</v>
      </c>
      <c r="G1105" s="3493">
        <v>26000000</v>
      </c>
      <c r="H1105" s="3493" t="s">
        <v>3978</v>
      </c>
      <c r="I1105" s="3520" t="s">
        <v>5527</v>
      </c>
      <c r="J1105" s="3493">
        <f t="shared" si="109"/>
        <v>26000000</v>
      </c>
      <c r="K1105" s="3493">
        <f>F1105-J1105</f>
        <v>0</v>
      </c>
      <c r="L1105" s="3558" t="s">
        <v>5068</v>
      </c>
      <c r="M1105" s="3568"/>
      <c r="N1105" s="3568"/>
      <c r="O1105" s="3568"/>
      <c r="P1105" s="386"/>
      <c r="Q1105" s="386"/>
    </row>
    <row r="1106" spans="1:17" s="1660" customFormat="1" ht="30" customHeight="1" x14ac:dyDescent="0.2">
      <c r="A1106" s="4162"/>
      <c r="B1106" s="19" t="s">
        <v>5069</v>
      </c>
      <c r="C1106" s="378"/>
      <c r="D1106" s="4133">
        <v>32000000</v>
      </c>
      <c r="E1106" s="4155">
        <v>0.05</v>
      </c>
      <c r="F1106" s="4133">
        <f t="shared" si="108"/>
        <v>1600000</v>
      </c>
      <c r="G1106" s="4133">
        <v>1600000</v>
      </c>
      <c r="H1106" s="4133" t="s">
        <v>5960</v>
      </c>
      <c r="I1106" s="4133" t="s">
        <v>5319</v>
      </c>
      <c r="J1106" s="4133">
        <f t="shared" si="109"/>
        <v>1600000</v>
      </c>
      <c r="K1106" s="4133">
        <f>F1106-J1106</f>
        <v>0</v>
      </c>
      <c r="L1106" s="3558" t="s">
        <v>5222</v>
      </c>
      <c r="M1106" s="3568"/>
      <c r="N1106" s="3568"/>
      <c r="O1106" s="3568"/>
      <c r="P1106" s="386"/>
      <c r="Q1106" s="386"/>
    </row>
    <row r="1107" spans="1:17" s="1660" customFormat="1" ht="30" customHeight="1" x14ac:dyDescent="0.2">
      <c r="A1107" s="3128"/>
      <c r="B1107" s="4143" t="s">
        <v>5115</v>
      </c>
      <c r="C1107" s="3515"/>
      <c r="D1107" s="3493">
        <v>500000000</v>
      </c>
      <c r="E1107" s="3499">
        <v>0.05</v>
      </c>
      <c r="F1107" s="3493">
        <f t="shared" si="108"/>
        <v>25000000</v>
      </c>
      <c r="G1107" s="3493">
        <v>25000000</v>
      </c>
      <c r="H1107" s="3493" t="s">
        <v>5706</v>
      </c>
      <c r="I1107" s="3520" t="s">
        <v>5116</v>
      </c>
      <c r="J1107" s="3493">
        <f t="shared" si="109"/>
        <v>25000000</v>
      </c>
      <c r="K1107" s="3493">
        <f>F1107-J1107</f>
        <v>0</v>
      </c>
      <c r="L1107" s="3558"/>
      <c r="M1107" s="3568"/>
      <c r="N1107" s="3568"/>
      <c r="O1107" s="3568"/>
      <c r="P1107" s="386"/>
      <c r="Q1107" s="386"/>
    </row>
    <row r="1108" spans="1:17" s="1660" customFormat="1" ht="30" customHeight="1" x14ac:dyDescent="0.2">
      <c r="A1108" s="3128"/>
      <c r="B1108" s="2375" t="s">
        <v>5126</v>
      </c>
      <c r="C1108" s="3515"/>
      <c r="D1108" s="3512"/>
      <c r="E1108" s="3513"/>
      <c r="F1108" s="3512"/>
      <c r="G1108" s="3493"/>
      <c r="H1108" s="3493"/>
      <c r="I1108" s="3520" t="s">
        <v>5127</v>
      </c>
      <c r="J1108" s="3493">
        <f t="shared" si="109"/>
        <v>0</v>
      </c>
      <c r="K1108" s="3493"/>
      <c r="L1108" s="3558"/>
      <c r="M1108" s="3568"/>
      <c r="N1108" s="3568"/>
      <c r="O1108" s="3568"/>
      <c r="P1108" s="386"/>
      <c r="Q1108" s="386"/>
    </row>
    <row r="1109" spans="1:17" s="1660" customFormat="1" ht="30" customHeight="1" x14ac:dyDescent="0.2">
      <c r="A1109" s="3128"/>
      <c r="B1109" s="2375" t="s">
        <v>5131</v>
      </c>
      <c r="C1109" s="3515"/>
      <c r="D1109" s="3512"/>
      <c r="E1109" s="3513"/>
      <c r="F1109" s="3512"/>
      <c r="G1109" s="3493"/>
      <c r="H1109" s="3493"/>
      <c r="I1109" s="3520" t="s">
        <v>5132</v>
      </c>
      <c r="J1109" s="3493">
        <f t="shared" si="109"/>
        <v>0</v>
      </c>
      <c r="K1109" s="3493"/>
      <c r="L1109" s="3558"/>
      <c r="M1109" s="3568"/>
      <c r="N1109" s="3568"/>
      <c r="O1109" s="3568"/>
      <c r="P1109" s="386"/>
      <c r="Q1109" s="386"/>
    </row>
    <row r="1110" spans="1:17" s="1660" customFormat="1" ht="30" customHeight="1" x14ac:dyDescent="0.2">
      <c r="A1110" s="3128"/>
      <c r="B1110" s="3539" t="s">
        <v>5221</v>
      </c>
      <c r="C1110" s="3515" t="s">
        <v>990</v>
      </c>
      <c r="D1110" s="3493">
        <v>50000000</v>
      </c>
      <c r="E1110" s="3499">
        <v>0.05</v>
      </c>
      <c r="F1110" s="3493">
        <f>D1110*E1110</f>
        <v>2500000</v>
      </c>
      <c r="G1110" s="3493">
        <v>2500000</v>
      </c>
      <c r="H1110" s="3493" t="s">
        <v>2341</v>
      </c>
      <c r="I1110" s="3520" t="s">
        <v>5932</v>
      </c>
      <c r="J1110" s="3493">
        <f t="shared" si="109"/>
        <v>2500000</v>
      </c>
      <c r="K1110" s="3493">
        <f>F1110-J1110</f>
        <v>0</v>
      </c>
      <c r="L1110" s="3558" t="s">
        <v>5283</v>
      </c>
      <c r="M1110" s="3568"/>
      <c r="N1110" s="3568"/>
      <c r="O1110" s="3568"/>
      <c r="P1110" s="386"/>
      <c r="Q1110" s="386"/>
    </row>
    <row r="1111" spans="1:17" s="1660" customFormat="1" ht="30" customHeight="1" x14ac:dyDescent="0.2">
      <c r="A1111" s="4599"/>
      <c r="B1111" s="4457" t="s">
        <v>5244</v>
      </c>
      <c r="C1111" s="4537" t="s">
        <v>4107</v>
      </c>
      <c r="D1111" s="4413">
        <v>100000000</v>
      </c>
      <c r="E1111" s="4476">
        <v>7.0000000000000007E-2</v>
      </c>
      <c r="F1111" s="4413">
        <f>D1111*E1111</f>
        <v>7000000.0000000009</v>
      </c>
      <c r="G1111" s="3493"/>
      <c r="H1111" s="3493"/>
      <c r="I1111" s="3520"/>
      <c r="J1111" s="3493"/>
      <c r="K1111" s="3493"/>
      <c r="L1111" s="3558" t="s">
        <v>5325</v>
      </c>
      <c r="M1111" s="3568"/>
      <c r="N1111" s="3568"/>
      <c r="O1111" s="3568"/>
      <c r="P1111" s="386"/>
      <c r="Q1111" s="386"/>
    </row>
    <row r="1112" spans="1:17" s="1660" customFormat="1" ht="30" customHeight="1" x14ac:dyDescent="0.2">
      <c r="A1112" s="4600"/>
      <c r="B1112" s="4488"/>
      <c r="C1112" s="4540"/>
      <c r="D1112" s="4415"/>
      <c r="E1112" s="4477"/>
      <c r="F1112" s="4415"/>
      <c r="G1112" s="3493"/>
      <c r="H1112" s="3493"/>
      <c r="I1112" s="3520"/>
      <c r="J1112" s="3493"/>
      <c r="K1112" s="3493"/>
      <c r="L1112" s="3558" t="s">
        <v>5803</v>
      </c>
      <c r="M1112" s="3568"/>
      <c r="N1112" s="3568"/>
      <c r="O1112" s="3568"/>
      <c r="P1112" s="386"/>
      <c r="Q1112" s="386"/>
    </row>
    <row r="1113" spans="1:17" s="1660" customFormat="1" ht="30" customHeight="1" x14ac:dyDescent="0.2">
      <c r="A1113" s="4600"/>
      <c r="B1113" s="4488"/>
      <c r="C1113" s="4540"/>
      <c r="D1113" s="3999">
        <v>280000000</v>
      </c>
      <c r="E1113" s="4004">
        <v>7.0000000000000007E-2</v>
      </c>
      <c r="F1113" s="3999">
        <f t="shared" ref="F1113:F1119" si="110">D1113*E1113</f>
        <v>19600000.000000004</v>
      </c>
      <c r="G1113" s="3999"/>
      <c r="H1113" s="3999"/>
      <c r="I1113" s="4014"/>
      <c r="J1113" s="3999"/>
      <c r="K1113" s="3999"/>
      <c r="L1113" s="4021" t="s">
        <v>5804</v>
      </c>
      <c r="M1113" s="4023"/>
      <c r="N1113" s="4023"/>
      <c r="O1113" s="4023"/>
      <c r="P1113" s="386"/>
      <c r="Q1113" s="386"/>
    </row>
    <row r="1114" spans="1:17" s="1660" customFormat="1" ht="30" customHeight="1" x14ac:dyDescent="0.2">
      <c r="A1114" s="4600"/>
      <c r="B1114" s="4488"/>
      <c r="C1114" s="4540"/>
      <c r="D1114" s="4169">
        <v>745000000</v>
      </c>
      <c r="E1114" s="4170">
        <v>7.0000000000000007E-2</v>
      </c>
      <c r="F1114" s="4169">
        <f t="shared" si="110"/>
        <v>52150000.000000007</v>
      </c>
      <c r="G1114" s="4469" t="s">
        <v>5996</v>
      </c>
      <c r="H1114" s="4470"/>
      <c r="I1114" s="4470"/>
      <c r="J1114" s="4471"/>
      <c r="K1114" s="4169"/>
      <c r="L1114" s="4180"/>
      <c r="M1114" s="4184"/>
      <c r="N1114" s="4184"/>
      <c r="O1114" s="4184"/>
      <c r="P1114" s="386"/>
      <c r="Q1114" s="386"/>
    </row>
    <row r="1115" spans="1:17" s="1660" customFormat="1" ht="30" customHeight="1" x14ac:dyDescent="0.2">
      <c r="A1115" s="4600"/>
      <c r="B1115" s="4488"/>
      <c r="C1115" s="4540"/>
      <c r="D1115" s="4185">
        <f>SUM(D1111:D1114)</f>
        <v>1125000000</v>
      </c>
      <c r="E1115" s="4186">
        <v>7.0000000000000007E-2</v>
      </c>
      <c r="F1115" s="4185">
        <f t="shared" si="110"/>
        <v>78750000.000000015</v>
      </c>
      <c r="G1115" s="4469" t="s">
        <v>5995</v>
      </c>
      <c r="H1115" s="4470"/>
      <c r="I1115" s="4470"/>
      <c r="J1115" s="4471"/>
      <c r="K1115" s="4169"/>
      <c r="L1115" s="4180"/>
      <c r="M1115" s="4184"/>
      <c r="N1115" s="4184"/>
      <c r="O1115" s="4184"/>
      <c r="P1115" s="386"/>
      <c r="Q1115" s="386"/>
    </row>
    <row r="1116" spans="1:17" s="1660" customFormat="1" ht="30" customHeight="1" x14ac:dyDescent="0.2">
      <c r="A1116" s="4607"/>
      <c r="B1116" s="4458"/>
      <c r="C1116" s="4538"/>
      <c r="D1116" s="4185">
        <v>1275000000</v>
      </c>
      <c r="E1116" s="4170">
        <v>7.0000000000000007E-2</v>
      </c>
      <c r="F1116" s="4169">
        <f t="shared" si="110"/>
        <v>89250000.000000015</v>
      </c>
      <c r="G1116" s="4469" t="s">
        <v>6020</v>
      </c>
      <c r="H1116" s="4470"/>
      <c r="I1116" s="4470"/>
      <c r="J1116" s="4471"/>
      <c r="K1116" s="4169"/>
      <c r="L1116" s="4180" t="s">
        <v>6021</v>
      </c>
      <c r="M1116" s="4184"/>
      <c r="N1116" s="4184"/>
      <c r="O1116" s="4184"/>
      <c r="P1116" s="386"/>
      <c r="Q1116" s="386"/>
    </row>
    <row r="1117" spans="1:17" s="1660" customFormat="1" ht="30" customHeight="1" x14ac:dyDescent="0.2">
      <c r="A1117" s="3128"/>
      <c r="B1117" s="3539" t="s">
        <v>5246</v>
      </c>
      <c r="C1117" s="3515"/>
      <c r="D1117" s="3493">
        <v>50000000</v>
      </c>
      <c r="E1117" s="3499">
        <v>0.05</v>
      </c>
      <c r="F1117" s="3493">
        <f t="shared" si="110"/>
        <v>2500000</v>
      </c>
      <c r="G1117" s="3493">
        <v>2500000</v>
      </c>
      <c r="H1117" s="3493" t="s">
        <v>6002</v>
      </c>
      <c r="I1117" s="3520" t="s">
        <v>6006</v>
      </c>
      <c r="J1117" s="3493">
        <f>G1117</f>
        <v>2500000</v>
      </c>
      <c r="K1117" s="3493">
        <f>F1117-J1117</f>
        <v>0</v>
      </c>
      <c r="L1117" s="3558" t="s">
        <v>5281</v>
      </c>
      <c r="M1117" s="3568" t="s">
        <v>5280</v>
      </c>
      <c r="N1117" s="3568"/>
      <c r="O1117" s="3568"/>
      <c r="P1117" s="386"/>
      <c r="Q1117" s="386"/>
    </row>
    <row r="1118" spans="1:17" s="1660" customFormat="1" ht="30" customHeight="1" x14ac:dyDescent="0.2">
      <c r="A1118" s="3128"/>
      <c r="B1118" s="3539" t="s">
        <v>5253</v>
      </c>
      <c r="C1118" s="3541"/>
      <c r="D1118" s="3524">
        <v>100000000</v>
      </c>
      <c r="E1118" s="3499">
        <v>0.05</v>
      </c>
      <c r="F1118" s="3493">
        <f t="shared" si="110"/>
        <v>5000000</v>
      </c>
      <c r="G1118" s="3493">
        <v>5000000</v>
      </c>
      <c r="H1118" s="3493" t="s">
        <v>6007</v>
      </c>
      <c r="I1118" s="3520" t="s">
        <v>6009</v>
      </c>
      <c r="J1118" s="3493">
        <f>G1118</f>
        <v>5000000</v>
      </c>
      <c r="K1118" s="3493">
        <f>F1118-J1118</f>
        <v>0</v>
      </c>
      <c r="L1118" s="3558" t="s">
        <v>5254</v>
      </c>
      <c r="M1118" s="3568"/>
      <c r="N1118" s="3568"/>
      <c r="O1118" s="3568"/>
      <c r="P1118" s="386"/>
      <c r="Q1118" s="386"/>
    </row>
    <row r="1119" spans="1:17" s="1660" customFormat="1" ht="30" customHeight="1" x14ac:dyDescent="0.2">
      <c r="A1119" s="3128"/>
      <c r="B1119" s="3539" t="s">
        <v>5255</v>
      </c>
      <c r="C1119" s="3515"/>
      <c r="D1119" s="3493">
        <v>200000000</v>
      </c>
      <c r="E1119" s="3499">
        <v>5.5E-2</v>
      </c>
      <c r="F1119" s="3493">
        <f t="shared" si="110"/>
        <v>11000000</v>
      </c>
      <c r="G1119" s="3493"/>
      <c r="H1119" s="3493"/>
      <c r="I1119" s="3520"/>
      <c r="J1119" s="3493"/>
      <c r="K1119" s="3493"/>
      <c r="L1119" s="3558" t="s">
        <v>5308</v>
      </c>
      <c r="M1119" s="3568"/>
      <c r="N1119" s="3568"/>
      <c r="O1119" s="3568"/>
      <c r="P1119" s="386"/>
      <c r="Q1119" s="386"/>
    </row>
    <row r="1120" spans="1:17" s="1660" customFormat="1" ht="30" customHeight="1" x14ac:dyDescent="0.2">
      <c r="A1120" s="3128"/>
      <c r="B1120" s="3539" t="s">
        <v>5307</v>
      </c>
      <c r="C1120" s="3515"/>
      <c r="D1120" s="3512"/>
      <c r="E1120" s="3513"/>
      <c r="F1120" s="3512"/>
      <c r="G1120" s="3493"/>
      <c r="H1120" s="3493"/>
      <c r="I1120" s="3520" t="s">
        <v>4149</v>
      </c>
      <c r="J1120" s="3493">
        <f>G1120</f>
        <v>0</v>
      </c>
      <c r="K1120" s="3512"/>
      <c r="L1120" s="3558"/>
      <c r="M1120" s="3568"/>
      <c r="N1120" s="3568"/>
      <c r="O1120" s="3568"/>
      <c r="P1120" s="386"/>
      <c r="Q1120" s="386"/>
    </row>
    <row r="1121" spans="1:17" s="1660" customFormat="1" ht="30" customHeight="1" x14ac:dyDescent="0.2">
      <c r="A1121" s="3128"/>
      <c r="B1121" s="3539" t="s">
        <v>5313</v>
      </c>
      <c r="C1121" s="3515"/>
      <c r="D1121" s="3493">
        <v>30000000</v>
      </c>
      <c r="E1121" s="3499">
        <v>0.05</v>
      </c>
      <c r="F1121" s="3493">
        <f>D1121*E1121</f>
        <v>1500000</v>
      </c>
      <c r="G1121" s="3493"/>
      <c r="H1121" s="3493"/>
      <c r="I1121" s="3520"/>
      <c r="J1121" s="3493"/>
      <c r="K1121" s="3493"/>
      <c r="L1121" s="3558" t="s">
        <v>5438</v>
      </c>
      <c r="M1121" s="3568"/>
      <c r="N1121" s="3568"/>
      <c r="O1121" s="3568"/>
      <c r="P1121" s="386"/>
      <c r="Q1121" s="386"/>
    </row>
    <row r="1122" spans="1:17" s="1660" customFormat="1" ht="30" customHeight="1" x14ac:dyDescent="0.2">
      <c r="A1122" s="3128"/>
      <c r="B1122" s="3539" t="s">
        <v>5314</v>
      </c>
      <c r="C1122" s="3515"/>
      <c r="D1122" s="3493">
        <v>10000000</v>
      </c>
      <c r="E1122" s="3499">
        <v>0.05</v>
      </c>
      <c r="F1122" s="3493">
        <f>D1122*E1122</f>
        <v>500000</v>
      </c>
      <c r="G1122" s="3493"/>
      <c r="H1122" s="3493"/>
      <c r="I1122" s="3520"/>
      <c r="J1122" s="3493"/>
      <c r="K1122" s="3493"/>
      <c r="L1122" s="3558" t="s">
        <v>5440</v>
      </c>
      <c r="M1122" s="3568"/>
      <c r="N1122" s="3568"/>
      <c r="O1122" s="3568"/>
      <c r="P1122" s="386"/>
      <c r="Q1122" s="386"/>
    </row>
    <row r="1123" spans="1:17" s="1660" customFormat="1" ht="30" customHeight="1" x14ac:dyDescent="0.2">
      <c r="A1123" s="3128"/>
      <c r="B1123" s="3539" t="s">
        <v>5322</v>
      </c>
      <c r="C1123" s="3515"/>
      <c r="D1123" s="3493">
        <v>110000000</v>
      </c>
      <c r="E1123" s="3499">
        <v>0.05</v>
      </c>
      <c r="F1123" s="3493">
        <f>D1123*E1123</f>
        <v>5500000</v>
      </c>
      <c r="G1123" s="3493"/>
      <c r="H1123" s="3493"/>
      <c r="I1123" s="3520"/>
      <c r="J1123" s="3493"/>
      <c r="K1123" s="3493"/>
      <c r="L1123" s="3558" t="s">
        <v>5323</v>
      </c>
      <c r="M1123" s="3568"/>
      <c r="N1123" s="3568"/>
      <c r="O1123" s="3568"/>
      <c r="P1123" s="386"/>
      <c r="Q1123" s="386"/>
    </row>
    <row r="1124" spans="1:17" s="1660" customFormat="1" ht="30" customHeight="1" x14ac:dyDescent="0.2">
      <c r="A1124" s="3128"/>
      <c r="B1124" s="3539" t="s">
        <v>5328</v>
      </c>
      <c r="C1124" s="3515"/>
      <c r="D1124" s="3512"/>
      <c r="E1124" s="3513"/>
      <c r="F1124" s="3512"/>
      <c r="G1124" s="3493"/>
      <c r="H1124" s="3493"/>
      <c r="I1124" s="3520" t="s">
        <v>5329</v>
      </c>
      <c r="J1124" s="3493">
        <f>G1124</f>
        <v>0</v>
      </c>
      <c r="K1124" s="3493"/>
      <c r="L1124" s="3486" t="s">
        <v>5330</v>
      </c>
      <c r="M1124" s="3568"/>
      <c r="N1124" s="3568"/>
      <c r="O1124" s="3568"/>
      <c r="P1124" s="386"/>
      <c r="Q1124" s="386"/>
    </row>
    <row r="1125" spans="1:17" s="1660" customFormat="1" ht="30" customHeight="1" x14ac:dyDescent="0.2">
      <c r="A1125" s="3128"/>
      <c r="B1125" s="3539" t="s">
        <v>5335</v>
      </c>
      <c r="C1125" s="3515"/>
      <c r="D1125" s="3493">
        <v>30000000</v>
      </c>
      <c r="E1125" s="3499">
        <v>7.0000000000000007E-2</v>
      </c>
      <c r="F1125" s="3493">
        <f>D1125*E1125</f>
        <v>2100000</v>
      </c>
      <c r="G1125" s="3493">
        <v>2700000</v>
      </c>
      <c r="H1125" s="3493" t="s">
        <v>2341</v>
      </c>
      <c r="I1125" s="3520" t="s">
        <v>5930</v>
      </c>
      <c r="J1125" s="3493">
        <f>G1125</f>
        <v>2700000</v>
      </c>
      <c r="K1125" s="3493">
        <f>F1125-J1125</f>
        <v>-600000</v>
      </c>
      <c r="L1125" s="3558" t="s">
        <v>5931</v>
      </c>
      <c r="M1125" s="3568"/>
      <c r="N1125" s="3568"/>
      <c r="O1125" s="3568"/>
      <c r="P1125" s="386"/>
      <c r="Q1125" s="386"/>
    </row>
    <row r="1126" spans="1:17" s="1660" customFormat="1" ht="30" customHeight="1" x14ac:dyDescent="0.2">
      <c r="A1126" s="3128"/>
      <c r="B1126" s="3614" t="s">
        <v>5365</v>
      </c>
      <c r="C1126" s="3607"/>
      <c r="D1126" s="3599">
        <v>11000000</v>
      </c>
      <c r="E1126" s="3602">
        <v>0.06</v>
      </c>
      <c r="F1126" s="3599">
        <f>D1126*E1126</f>
        <v>660000</v>
      </c>
      <c r="G1126" s="4303" t="s">
        <v>5651</v>
      </c>
      <c r="H1126" s="4324"/>
      <c r="I1126" s="4324"/>
      <c r="J1126" s="4324"/>
      <c r="K1126" s="4355"/>
      <c r="L1126" s="3611" t="s">
        <v>5366</v>
      </c>
      <c r="M1126" s="3617"/>
      <c r="N1126" s="3617"/>
      <c r="O1126" s="3617"/>
      <c r="P1126" s="386"/>
      <c r="Q1126" s="386"/>
    </row>
    <row r="1127" spans="1:17" s="1660" customFormat="1" ht="30" customHeight="1" x14ac:dyDescent="0.2">
      <c r="A1127" s="4599"/>
      <c r="B1127" s="4457" t="s">
        <v>5368</v>
      </c>
      <c r="C1127" s="4537"/>
      <c r="D1127" s="4413"/>
      <c r="E1127" s="4476"/>
      <c r="F1127" s="4413"/>
      <c r="G1127" s="3599">
        <v>20000000</v>
      </c>
      <c r="H1127" s="3599" t="s">
        <v>5361</v>
      </c>
      <c r="I1127" s="3605" t="s">
        <v>678</v>
      </c>
      <c r="J1127" s="4413">
        <f>G1127+G1128</f>
        <v>120000000</v>
      </c>
      <c r="K1127" s="4413"/>
      <c r="L1127" s="4680" t="s">
        <v>5369</v>
      </c>
      <c r="M1127" s="3617"/>
      <c r="N1127" s="3617"/>
      <c r="O1127" s="3617"/>
      <c r="P1127" s="386"/>
      <c r="Q1127" s="386"/>
    </row>
    <row r="1128" spans="1:17" s="1660" customFormat="1" ht="30" customHeight="1" x14ac:dyDescent="0.2">
      <c r="A1128" s="4607"/>
      <c r="B1128" s="4458"/>
      <c r="C1128" s="4538"/>
      <c r="D1128" s="4415"/>
      <c r="E1128" s="4477"/>
      <c r="F1128" s="4415"/>
      <c r="G1128" s="3659">
        <v>100000000</v>
      </c>
      <c r="H1128" s="3659" t="s">
        <v>1527</v>
      </c>
      <c r="I1128" s="3674" t="s">
        <v>5421</v>
      </c>
      <c r="J1128" s="4415"/>
      <c r="K1128" s="4415"/>
      <c r="L1128" s="4681"/>
      <c r="M1128" s="3683"/>
      <c r="N1128" s="3683"/>
      <c r="O1128" s="3683"/>
      <c r="P1128" s="386"/>
      <c r="Q1128" s="386"/>
    </row>
    <row r="1129" spans="1:17" s="1660" customFormat="1" ht="30" customHeight="1" x14ac:dyDescent="0.2">
      <c r="A1129" s="3128"/>
      <c r="B1129" s="3653" t="s">
        <v>5373</v>
      </c>
      <c r="C1129" s="3646" t="s">
        <v>4225</v>
      </c>
      <c r="D1129" s="3640">
        <v>285000000</v>
      </c>
      <c r="E1129" s="3642">
        <v>5.5E-2</v>
      </c>
      <c r="F1129" s="3640">
        <f>D1129*E1129</f>
        <v>15675000</v>
      </c>
      <c r="G1129" s="4303" t="s">
        <v>5534</v>
      </c>
      <c r="H1129" s="4324"/>
      <c r="I1129" s="4324"/>
      <c r="J1129" s="4355"/>
      <c r="K1129" s="3640"/>
      <c r="L1129" s="3649" t="s">
        <v>5533</v>
      </c>
      <c r="M1129" s="3654"/>
      <c r="N1129" s="3654"/>
      <c r="O1129" s="3654"/>
      <c r="P1129" s="386"/>
      <c r="Q1129" s="386"/>
    </row>
    <row r="1130" spans="1:17" s="1660" customFormat="1" ht="30" customHeight="1" x14ac:dyDescent="0.2">
      <c r="A1130" s="3128"/>
      <c r="B1130" s="3653" t="s">
        <v>5404</v>
      </c>
      <c r="C1130" s="3646"/>
      <c r="D1130" s="3669"/>
      <c r="E1130" s="3671"/>
      <c r="F1130" s="3669"/>
      <c r="G1130" s="3640">
        <v>3000000</v>
      </c>
      <c r="H1130" s="3640" t="s">
        <v>5401</v>
      </c>
      <c r="I1130" s="3643" t="s">
        <v>5405</v>
      </c>
      <c r="J1130" s="3640">
        <f>G1130</f>
        <v>3000000</v>
      </c>
      <c r="K1130" s="3669"/>
      <c r="L1130" s="3649"/>
      <c r="M1130" s="3654"/>
      <c r="N1130" s="3654"/>
      <c r="O1130" s="3654"/>
      <c r="P1130" s="386"/>
      <c r="Q1130" s="386"/>
    </row>
    <row r="1131" spans="1:17" s="1660" customFormat="1" ht="30" customHeight="1" x14ac:dyDescent="0.2">
      <c r="A1131" s="3128"/>
      <c r="B1131" s="3679" t="s">
        <v>5424</v>
      </c>
      <c r="C1131" s="3673"/>
      <c r="D1131" s="3669"/>
      <c r="E1131" s="3671"/>
      <c r="F1131" s="3669"/>
      <c r="G1131" s="3675">
        <v>23000000</v>
      </c>
      <c r="H1131" s="3675" t="s">
        <v>1527</v>
      </c>
      <c r="I1131" s="3675" t="s">
        <v>5425</v>
      </c>
      <c r="J1131" s="3675">
        <f>G1131</f>
        <v>23000000</v>
      </c>
      <c r="K1131" s="3669"/>
      <c r="L1131" s="3682"/>
      <c r="M1131" s="3683"/>
      <c r="N1131" s="3683"/>
      <c r="O1131" s="3683"/>
      <c r="P1131" s="386"/>
      <c r="Q1131" s="386"/>
    </row>
    <row r="1132" spans="1:17" s="1660" customFormat="1" ht="30" customHeight="1" x14ac:dyDescent="0.2">
      <c r="A1132" s="3128"/>
      <c r="B1132" s="2375" t="s">
        <v>5410</v>
      </c>
      <c r="C1132" s="3946"/>
      <c r="D1132" s="3941">
        <v>70000000</v>
      </c>
      <c r="E1132" s="3942"/>
      <c r="F1132" s="3941"/>
      <c r="G1132" s="4386" t="s">
        <v>5413</v>
      </c>
      <c r="H1132" s="4654"/>
      <c r="I1132" s="4654"/>
      <c r="J1132" s="4655"/>
      <c r="K1132" s="3941"/>
      <c r="L1132" s="3486" t="s">
        <v>5684</v>
      </c>
      <c r="M1132" s="3654"/>
      <c r="N1132" s="3654"/>
      <c r="O1132" s="3654"/>
      <c r="P1132" s="386"/>
      <c r="Q1132" s="386"/>
    </row>
    <row r="1133" spans="1:17" s="1660" customFormat="1" ht="30" customHeight="1" x14ac:dyDescent="0.2">
      <c r="A1133" s="3128"/>
      <c r="B1133" s="3653" t="s">
        <v>5414</v>
      </c>
      <c r="C1133" s="3646"/>
      <c r="D1133" s="3640">
        <v>8000000</v>
      </c>
      <c r="E1133" s="3642"/>
      <c r="F1133" s="3640"/>
      <c r="G1133" s="4469" t="s">
        <v>5416</v>
      </c>
      <c r="H1133" s="4470"/>
      <c r="I1133" s="4470"/>
      <c r="J1133" s="4471"/>
      <c r="K1133" s="3640"/>
      <c r="L1133" s="3649" t="s">
        <v>5415</v>
      </c>
      <c r="M1133" s="3654"/>
      <c r="N1133" s="3654"/>
      <c r="O1133" s="3654"/>
      <c r="P1133" s="386"/>
      <c r="Q1133" s="386"/>
    </row>
    <row r="1134" spans="1:17" s="1660" customFormat="1" ht="30" customHeight="1" x14ac:dyDescent="0.2">
      <c r="A1134" s="3128"/>
      <c r="B1134" s="3679" t="s">
        <v>5685</v>
      </c>
      <c r="C1134" s="3673"/>
      <c r="D1134" s="3659"/>
      <c r="E1134" s="3661"/>
      <c r="F1134" s="3659"/>
      <c r="G1134" s="4469" t="s">
        <v>5417</v>
      </c>
      <c r="H1134" s="4470"/>
      <c r="I1134" s="4470"/>
      <c r="J1134" s="4471"/>
      <c r="K1134" s="3659"/>
      <c r="L1134" s="3682" t="s">
        <v>5418</v>
      </c>
      <c r="M1134" s="3683"/>
      <c r="N1134" s="3683"/>
      <c r="O1134" s="3683"/>
      <c r="P1134" s="386"/>
      <c r="Q1134" s="386"/>
    </row>
    <row r="1135" spans="1:17" s="1660" customFormat="1" ht="30" customHeight="1" x14ac:dyDescent="0.2">
      <c r="A1135" s="5153"/>
      <c r="B1135" s="4615" t="s">
        <v>5429</v>
      </c>
      <c r="C1135" s="4537"/>
      <c r="D1135" s="4325" t="s">
        <v>5430</v>
      </c>
      <c r="E1135" s="4326"/>
      <c r="F1135" s="4563"/>
      <c r="G1135" s="3800">
        <v>90000000</v>
      </c>
      <c r="H1135" s="3800" t="s">
        <v>2019</v>
      </c>
      <c r="I1135" s="3800" t="s">
        <v>4113</v>
      </c>
      <c r="J1135" s="4413">
        <f>G1135+G1136+G1137</f>
        <v>130000000</v>
      </c>
      <c r="K1135" s="4413">
        <f>130000000-J1135</f>
        <v>0</v>
      </c>
      <c r="L1135" s="3682" t="s">
        <v>5431</v>
      </c>
      <c r="M1135" s="3683"/>
      <c r="N1135" s="3683"/>
      <c r="O1135" s="3683"/>
      <c r="P1135" s="386"/>
      <c r="Q1135" s="386"/>
    </row>
    <row r="1136" spans="1:17" s="1660" customFormat="1" ht="30" customHeight="1" x14ac:dyDescent="0.2">
      <c r="A1136" s="5154"/>
      <c r="B1136" s="4615"/>
      <c r="C1136" s="4540"/>
      <c r="D1136" s="4612"/>
      <c r="E1136" s="4359"/>
      <c r="F1136" s="4613"/>
      <c r="G1136" s="3778">
        <v>38000000</v>
      </c>
      <c r="H1136" s="3778" t="s">
        <v>5370</v>
      </c>
      <c r="I1136" s="3795" t="s">
        <v>4113</v>
      </c>
      <c r="J1136" s="4414"/>
      <c r="K1136" s="4414"/>
      <c r="L1136" s="3812"/>
      <c r="M1136" s="3825"/>
      <c r="N1136" s="3825"/>
      <c r="O1136" s="3825"/>
      <c r="P1136" s="386"/>
      <c r="Q1136" s="386"/>
    </row>
    <row r="1137" spans="1:17" s="1660" customFormat="1" ht="30" customHeight="1" x14ac:dyDescent="0.2">
      <c r="A1137" s="5155"/>
      <c r="B1137" s="4615"/>
      <c r="C1137" s="4538"/>
      <c r="D1137" s="4564"/>
      <c r="E1137" s="4596"/>
      <c r="F1137" s="4565"/>
      <c r="G1137" s="3778">
        <v>2000000</v>
      </c>
      <c r="H1137" s="3778" t="s">
        <v>5593</v>
      </c>
      <c r="I1137" s="3795" t="s">
        <v>5597</v>
      </c>
      <c r="J1137" s="4415"/>
      <c r="K1137" s="4415"/>
      <c r="L1137" s="3812"/>
      <c r="M1137" s="3825"/>
      <c r="N1137" s="3825"/>
      <c r="O1137" s="3825"/>
      <c r="P1137" s="386"/>
      <c r="Q1137" s="386"/>
    </row>
    <row r="1138" spans="1:17" s="1660" customFormat="1" ht="30" customHeight="1" x14ac:dyDescent="0.2">
      <c r="A1138" s="3722"/>
      <c r="B1138" s="1091" t="s">
        <v>5443</v>
      </c>
      <c r="C1138" s="3515"/>
      <c r="D1138" s="3493">
        <v>250000000</v>
      </c>
      <c r="E1138" s="3499"/>
      <c r="F1138" s="3493"/>
      <c r="G1138" s="3493"/>
      <c r="H1138" s="3493"/>
      <c r="I1138" s="3520"/>
      <c r="J1138" s="3493"/>
      <c r="K1138" s="3493"/>
      <c r="L1138" s="3558" t="s">
        <v>5444</v>
      </c>
      <c r="M1138" s="3568"/>
      <c r="N1138" s="3568"/>
      <c r="O1138" s="3568"/>
      <c r="P1138" s="386"/>
      <c r="Q1138" s="386"/>
    </row>
    <row r="1139" spans="1:17" s="1660" customFormat="1" ht="30" customHeight="1" x14ac:dyDescent="0.2">
      <c r="A1139" s="4599"/>
      <c r="B1139" s="4457" t="s">
        <v>5457</v>
      </c>
      <c r="C1139" s="4537"/>
      <c r="D1139" s="3699">
        <v>100000000</v>
      </c>
      <c r="E1139" s="3704">
        <v>0.06</v>
      </c>
      <c r="F1139" s="3699">
        <f>D1139*E1139</f>
        <v>6000000</v>
      </c>
      <c r="G1139" s="3699"/>
      <c r="H1139" s="3699"/>
      <c r="I1139" s="3710"/>
      <c r="J1139" s="3699"/>
      <c r="K1139" s="3699"/>
      <c r="L1139" s="3715" t="s">
        <v>5460</v>
      </c>
      <c r="M1139" s="3723"/>
      <c r="N1139" s="3723"/>
      <c r="O1139" s="3723"/>
      <c r="P1139" s="386"/>
      <c r="Q1139" s="386"/>
    </row>
    <row r="1140" spans="1:17" s="1660" customFormat="1" ht="30" customHeight="1" x14ac:dyDescent="0.2">
      <c r="A1140" s="4607"/>
      <c r="B1140" s="4458"/>
      <c r="C1140" s="4538"/>
      <c r="D1140" s="4135">
        <v>100000000</v>
      </c>
      <c r="E1140" s="4142">
        <v>0.06</v>
      </c>
      <c r="F1140" s="4135">
        <f>D1140*E1140</f>
        <v>6000000</v>
      </c>
      <c r="G1140" s="4638" t="s">
        <v>5978</v>
      </c>
      <c r="H1140" s="4639"/>
      <c r="I1140" s="4639"/>
      <c r="J1140" s="4640"/>
      <c r="K1140" s="4135"/>
      <c r="L1140" s="4161" t="s">
        <v>5977</v>
      </c>
      <c r="M1140" s="4164"/>
      <c r="N1140" s="4164"/>
      <c r="O1140" s="4164"/>
      <c r="P1140" s="386"/>
      <c r="Q1140" s="386"/>
    </row>
    <row r="1141" spans="1:17" s="1660" customFormat="1" ht="30" customHeight="1" x14ac:dyDescent="0.2">
      <c r="A1141" s="3722"/>
      <c r="B1141" s="1340" t="s">
        <v>5467</v>
      </c>
      <c r="C1141" s="3711"/>
      <c r="D1141" s="3699">
        <v>20000000</v>
      </c>
      <c r="E1141" s="3704">
        <v>7.0000000000000007E-2</v>
      </c>
      <c r="F1141" s="3699">
        <f>D1141*E1141</f>
        <v>1400000.0000000002</v>
      </c>
      <c r="G1141" s="3699">
        <v>700000</v>
      </c>
      <c r="H1141" s="3699" t="s">
        <v>1649</v>
      </c>
      <c r="I1141" s="3710" t="s">
        <v>5468</v>
      </c>
      <c r="J1141" s="3699">
        <f>G1141</f>
        <v>700000</v>
      </c>
      <c r="K1141" s="3699"/>
      <c r="L1141" s="3715" t="s">
        <v>6098</v>
      </c>
      <c r="M1141" s="3723"/>
      <c r="N1141" s="3723"/>
      <c r="O1141" s="3723"/>
      <c r="P1141" s="386"/>
      <c r="Q1141" s="386"/>
    </row>
    <row r="1142" spans="1:17" s="1660" customFormat="1" ht="30" customHeight="1" x14ac:dyDescent="0.2">
      <c r="A1142" s="3128"/>
      <c r="B1142" s="3768" t="s">
        <v>5514</v>
      </c>
      <c r="C1142" s="3765"/>
      <c r="D1142" s="3763">
        <v>125000000</v>
      </c>
      <c r="E1142" s="3764">
        <v>0.06</v>
      </c>
      <c r="F1142" s="3763">
        <f>D1142*E1142</f>
        <v>7500000</v>
      </c>
      <c r="G1142" s="3800">
        <v>7500000</v>
      </c>
      <c r="H1142" s="3800" t="s">
        <v>5593</v>
      </c>
      <c r="I1142" s="3800" t="s">
        <v>5606</v>
      </c>
      <c r="J1142" s="3800">
        <f>G1142</f>
        <v>7500000</v>
      </c>
      <c r="K1142" s="3763">
        <f>F1142-J1142</f>
        <v>0</v>
      </c>
      <c r="L1142" s="3769" t="s">
        <v>5605</v>
      </c>
      <c r="M1142" s="3771"/>
      <c r="N1142" s="3771"/>
      <c r="O1142" s="3771"/>
      <c r="P1142" s="386"/>
      <c r="Q1142" s="386"/>
    </row>
    <row r="1143" spans="1:17" s="1660" customFormat="1" ht="30" customHeight="1" x14ac:dyDescent="0.2">
      <c r="A1143" s="3770"/>
      <c r="B1143" s="3845"/>
      <c r="C1143" s="3765"/>
      <c r="D1143" s="3763">
        <v>43000000</v>
      </c>
      <c r="E1143" s="3764">
        <v>0.05</v>
      </c>
      <c r="F1143" s="3763">
        <f>D1143*E1143</f>
        <v>2150000</v>
      </c>
      <c r="G1143" s="3763"/>
      <c r="H1143" s="3763"/>
      <c r="I1143" s="3766"/>
      <c r="J1143" s="3763"/>
      <c r="K1143" s="3763"/>
      <c r="L1143" s="3769" t="s">
        <v>5517</v>
      </c>
      <c r="M1143" s="3771"/>
      <c r="N1143" s="3771"/>
      <c r="O1143" s="3771"/>
      <c r="P1143" s="386"/>
      <c r="Q1143" s="386"/>
    </row>
    <row r="1144" spans="1:17" s="1660" customFormat="1" ht="30" customHeight="1" x14ac:dyDescent="0.2">
      <c r="A1144" s="3824"/>
      <c r="B1144" s="3817" t="s">
        <v>1473</v>
      </c>
      <c r="C1144" s="3799"/>
      <c r="D1144" s="3778">
        <v>150000000</v>
      </c>
      <c r="E1144" s="3787">
        <v>5.7000000000000002E-2</v>
      </c>
      <c r="F1144" s="3778">
        <v>8500000</v>
      </c>
      <c r="G1144" s="4303" t="s">
        <v>5663</v>
      </c>
      <c r="H1144" s="4324"/>
      <c r="I1144" s="4324"/>
      <c r="J1144" s="4355"/>
      <c r="K1144" s="3778"/>
      <c r="L1144" s="3812" t="s">
        <v>5518</v>
      </c>
      <c r="M1144" s="3825"/>
      <c r="N1144" s="3825"/>
      <c r="O1144" s="3825"/>
      <c r="P1144" s="386"/>
      <c r="Q1144" s="386"/>
    </row>
    <row r="1145" spans="1:17" s="1660" customFormat="1" ht="30" customHeight="1" x14ac:dyDescent="0.2">
      <c r="A1145" s="3824"/>
      <c r="B1145" s="1340" t="s">
        <v>5520</v>
      </c>
      <c r="C1145" s="3799"/>
      <c r="D1145" s="3778">
        <v>40000000</v>
      </c>
      <c r="E1145" s="3787"/>
      <c r="F1145" s="3778"/>
      <c r="G1145" s="3778"/>
      <c r="H1145" s="3778"/>
      <c r="I1145" s="3795"/>
      <c r="J1145" s="3778"/>
      <c r="K1145" s="3778"/>
      <c r="L1145" s="3812" t="s">
        <v>5521</v>
      </c>
      <c r="M1145" s="3825"/>
      <c r="N1145" s="3825"/>
      <c r="O1145" s="3825"/>
      <c r="P1145" s="386"/>
      <c r="Q1145" s="386"/>
    </row>
    <row r="1146" spans="1:17" s="1660" customFormat="1" ht="30" customHeight="1" x14ac:dyDescent="0.2">
      <c r="A1146" s="3824"/>
      <c r="B1146" s="1340" t="s">
        <v>5535</v>
      </c>
      <c r="C1146" s="3799" t="s">
        <v>4225</v>
      </c>
      <c r="D1146" s="3778">
        <v>300000000</v>
      </c>
      <c r="E1146" s="3787">
        <v>0.06</v>
      </c>
      <c r="F1146" s="3778">
        <f>D1146*E1146</f>
        <v>18000000</v>
      </c>
      <c r="G1146" s="3778"/>
      <c r="H1146" s="3778"/>
      <c r="I1146" s="3795"/>
      <c r="J1146" s="3778"/>
      <c r="K1146" s="3778"/>
      <c r="L1146" s="3812" t="s">
        <v>5537</v>
      </c>
      <c r="M1146" s="3825"/>
      <c r="N1146" s="3825"/>
      <c r="O1146" s="3825"/>
      <c r="P1146" s="386"/>
      <c r="Q1146" s="386"/>
    </row>
    <row r="1147" spans="1:17" s="1660" customFormat="1" ht="30" customHeight="1" x14ac:dyDescent="0.2">
      <c r="A1147" s="3824"/>
      <c r="B1147" s="1340" t="s">
        <v>5553</v>
      </c>
      <c r="C1147" s="3799" t="s">
        <v>371</v>
      </c>
      <c r="D1147" s="3778">
        <v>100000000</v>
      </c>
      <c r="E1147" s="3787">
        <v>0.05</v>
      </c>
      <c r="F1147" s="3778">
        <f>D1147*E1147</f>
        <v>5000000</v>
      </c>
      <c r="G1147" s="3778"/>
      <c r="H1147" s="3778"/>
      <c r="I1147" s="3795"/>
      <c r="J1147" s="3778"/>
      <c r="K1147" s="3778"/>
      <c r="L1147" s="3812" t="s">
        <v>5554</v>
      </c>
      <c r="M1147" s="3825"/>
      <c r="N1147" s="3825"/>
      <c r="O1147" s="3825"/>
      <c r="P1147" s="386"/>
      <c r="Q1147" s="386"/>
    </row>
    <row r="1148" spans="1:17" s="1660" customFormat="1" ht="30" customHeight="1" x14ac:dyDescent="0.2">
      <c r="A1148" s="4599"/>
      <c r="B1148" s="4457" t="s">
        <v>5555</v>
      </c>
      <c r="C1148" s="4537"/>
      <c r="D1148" s="4413">
        <v>40000000</v>
      </c>
      <c r="E1148" s="4476"/>
      <c r="F1148" s="4413"/>
      <c r="G1148" s="4469" t="s">
        <v>5557</v>
      </c>
      <c r="H1148" s="4470"/>
      <c r="I1148" s="4470"/>
      <c r="J1148" s="4471"/>
      <c r="K1148" s="3778"/>
      <c r="L1148" s="3812" t="s">
        <v>5556</v>
      </c>
      <c r="M1148" s="3825"/>
      <c r="N1148" s="3825"/>
      <c r="O1148" s="3825"/>
      <c r="P1148" s="386"/>
      <c r="Q1148" s="386"/>
    </row>
    <row r="1149" spans="1:17" s="1660" customFormat="1" ht="30" customHeight="1" x14ac:dyDescent="0.2">
      <c r="A1149" s="4607"/>
      <c r="B1149" s="4458"/>
      <c r="C1149" s="4538"/>
      <c r="D1149" s="4415"/>
      <c r="E1149" s="4477"/>
      <c r="F1149" s="4415"/>
      <c r="G1149" s="4469" t="s">
        <v>5558</v>
      </c>
      <c r="H1149" s="4470"/>
      <c r="I1149" s="4470"/>
      <c r="J1149" s="4471"/>
      <c r="K1149" s="3778"/>
      <c r="L1149" s="3812"/>
      <c r="M1149" s="3825"/>
      <c r="N1149" s="3825"/>
      <c r="O1149" s="3825"/>
      <c r="P1149" s="386"/>
      <c r="Q1149" s="386"/>
    </row>
    <row r="1150" spans="1:17" s="1660" customFormat="1" ht="30" customHeight="1" x14ac:dyDescent="0.2">
      <c r="A1150" s="3797"/>
      <c r="B1150" s="1340" t="s">
        <v>5559</v>
      </c>
      <c r="C1150" s="3799"/>
      <c r="D1150" s="3778">
        <v>40000000</v>
      </c>
      <c r="E1150" s="3787">
        <v>0.04</v>
      </c>
      <c r="F1150" s="3778">
        <f>D1150*E1150</f>
        <v>1600000</v>
      </c>
      <c r="G1150" s="4469" t="s">
        <v>5560</v>
      </c>
      <c r="H1150" s="4470"/>
      <c r="I1150" s="4470"/>
      <c r="J1150" s="4471"/>
      <c r="K1150" s="3778"/>
      <c r="L1150" s="3812" t="s">
        <v>5561</v>
      </c>
      <c r="M1150" s="3825"/>
      <c r="N1150" s="3825"/>
      <c r="O1150" s="3825"/>
      <c r="P1150" s="386"/>
      <c r="Q1150" s="386"/>
    </row>
    <row r="1151" spans="1:17" s="1660" customFormat="1" ht="30" customHeight="1" x14ac:dyDescent="0.2">
      <c r="A1151" s="4599"/>
      <c r="B1151" s="4457" t="s">
        <v>5570</v>
      </c>
      <c r="C1151" s="4537"/>
      <c r="D1151" s="4413">
        <v>100000000</v>
      </c>
      <c r="E1151" s="4476">
        <v>0.05</v>
      </c>
      <c r="F1151" s="4413">
        <f>D1151*E1151</f>
        <v>5000000</v>
      </c>
      <c r="G1151" s="4413">
        <v>5000000</v>
      </c>
      <c r="H1151" s="4413" t="s">
        <v>5370</v>
      </c>
      <c r="I1151" s="4413" t="s">
        <v>5571</v>
      </c>
      <c r="J1151" s="4413">
        <f>G1151</f>
        <v>5000000</v>
      </c>
      <c r="K1151" s="4413">
        <f>F1151-J1151</f>
        <v>0</v>
      </c>
      <c r="L1151" s="3812" t="s">
        <v>5666</v>
      </c>
      <c r="M1151" s="3825"/>
      <c r="N1151" s="3825"/>
      <c r="O1151" s="3825"/>
      <c r="P1151" s="386"/>
      <c r="Q1151" s="386"/>
    </row>
    <row r="1152" spans="1:17" s="1660" customFormat="1" ht="30" customHeight="1" x14ac:dyDescent="0.2">
      <c r="A1152" s="4607"/>
      <c r="B1152" s="4458"/>
      <c r="C1152" s="4538"/>
      <c r="D1152" s="4415"/>
      <c r="E1152" s="4477"/>
      <c r="F1152" s="4415"/>
      <c r="G1152" s="4415"/>
      <c r="H1152" s="4415"/>
      <c r="I1152" s="4415"/>
      <c r="J1152" s="4415"/>
      <c r="K1152" s="4415"/>
      <c r="L1152" s="4021" t="s">
        <v>5816</v>
      </c>
      <c r="M1152" s="4023"/>
      <c r="N1152" s="4023"/>
      <c r="O1152" s="4023"/>
      <c r="P1152" s="386"/>
      <c r="Q1152" s="386"/>
    </row>
    <row r="1153" spans="1:17" s="1660" customFormat="1" ht="30" customHeight="1" x14ac:dyDescent="0.2">
      <c r="A1153" s="3797"/>
      <c r="B1153" s="1340" t="s">
        <v>5581</v>
      </c>
      <c r="C1153" s="3799"/>
      <c r="D1153" s="3778">
        <v>150000000</v>
      </c>
      <c r="E1153" s="3787">
        <v>0.06</v>
      </c>
      <c r="F1153" s="3778">
        <f>D1153*E1153</f>
        <v>9000000</v>
      </c>
      <c r="G1153" s="3800">
        <v>9000000</v>
      </c>
      <c r="H1153" s="3800" t="s">
        <v>1879</v>
      </c>
      <c r="I1153" s="3800" t="s">
        <v>4143</v>
      </c>
      <c r="J1153" s="3800">
        <f>G1153</f>
        <v>9000000</v>
      </c>
      <c r="K1153" s="3778">
        <f>F1153-J1153</f>
        <v>0</v>
      </c>
      <c r="L1153" s="3812"/>
      <c r="M1153" s="3825"/>
      <c r="N1153" s="3825"/>
      <c r="O1153" s="3825"/>
      <c r="P1153" s="386"/>
      <c r="Q1153" s="386"/>
    </row>
    <row r="1154" spans="1:17" s="1660" customFormat="1" ht="30" customHeight="1" x14ac:dyDescent="0.2">
      <c r="A1154" s="3797"/>
      <c r="B1154" s="1340" t="s">
        <v>5582</v>
      </c>
      <c r="C1154" s="3799"/>
      <c r="D1154" s="3778">
        <v>80000000</v>
      </c>
      <c r="E1154" s="3787">
        <v>0.06</v>
      </c>
      <c r="F1154" s="3778">
        <f>D1154*E1154</f>
        <v>4800000</v>
      </c>
      <c r="G1154" s="3800">
        <v>4800000</v>
      </c>
      <c r="H1154" s="3800" t="s">
        <v>1879</v>
      </c>
      <c r="I1154" s="3800" t="s">
        <v>5583</v>
      </c>
      <c r="J1154" s="3800">
        <f>G1154</f>
        <v>4800000</v>
      </c>
      <c r="K1154" s="3778">
        <f>F1154-J1154</f>
        <v>0</v>
      </c>
      <c r="L1154" s="3812"/>
      <c r="M1154" s="3825"/>
      <c r="N1154" s="3825"/>
      <c r="O1154" s="3825"/>
      <c r="P1154" s="386"/>
      <c r="Q1154" s="386"/>
    </row>
    <row r="1155" spans="1:17" s="1660" customFormat="1" ht="30" customHeight="1" x14ac:dyDescent="0.2">
      <c r="A1155" s="4599"/>
      <c r="B1155" s="4457" t="s">
        <v>5638</v>
      </c>
      <c r="C1155" s="4537"/>
      <c r="D1155" s="4413">
        <v>50000000</v>
      </c>
      <c r="E1155" s="4476"/>
      <c r="F1155" s="4413"/>
      <c r="G1155" s="4793" t="s">
        <v>5765</v>
      </c>
      <c r="H1155" s="4794"/>
      <c r="I1155" s="4794"/>
      <c r="J1155" s="4795"/>
      <c r="K1155" s="3881"/>
      <c r="L1155" s="3889" t="s">
        <v>5639</v>
      </c>
      <c r="M1155" s="3890"/>
      <c r="N1155" s="3890"/>
      <c r="O1155" s="3890"/>
      <c r="P1155" s="386"/>
      <c r="Q1155" s="386"/>
    </row>
    <row r="1156" spans="1:17" s="1660" customFormat="1" ht="30" customHeight="1" x14ac:dyDescent="0.2">
      <c r="A1156" s="4607"/>
      <c r="B1156" s="4458"/>
      <c r="C1156" s="4538"/>
      <c r="D1156" s="4415"/>
      <c r="E1156" s="4477"/>
      <c r="F1156" s="4415"/>
      <c r="G1156" s="4799"/>
      <c r="H1156" s="4800"/>
      <c r="I1156" s="4800"/>
      <c r="J1156" s="4801"/>
      <c r="K1156" s="3881"/>
      <c r="L1156" s="3889" t="s">
        <v>5640</v>
      </c>
      <c r="M1156" s="3890"/>
      <c r="N1156" s="3890"/>
      <c r="O1156" s="3890"/>
      <c r="P1156" s="386"/>
      <c r="Q1156" s="386"/>
    </row>
    <row r="1157" spans="1:17" s="1660" customFormat="1" ht="30" customHeight="1" x14ac:dyDescent="0.2">
      <c r="A1157" s="3906"/>
      <c r="B1157" s="1340" t="s">
        <v>64</v>
      </c>
      <c r="C1157" s="3908"/>
      <c r="D1157" s="3898">
        <v>20000000</v>
      </c>
      <c r="E1157" s="3902">
        <v>0.05</v>
      </c>
      <c r="F1157" s="3898">
        <f>D1157*E1157</f>
        <v>1000000</v>
      </c>
      <c r="G1157" s="4469" t="s">
        <v>5751</v>
      </c>
      <c r="H1157" s="4470"/>
      <c r="I1157" s="4470"/>
      <c r="J1157" s="4471"/>
      <c r="K1157" s="3898"/>
      <c r="L1157" s="3912" t="s">
        <v>5649</v>
      </c>
      <c r="M1157" s="3917"/>
      <c r="N1157" s="3917"/>
      <c r="O1157" s="3917"/>
      <c r="P1157" s="386"/>
      <c r="Q1157" s="386"/>
    </row>
    <row r="1158" spans="1:17" s="1660" customFormat="1" ht="30" customHeight="1" x14ac:dyDescent="0.2">
      <c r="A1158" s="3906"/>
      <c r="B1158" s="1340" t="s">
        <v>5647</v>
      </c>
      <c r="C1158" s="3908" t="s">
        <v>3390</v>
      </c>
      <c r="D1158" s="3898">
        <v>8000000</v>
      </c>
      <c r="E1158" s="3902">
        <v>0.05</v>
      </c>
      <c r="F1158" s="3898">
        <f>D1158*E1158</f>
        <v>400000</v>
      </c>
      <c r="G1158" s="4469" t="s">
        <v>5750</v>
      </c>
      <c r="H1158" s="4470"/>
      <c r="I1158" s="4470"/>
      <c r="J1158" s="4471"/>
      <c r="K1158" s="3898"/>
      <c r="L1158" s="4680" t="s">
        <v>5677</v>
      </c>
      <c r="M1158" s="3917"/>
      <c r="N1158" s="3917"/>
      <c r="O1158" s="3917"/>
      <c r="P1158" s="386"/>
      <c r="Q1158" s="386"/>
    </row>
    <row r="1159" spans="1:17" s="1660" customFormat="1" ht="30" customHeight="1" x14ac:dyDescent="0.2">
      <c r="A1159" s="3906"/>
      <c r="B1159" s="1340" t="s">
        <v>5648</v>
      </c>
      <c r="C1159" s="3908"/>
      <c r="D1159" s="3898">
        <v>12000000</v>
      </c>
      <c r="E1159" s="3902">
        <v>0.05</v>
      </c>
      <c r="F1159" s="3898">
        <f>D1159*E1159</f>
        <v>600000</v>
      </c>
      <c r="G1159" s="4469" t="s">
        <v>5752</v>
      </c>
      <c r="H1159" s="4470"/>
      <c r="I1159" s="4470"/>
      <c r="J1159" s="4471"/>
      <c r="K1159" s="3898"/>
      <c r="L1159" s="4681"/>
      <c r="M1159" s="3917"/>
      <c r="N1159" s="3917"/>
      <c r="O1159" s="3917"/>
      <c r="P1159" s="386"/>
      <c r="Q1159" s="386"/>
    </row>
    <row r="1160" spans="1:17" s="1660" customFormat="1" ht="30" customHeight="1" x14ac:dyDescent="0.2">
      <c r="A1160" s="3887"/>
      <c r="B1160" s="1340" t="s">
        <v>5669</v>
      </c>
      <c r="C1160" s="3886"/>
      <c r="D1160" s="3881"/>
      <c r="E1160" s="3883"/>
      <c r="F1160" s="3881"/>
      <c r="G1160" s="3881"/>
      <c r="H1160" s="3881"/>
      <c r="I1160" s="3888"/>
      <c r="J1160" s="3881"/>
      <c r="K1160" s="3881"/>
      <c r="L1160" s="3889" t="s">
        <v>5670</v>
      </c>
      <c r="M1160" s="3890"/>
      <c r="N1160" s="3890"/>
      <c r="O1160" s="3890"/>
      <c r="P1160" s="386"/>
      <c r="Q1160" s="386"/>
    </row>
    <row r="1161" spans="1:17" s="1660" customFormat="1" ht="30" customHeight="1" x14ac:dyDescent="0.2">
      <c r="A1161" s="3944"/>
      <c r="B1161" s="1340" t="s">
        <v>5693</v>
      </c>
      <c r="C1161" s="3945"/>
      <c r="D1161" s="3939">
        <v>20000000</v>
      </c>
      <c r="E1161" s="3940">
        <v>0.05</v>
      </c>
      <c r="F1161" s="3939">
        <f t="shared" ref="F1161:F1167" si="111">D1161*E1161</f>
        <v>1000000</v>
      </c>
      <c r="G1161" s="4469" t="s">
        <v>5694</v>
      </c>
      <c r="H1161" s="4470"/>
      <c r="I1161" s="4470"/>
      <c r="J1161" s="4470"/>
      <c r="K1161" s="4471"/>
      <c r="L1161" s="3947" t="s">
        <v>5695</v>
      </c>
      <c r="M1161" s="3949"/>
      <c r="N1161" s="3949"/>
      <c r="O1161" s="3949"/>
      <c r="P1161" s="386"/>
      <c r="Q1161" s="386"/>
    </row>
    <row r="1162" spans="1:17" s="1660" customFormat="1" ht="30" customHeight="1" x14ac:dyDescent="0.2">
      <c r="A1162" s="3944"/>
      <c r="B1162" s="1340" t="s">
        <v>5747</v>
      </c>
      <c r="C1162" s="3945" t="s">
        <v>3007</v>
      </c>
      <c r="D1162" s="3939">
        <v>200000000</v>
      </c>
      <c r="E1162" s="3940">
        <v>6.5000000000000002E-2</v>
      </c>
      <c r="F1162" s="3939">
        <f t="shared" si="111"/>
        <v>13000000</v>
      </c>
      <c r="G1162" s="4469" t="s">
        <v>5737</v>
      </c>
      <c r="H1162" s="4470"/>
      <c r="I1162" s="4470"/>
      <c r="J1162" s="4471"/>
      <c r="K1162" s="3939"/>
      <c r="L1162" s="3947" t="s">
        <v>5696</v>
      </c>
      <c r="M1162" s="3949"/>
      <c r="N1162" s="3949"/>
      <c r="O1162" s="3949"/>
      <c r="P1162" s="386"/>
      <c r="Q1162" s="386"/>
    </row>
    <row r="1163" spans="1:17" s="1660" customFormat="1" ht="30" customHeight="1" x14ac:dyDescent="0.2">
      <c r="A1163" s="3982"/>
      <c r="B1163" s="1340" t="s">
        <v>5746</v>
      </c>
      <c r="C1163" s="3983"/>
      <c r="D1163" s="3974">
        <v>350000000</v>
      </c>
      <c r="E1163" s="3975">
        <v>6.5000000000000002E-2</v>
      </c>
      <c r="F1163" s="3974">
        <f t="shared" si="111"/>
        <v>22750000</v>
      </c>
      <c r="G1163" s="4469" t="s">
        <v>5748</v>
      </c>
      <c r="H1163" s="4470"/>
      <c r="I1163" s="4470"/>
      <c r="J1163" s="4471"/>
      <c r="K1163" s="3974"/>
      <c r="L1163" s="4161" t="s">
        <v>5959</v>
      </c>
      <c r="M1163" s="3990"/>
      <c r="N1163" s="3990"/>
      <c r="O1163" s="3990"/>
      <c r="P1163" s="386"/>
      <c r="Q1163" s="386"/>
    </row>
    <row r="1164" spans="1:17" s="1660" customFormat="1" ht="30" customHeight="1" x14ac:dyDescent="0.2">
      <c r="A1164" s="3944"/>
      <c r="B1164" s="1340" t="s">
        <v>5697</v>
      </c>
      <c r="C1164" s="3945"/>
      <c r="D1164" s="3939">
        <v>4000000</v>
      </c>
      <c r="E1164" s="3940">
        <v>7.0000000000000007E-2</v>
      </c>
      <c r="F1164" s="3939">
        <f t="shared" si="111"/>
        <v>280000</v>
      </c>
      <c r="G1164" s="3939"/>
      <c r="H1164" s="3939"/>
      <c r="I1164" s="3943"/>
      <c r="J1164" s="3939"/>
      <c r="K1164" s="3939"/>
      <c r="L1164" s="3967" t="s">
        <v>5698</v>
      </c>
      <c r="M1164" s="3949"/>
      <c r="N1164" s="3949"/>
      <c r="O1164" s="3949"/>
      <c r="P1164" s="386"/>
      <c r="Q1164" s="386"/>
    </row>
    <row r="1165" spans="1:17" s="1660" customFormat="1" ht="30" customHeight="1" x14ac:dyDescent="0.2">
      <c r="A1165" s="3961"/>
      <c r="B1165" s="1340" t="s">
        <v>5699</v>
      </c>
      <c r="C1165" s="3960"/>
      <c r="D1165" s="3954">
        <v>1000000000</v>
      </c>
      <c r="E1165" s="3957">
        <v>7.0000000000000007E-2</v>
      </c>
      <c r="F1165" s="3954">
        <f t="shared" si="111"/>
        <v>70000000</v>
      </c>
      <c r="G1165" s="3954"/>
      <c r="H1165" s="3954"/>
      <c r="I1165" s="3962"/>
      <c r="J1165" s="3954"/>
      <c r="K1165" s="3954"/>
      <c r="L1165" s="3967"/>
      <c r="M1165" s="3969"/>
      <c r="N1165" s="3969"/>
      <c r="O1165" s="3969"/>
      <c r="P1165" s="386"/>
      <c r="Q1165" s="386"/>
    </row>
    <row r="1166" spans="1:17" s="1660" customFormat="1" ht="30" customHeight="1" x14ac:dyDescent="0.2">
      <c r="A1166" s="3961"/>
      <c r="B1166" s="1340" t="s">
        <v>5700</v>
      </c>
      <c r="C1166" s="3960" t="s">
        <v>1287</v>
      </c>
      <c r="D1166" s="3954">
        <v>60000000</v>
      </c>
      <c r="E1166" s="3957">
        <v>0.05</v>
      </c>
      <c r="F1166" s="3954">
        <f t="shared" si="111"/>
        <v>3000000</v>
      </c>
      <c r="G1166" s="4469" t="s">
        <v>5895</v>
      </c>
      <c r="H1166" s="4470"/>
      <c r="I1166" s="4470"/>
      <c r="J1166" s="4471"/>
      <c r="K1166" s="3954"/>
      <c r="L1166" s="3967" t="s">
        <v>5701</v>
      </c>
      <c r="M1166" s="3969"/>
      <c r="N1166" s="3969"/>
      <c r="O1166" s="3969"/>
      <c r="P1166" s="386"/>
      <c r="Q1166" s="386"/>
    </row>
    <row r="1167" spans="1:17" s="1660" customFormat="1" ht="30" customHeight="1" x14ac:dyDescent="0.2">
      <c r="A1167" s="3961"/>
      <c r="B1167" s="1340" t="s">
        <v>5858</v>
      </c>
      <c r="C1167" s="3983"/>
      <c r="D1167" s="3974">
        <v>350000000</v>
      </c>
      <c r="E1167" s="3975">
        <v>0.05</v>
      </c>
      <c r="F1167" s="3974">
        <f t="shared" si="111"/>
        <v>17500000</v>
      </c>
      <c r="G1167" s="3974"/>
      <c r="H1167" s="3974"/>
      <c r="I1167" s="3980"/>
      <c r="J1167" s="3974"/>
      <c r="K1167" s="3974"/>
      <c r="L1167" s="3967" t="s">
        <v>5886</v>
      </c>
      <c r="M1167" s="3969"/>
      <c r="N1167" s="3969"/>
      <c r="O1167" s="3969"/>
      <c r="P1167" s="386"/>
      <c r="Q1167" s="386"/>
    </row>
    <row r="1168" spans="1:17" s="1660" customFormat="1" ht="30" customHeight="1" x14ac:dyDescent="0.2">
      <c r="A1168" s="3982"/>
      <c r="B1168" s="1340" t="s">
        <v>5724</v>
      </c>
      <c r="C1168" s="3983" t="s">
        <v>1299</v>
      </c>
      <c r="D1168" s="3974">
        <v>100000000</v>
      </c>
      <c r="E1168" s="3975"/>
      <c r="F1168" s="3974"/>
      <c r="G1168" s="4469" t="s">
        <v>5726</v>
      </c>
      <c r="H1168" s="4470"/>
      <c r="I1168" s="4470"/>
      <c r="J1168" s="4471"/>
      <c r="K1168" s="3974"/>
      <c r="L1168" s="3986" t="s">
        <v>5725</v>
      </c>
      <c r="M1168" s="3990"/>
      <c r="N1168" s="3990"/>
      <c r="O1168" s="3990"/>
      <c r="P1168" s="386"/>
      <c r="Q1168" s="386"/>
    </row>
    <row r="1169" spans="1:17" s="1660" customFormat="1" ht="30" customHeight="1" x14ac:dyDescent="0.2">
      <c r="A1169" s="3982"/>
      <c r="B1169" s="1340" t="s">
        <v>5741</v>
      </c>
      <c r="C1169" s="3983"/>
      <c r="D1169" s="3974">
        <v>80000000</v>
      </c>
      <c r="E1169" s="3975">
        <v>7.0000000000000007E-2</v>
      </c>
      <c r="F1169" s="3974">
        <f t="shared" ref="F1169:F1175" si="112">D1169*E1169</f>
        <v>5600000.0000000009</v>
      </c>
      <c r="G1169" s="4469" t="s">
        <v>5749</v>
      </c>
      <c r="H1169" s="4470"/>
      <c r="I1169" s="4470"/>
      <c r="J1169" s="4471"/>
      <c r="K1169" s="3974"/>
      <c r="L1169" s="3986" t="s">
        <v>5740</v>
      </c>
      <c r="M1169" s="3990"/>
      <c r="N1169" s="3990"/>
      <c r="O1169" s="3990"/>
      <c r="P1169" s="386"/>
      <c r="Q1169" s="386"/>
    </row>
    <row r="1170" spans="1:17" s="1660" customFormat="1" ht="30" customHeight="1" x14ac:dyDescent="0.2">
      <c r="A1170" s="3982"/>
      <c r="B1170" s="1340" t="s">
        <v>5753</v>
      </c>
      <c r="C1170" s="3983"/>
      <c r="D1170" s="3974">
        <v>50000000</v>
      </c>
      <c r="E1170" s="3975">
        <v>0.05</v>
      </c>
      <c r="F1170" s="3974">
        <f t="shared" si="112"/>
        <v>2500000</v>
      </c>
      <c r="G1170" s="3974"/>
      <c r="H1170" s="3974"/>
      <c r="I1170" s="3980"/>
      <c r="J1170" s="3974"/>
      <c r="K1170" s="3974"/>
      <c r="L1170" s="3986" t="s">
        <v>5754</v>
      </c>
      <c r="M1170" s="3990"/>
      <c r="N1170" s="3990"/>
      <c r="O1170" s="3990"/>
      <c r="P1170" s="386"/>
      <c r="Q1170" s="386"/>
    </row>
    <row r="1171" spans="1:17" s="1660" customFormat="1" ht="30" customHeight="1" x14ac:dyDescent="0.2">
      <c r="A1171" s="4599"/>
      <c r="B1171" s="4457" t="s">
        <v>5771</v>
      </c>
      <c r="C1171" s="4537"/>
      <c r="D1171" s="4413">
        <v>150000000</v>
      </c>
      <c r="E1171" s="4476">
        <v>0.05</v>
      </c>
      <c r="F1171" s="4413">
        <f t="shared" si="112"/>
        <v>7500000</v>
      </c>
      <c r="G1171" s="4469" t="s">
        <v>5883</v>
      </c>
      <c r="H1171" s="4470"/>
      <c r="I1171" s="4470"/>
      <c r="J1171" s="4471"/>
      <c r="K1171" s="3999"/>
      <c r="L1171" s="4680" t="s">
        <v>5772</v>
      </c>
      <c r="M1171" s="4023"/>
      <c r="N1171" s="4023"/>
      <c r="O1171" s="4023"/>
      <c r="P1171" s="386"/>
      <c r="Q1171" s="386"/>
    </row>
    <row r="1172" spans="1:17" s="1660" customFormat="1" ht="30" customHeight="1" x14ac:dyDescent="0.2">
      <c r="A1172" s="4607"/>
      <c r="B1172" s="4458"/>
      <c r="C1172" s="4538"/>
      <c r="D1172" s="4415"/>
      <c r="E1172" s="4477"/>
      <c r="F1172" s="4415"/>
      <c r="G1172" s="4469" t="s">
        <v>5884</v>
      </c>
      <c r="H1172" s="4470"/>
      <c r="I1172" s="4470"/>
      <c r="J1172" s="4471"/>
      <c r="K1172" s="4056"/>
      <c r="L1172" s="4681"/>
      <c r="M1172" s="4067"/>
      <c r="N1172" s="4067"/>
      <c r="O1172" s="4067"/>
      <c r="P1172" s="386"/>
      <c r="Q1172" s="386"/>
    </row>
    <row r="1173" spans="1:17" s="1660" customFormat="1" ht="30" customHeight="1" x14ac:dyDescent="0.2">
      <c r="A1173" s="4013"/>
      <c r="B1173" s="1340" t="s">
        <v>5780</v>
      </c>
      <c r="C1173" s="4012" t="s">
        <v>1306</v>
      </c>
      <c r="D1173" s="3999">
        <v>150000000</v>
      </c>
      <c r="E1173" s="4004">
        <v>0.06</v>
      </c>
      <c r="F1173" s="3999">
        <f t="shared" si="112"/>
        <v>9000000</v>
      </c>
      <c r="G1173" s="3999"/>
      <c r="H1173" s="3999"/>
      <c r="I1173" s="4014"/>
      <c r="J1173" s="3999"/>
      <c r="K1173" s="3999"/>
      <c r="L1173" s="4021" t="s">
        <v>5819</v>
      </c>
      <c r="M1173" s="4023"/>
      <c r="N1173" s="4023"/>
      <c r="O1173" s="4023"/>
      <c r="P1173" s="386"/>
      <c r="Q1173" s="386"/>
    </row>
    <row r="1174" spans="1:17" s="1660" customFormat="1" ht="30" customHeight="1" x14ac:dyDescent="0.2">
      <c r="A1174" s="4013"/>
      <c r="B1174" s="1340" t="s">
        <v>5781</v>
      </c>
      <c r="C1174" s="4012"/>
      <c r="D1174" s="3999">
        <v>20000000</v>
      </c>
      <c r="E1174" s="4004">
        <v>0.05</v>
      </c>
      <c r="F1174" s="3999">
        <f t="shared" si="112"/>
        <v>1000000</v>
      </c>
      <c r="G1174" s="4469" t="s">
        <v>5801</v>
      </c>
      <c r="H1174" s="4470"/>
      <c r="I1174" s="4470"/>
      <c r="J1174" s="4471"/>
      <c r="K1174" s="3999"/>
      <c r="L1174" s="4021" t="s">
        <v>5695</v>
      </c>
      <c r="M1174" s="4023"/>
      <c r="N1174" s="4023"/>
      <c r="O1174" s="4023"/>
      <c r="P1174" s="386"/>
      <c r="Q1174" s="386"/>
    </row>
    <row r="1175" spans="1:17" s="1660" customFormat="1" ht="30" customHeight="1" x14ac:dyDescent="0.2">
      <c r="A1175" s="4013"/>
      <c r="B1175" s="1340" t="s">
        <v>5814</v>
      </c>
      <c r="C1175" s="4012"/>
      <c r="D1175" s="3999">
        <v>50000000</v>
      </c>
      <c r="E1175" s="4004">
        <v>0.05</v>
      </c>
      <c r="F1175" s="3999">
        <f t="shared" si="112"/>
        <v>2500000</v>
      </c>
      <c r="G1175" s="4469" t="s">
        <v>5885</v>
      </c>
      <c r="H1175" s="4470"/>
      <c r="I1175" s="4470"/>
      <c r="J1175" s="4471"/>
      <c r="K1175" s="3999"/>
      <c r="L1175" s="4021" t="s">
        <v>5815</v>
      </c>
      <c r="M1175" s="4023"/>
      <c r="N1175" s="4023"/>
      <c r="O1175" s="4023"/>
      <c r="P1175" s="386"/>
      <c r="Q1175" s="386"/>
    </row>
    <row r="1176" spans="1:17" s="1660" customFormat="1" ht="30" customHeight="1" x14ac:dyDescent="0.2">
      <c r="A1176" s="4013"/>
      <c r="B1176" s="1340" t="s">
        <v>5935</v>
      </c>
      <c r="C1176" s="4012" t="s">
        <v>262</v>
      </c>
      <c r="D1176" s="3999">
        <v>100000000</v>
      </c>
      <c r="E1176" s="4004"/>
      <c r="F1176" s="3999"/>
      <c r="G1176" s="3999"/>
      <c r="H1176" s="3999"/>
      <c r="I1176" s="4014"/>
      <c r="J1176" s="3999"/>
      <c r="K1176" s="3999"/>
      <c r="L1176" s="4021" t="s">
        <v>5936</v>
      </c>
      <c r="M1176" s="4023"/>
      <c r="N1176" s="4023"/>
      <c r="O1176" s="4023"/>
      <c r="P1176" s="386"/>
      <c r="Q1176" s="386"/>
    </row>
    <row r="1177" spans="1:17" s="1660" customFormat="1" ht="30" customHeight="1" x14ac:dyDescent="0.2">
      <c r="A1177" s="4175"/>
      <c r="B1177" s="1340" t="s">
        <v>5982</v>
      </c>
      <c r="C1177" s="4176"/>
      <c r="D1177" s="4169">
        <v>100000000</v>
      </c>
      <c r="E1177" s="4170">
        <v>0.06</v>
      </c>
      <c r="F1177" s="4169">
        <f>D1177*E1177</f>
        <v>6000000</v>
      </c>
      <c r="G1177" s="4469" t="s">
        <v>6040</v>
      </c>
      <c r="H1177" s="4470"/>
      <c r="I1177" s="4470"/>
      <c r="J1177" s="4471"/>
      <c r="K1177" s="4169"/>
      <c r="L1177" s="4180" t="s">
        <v>5983</v>
      </c>
      <c r="M1177" s="4184"/>
      <c r="N1177" s="4184"/>
      <c r="O1177" s="4184"/>
      <c r="P1177" s="386"/>
      <c r="Q1177" s="386"/>
    </row>
    <row r="1178" spans="1:17" s="1660" customFormat="1" ht="30" customHeight="1" x14ac:dyDescent="0.2">
      <c r="A1178" s="4599"/>
      <c r="B1178" s="4457" t="s">
        <v>5987</v>
      </c>
      <c r="C1178" s="4537"/>
      <c r="D1178" s="4413">
        <v>270000000</v>
      </c>
      <c r="E1178" s="4476">
        <v>0.06</v>
      </c>
      <c r="F1178" s="4413">
        <f>D1178*E1178</f>
        <v>16200000</v>
      </c>
      <c r="G1178" s="4169"/>
      <c r="H1178" s="4169"/>
      <c r="I1178" s="4173"/>
      <c r="J1178" s="4169"/>
      <c r="K1178" s="4169"/>
      <c r="L1178" s="4180" t="s">
        <v>5988</v>
      </c>
      <c r="M1178" s="4184"/>
      <c r="N1178" s="4184"/>
      <c r="O1178" s="4184"/>
      <c r="P1178" s="386"/>
      <c r="Q1178" s="386"/>
    </row>
    <row r="1179" spans="1:17" s="1660" customFormat="1" ht="30" customHeight="1" x14ac:dyDescent="0.2">
      <c r="A1179" s="4600"/>
      <c r="B1179" s="4488"/>
      <c r="C1179" s="4540"/>
      <c r="D1179" s="4414"/>
      <c r="E1179" s="4516"/>
      <c r="F1179" s="4414"/>
      <c r="G1179" s="4169"/>
      <c r="H1179" s="4169"/>
      <c r="I1179" s="4173"/>
      <c r="J1179" s="4169"/>
      <c r="K1179" s="4169"/>
      <c r="L1179" s="4180" t="s">
        <v>5989</v>
      </c>
      <c r="M1179" s="4184"/>
      <c r="N1179" s="4184"/>
      <c r="O1179" s="4184"/>
      <c r="P1179" s="386"/>
      <c r="Q1179" s="386"/>
    </row>
    <row r="1180" spans="1:17" s="1660" customFormat="1" ht="30" customHeight="1" x14ac:dyDescent="0.2">
      <c r="A1180" s="4607"/>
      <c r="B1180" s="4458"/>
      <c r="C1180" s="4538"/>
      <c r="D1180" s="4415"/>
      <c r="E1180" s="4477"/>
      <c r="F1180" s="4415"/>
      <c r="G1180" s="4169"/>
      <c r="H1180" s="4169"/>
      <c r="I1180" s="4173"/>
      <c r="J1180" s="4169"/>
      <c r="K1180" s="4169"/>
      <c r="L1180" s="4180" t="s">
        <v>5990</v>
      </c>
      <c r="M1180" s="4184"/>
      <c r="N1180" s="4184"/>
      <c r="O1180" s="4184"/>
      <c r="P1180" s="386"/>
      <c r="Q1180" s="386"/>
    </row>
    <row r="1181" spans="1:17" s="1660" customFormat="1" ht="30" customHeight="1" x14ac:dyDescent="0.2">
      <c r="A1181" s="4175"/>
      <c r="B1181" s="1340" t="s">
        <v>5992</v>
      </c>
      <c r="C1181" s="4176" t="s">
        <v>942</v>
      </c>
      <c r="D1181" s="4169">
        <v>490000000</v>
      </c>
      <c r="E1181" s="4170">
        <v>0.06</v>
      </c>
      <c r="F1181" s="4169">
        <f>D1181*E1181</f>
        <v>29400000</v>
      </c>
      <c r="G1181" s="4469" t="s">
        <v>6025</v>
      </c>
      <c r="H1181" s="4470"/>
      <c r="I1181" s="4470"/>
      <c r="J1181" s="4470"/>
      <c r="K1181" s="4471"/>
      <c r="L1181" s="4180" t="s">
        <v>5993</v>
      </c>
      <c r="M1181" s="4184"/>
      <c r="N1181" s="4184"/>
      <c r="O1181" s="4184"/>
      <c r="P1181" s="386"/>
      <c r="Q1181" s="386"/>
    </row>
    <row r="1182" spans="1:17" s="1660" customFormat="1" ht="30" customHeight="1" x14ac:dyDescent="0.2">
      <c r="A1182" s="4175"/>
      <c r="B1182" s="1340" t="s">
        <v>5997</v>
      </c>
      <c r="C1182" s="4176"/>
      <c r="D1182" s="4169">
        <v>40000000</v>
      </c>
      <c r="E1182" s="4170">
        <v>0.05</v>
      </c>
      <c r="F1182" s="4169">
        <f>D1182*E1182</f>
        <v>2000000</v>
      </c>
      <c r="G1182" s="4469" t="s">
        <v>5999</v>
      </c>
      <c r="H1182" s="4470"/>
      <c r="I1182" s="4470"/>
      <c r="J1182" s="4471"/>
      <c r="K1182" s="4169"/>
      <c r="L1182" s="4180" t="s">
        <v>5998</v>
      </c>
      <c r="M1182" s="4184"/>
      <c r="N1182" s="4184"/>
      <c r="O1182" s="4184"/>
      <c r="P1182" s="386"/>
      <c r="Q1182" s="386"/>
    </row>
    <row r="1183" spans="1:17" s="1660" customFormat="1" ht="30" customHeight="1" x14ac:dyDescent="0.2">
      <c r="A1183" s="4175"/>
      <c r="B1183" s="1340" t="s">
        <v>6029</v>
      </c>
      <c r="C1183" s="4176" t="s">
        <v>3323</v>
      </c>
      <c r="D1183" s="4169">
        <v>1900000000</v>
      </c>
      <c r="E1183" s="4170">
        <v>7.0000000000000007E-2</v>
      </c>
      <c r="F1183" s="4169">
        <f>D1183*E1183</f>
        <v>133000000.00000001</v>
      </c>
      <c r="G1183" s="4469" t="s">
        <v>6030</v>
      </c>
      <c r="H1183" s="4470"/>
      <c r="I1183" s="4470"/>
      <c r="J1183" s="4470"/>
      <c r="K1183" s="4471"/>
      <c r="L1183" s="4180" t="s">
        <v>6031</v>
      </c>
      <c r="M1183" s="4184"/>
      <c r="N1183" s="4184"/>
      <c r="O1183" s="4184"/>
      <c r="P1183" s="386"/>
      <c r="Q1183" s="386"/>
    </row>
    <row r="1184" spans="1:17" s="1660" customFormat="1" ht="30" customHeight="1" x14ac:dyDescent="0.2">
      <c r="A1184" s="4175"/>
      <c r="B1184" s="1340" t="s">
        <v>6043</v>
      </c>
      <c r="C1184" s="4176"/>
      <c r="D1184" s="4169">
        <v>120000000</v>
      </c>
      <c r="E1184" s="4170"/>
      <c r="F1184" s="4169"/>
      <c r="G1184" s="4469" t="s">
        <v>6045</v>
      </c>
      <c r="H1184" s="4470"/>
      <c r="I1184" s="4470"/>
      <c r="J1184" s="4471"/>
      <c r="K1184" s="4169"/>
      <c r="L1184" s="4249" t="s">
        <v>6044</v>
      </c>
      <c r="M1184" s="4184"/>
      <c r="N1184" s="4184"/>
      <c r="O1184" s="4184"/>
      <c r="P1184" s="386"/>
      <c r="Q1184" s="386"/>
    </row>
    <row r="1185" spans="1:17" s="1660" customFormat="1" ht="30" customHeight="1" x14ac:dyDescent="0.2">
      <c r="A1185" s="4175"/>
      <c r="B1185" s="1340" t="s">
        <v>6047</v>
      </c>
      <c r="C1185" s="4176" t="s">
        <v>942</v>
      </c>
      <c r="D1185" s="4169">
        <v>80000000</v>
      </c>
      <c r="E1185" s="4170">
        <v>0.05</v>
      </c>
      <c r="F1185" s="4169">
        <f>D1185*E1185</f>
        <v>4000000</v>
      </c>
      <c r="G1185" s="4469" t="s">
        <v>6049</v>
      </c>
      <c r="H1185" s="4470"/>
      <c r="I1185" s="4470"/>
      <c r="J1185" s="4470"/>
      <c r="K1185" s="4471"/>
      <c r="L1185" s="4249" t="s">
        <v>6048</v>
      </c>
      <c r="M1185" s="4184"/>
      <c r="N1185" s="4184"/>
      <c r="O1185" s="4184"/>
      <c r="P1185" s="386"/>
      <c r="Q1185" s="386"/>
    </row>
    <row r="1186" spans="1:17" s="1660" customFormat="1" ht="30" customHeight="1" x14ac:dyDescent="0.2">
      <c r="A1186" s="3722"/>
      <c r="B1186" s="1340" t="s">
        <v>6065</v>
      </c>
      <c r="C1186" s="3711"/>
      <c r="D1186" s="3699">
        <v>200000000</v>
      </c>
      <c r="E1186" s="3704">
        <v>0.06</v>
      </c>
      <c r="F1186" s="3699">
        <f>D1186*E1186</f>
        <v>12000000</v>
      </c>
      <c r="G1186" s="4469" t="s">
        <v>6067</v>
      </c>
      <c r="H1186" s="4470"/>
      <c r="I1186" s="4470"/>
      <c r="J1186" s="4471"/>
      <c r="K1186" s="3699"/>
      <c r="L1186" s="4249" t="s">
        <v>6066</v>
      </c>
      <c r="M1186" s="3723"/>
      <c r="N1186" s="3723"/>
      <c r="O1186" s="3723"/>
      <c r="P1186" s="386"/>
      <c r="Q1186" s="386"/>
    </row>
    <row r="1187" spans="1:17" s="1660" customFormat="1" ht="30" customHeight="1" x14ac:dyDescent="0.2">
      <c r="A1187" s="4250"/>
      <c r="B1187" s="4244" t="s">
        <v>4769</v>
      </c>
      <c r="C1187" s="4245" t="s">
        <v>989</v>
      </c>
      <c r="D1187" s="4217">
        <v>4200000</v>
      </c>
      <c r="E1187" s="4228">
        <v>0.05</v>
      </c>
      <c r="F1187" s="4220">
        <f>D1187*E1187</f>
        <v>210000</v>
      </c>
      <c r="G1187" s="4220"/>
      <c r="H1187" s="4220"/>
      <c r="I1187" s="4238"/>
      <c r="J1187" s="4220"/>
      <c r="K1187" s="4220"/>
      <c r="L1187" s="4249"/>
      <c r="M1187" s="4253"/>
      <c r="N1187" s="4253"/>
      <c r="O1187" s="4253"/>
      <c r="P1187" s="386"/>
      <c r="Q1187" s="386"/>
    </row>
    <row r="1188" spans="1:17" s="1660" customFormat="1" ht="30" customHeight="1" x14ac:dyDescent="0.2">
      <c r="A1188" s="4250"/>
      <c r="B1188" s="4250"/>
      <c r="C1188" s="4245"/>
      <c r="D1188" s="4217"/>
      <c r="E1188" s="4241"/>
      <c r="F1188" s="4217"/>
      <c r="G1188" s="4217"/>
      <c r="H1188" s="4217"/>
      <c r="I1188" s="4217"/>
      <c r="J1188" s="4217"/>
      <c r="K1188" s="4217"/>
      <c r="L1188" s="4254"/>
      <c r="M1188" s="4253"/>
      <c r="N1188" s="4253"/>
      <c r="O1188" s="4253"/>
      <c r="P1188" s="386"/>
      <c r="Q1188" s="386"/>
    </row>
    <row r="1189" spans="1:17" s="1660" customFormat="1" ht="30" customHeight="1" x14ac:dyDescent="0.2">
      <c r="A1189" s="4250"/>
      <c r="B1189" s="4250"/>
      <c r="C1189" s="4245"/>
      <c r="D1189" s="4217"/>
      <c r="E1189" s="4241"/>
      <c r="F1189" s="4217"/>
      <c r="G1189" s="4217"/>
      <c r="H1189" s="4217"/>
      <c r="I1189" s="4217"/>
      <c r="J1189" s="4217"/>
      <c r="K1189" s="4217"/>
      <c r="L1189" s="4254"/>
      <c r="M1189" s="4253"/>
      <c r="N1189" s="4253"/>
      <c r="O1189" s="4253"/>
      <c r="P1189" s="386"/>
      <c r="Q1189" s="386"/>
    </row>
    <row r="1190" spans="1:17" s="1660" customFormat="1" ht="30" customHeight="1" x14ac:dyDescent="0.2">
      <c r="A1190" s="4250"/>
      <c r="B1190" s="4250"/>
      <c r="C1190" s="4245"/>
      <c r="D1190" s="4217"/>
      <c r="E1190" s="4241"/>
      <c r="F1190" s="4217"/>
      <c r="G1190" s="4217"/>
      <c r="H1190" s="4217"/>
      <c r="I1190" s="4217"/>
      <c r="J1190" s="4217"/>
      <c r="K1190" s="4217"/>
      <c r="L1190" s="4254"/>
      <c r="M1190" s="4253"/>
      <c r="N1190" s="4253"/>
      <c r="O1190" s="4253"/>
      <c r="P1190" s="386"/>
      <c r="Q1190" s="386"/>
    </row>
    <row r="1191" spans="1:17" ht="30" customHeight="1" x14ac:dyDescent="0.2">
      <c r="A1191" s="4876" t="s">
        <v>5341</v>
      </c>
      <c r="B1191" s="4877"/>
      <c r="C1191" s="1032"/>
      <c r="D1191" s="3596"/>
      <c r="E1191" s="3499"/>
      <c r="F1191" s="3493"/>
      <c r="G1191" s="3493"/>
      <c r="H1191" s="3493"/>
      <c r="I1191" s="3594"/>
      <c r="J1191" s="3493"/>
      <c r="K1191" s="3493"/>
      <c r="L1191" s="3502"/>
    </row>
  </sheetData>
  <mergeCells count="1890">
    <mergeCell ref="D920:D925"/>
    <mergeCell ref="E920:E925"/>
    <mergeCell ref="F920:F925"/>
    <mergeCell ref="G920:J920"/>
    <mergeCell ref="G921:J921"/>
    <mergeCell ref="G922:J922"/>
    <mergeCell ref="G923:J923"/>
    <mergeCell ref="G924:J924"/>
    <mergeCell ref="G925:J925"/>
    <mergeCell ref="D554:D556"/>
    <mergeCell ref="E554:E556"/>
    <mergeCell ref="F554:F556"/>
    <mergeCell ref="G554:J554"/>
    <mergeCell ref="G555:J555"/>
    <mergeCell ref="G556:J556"/>
    <mergeCell ref="L554:L556"/>
    <mergeCell ref="B80:B88"/>
    <mergeCell ref="C80:C88"/>
    <mergeCell ref="A80:A88"/>
    <mergeCell ref="G88:J88"/>
    <mergeCell ref="G934:J934"/>
    <mergeCell ref="B65:B68"/>
    <mergeCell ref="A65:A68"/>
    <mergeCell ref="C65:C68"/>
    <mergeCell ref="G68:J68"/>
    <mergeCell ref="A413:A416"/>
    <mergeCell ref="A105:A109"/>
    <mergeCell ref="B105:B109"/>
    <mergeCell ref="C105:C109"/>
    <mergeCell ref="D107:E107"/>
    <mergeCell ref="G105:G107"/>
    <mergeCell ref="H105:H107"/>
    <mergeCell ref="I105:I107"/>
    <mergeCell ref="J105:J107"/>
    <mergeCell ref="F140:F141"/>
    <mergeCell ref="D165:F169"/>
    <mergeCell ref="J165:J169"/>
    <mergeCell ref="D394:D395"/>
    <mergeCell ref="E394:E395"/>
    <mergeCell ref="F394:F395"/>
    <mergeCell ref="B763:B767"/>
    <mergeCell ref="C763:C767"/>
    <mergeCell ref="A763:A767"/>
    <mergeCell ref="D766:F767"/>
    <mergeCell ref="J766:J767"/>
    <mergeCell ref="I913:I915"/>
    <mergeCell ref="G86:J86"/>
    <mergeCell ref="B355:B357"/>
    <mergeCell ref="A124:A126"/>
    <mergeCell ref="G127:J128"/>
    <mergeCell ref="G116:J116"/>
    <mergeCell ref="G117:J117"/>
    <mergeCell ref="G123:J123"/>
    <mergeCell ref="G119:J119"/>
    <mergeCell ref="C118:C122"/>
    <mergeCell ref="G118:J118"/>
    <mergeCell ref="G120:J120"/>
    <mergeCell ref="G121:J121"/>
    <mergeCell ref="G122:J122"/>
    <mergeCell ref="B989:B995"/>
    <mergeCell ref="A989:A995"/>
    <mergeCell ref="C989:C995"/>
    <mergeCell ref="D989:D995"/>
    <mergeCell ref="E989:E995"/>
    <mergeCell ref="F989:F995"/>
    <mergeCell ref="J994:J995"/>
    <mergeCell ref="A297:A298"/>
    <mergeCell ref="B297:B298"/>
    <mergeCell ref="C297:C298"/>
    <mergeCell ref="D297:D298"/>
    <mergeCell ref="E297:E298"/>
    <mergeCell ref="F297:F298"/>
    <mergeCell ref="A140:A141"/>
    <mergeCell ref="B140:B141"/>
    <mergeCell ref="C140:C141"/>
    <mergeCell ref="D140:D141"/>
    <mergeCell ref="E140:E141"/>
    <mergeCell ref="E223:E224"/>
    <mergeCell ref="F223:F224"/>
    <mergeCell ref="J913:J915"/>
    <mergeCell ref="G1182:J1182"/>
    <mergeCell ref="B336:B338"/>
    <mergeCell ref="A336:A338"/>
    <mergeCell ref="C336:C338"/>
    <mergeCell ref="G1022:J1022"/>
    <mergeCell ref="B690:B691"/>
    <mergeCell ref="A690:A691"/>
    <mergeCell ref="C690:C691"/>
    <mergeCell ref="D690:D691"/>
    <mergeCell ref="E690:E691"/>
    <mergeCell ref="F690:F691"/>
    <mergeCell ref="B946:B947"/>
    <mergeCell ref="A946:A947"/>
    <mergeCell ref="C946:C947"/>
    <mergeCell ref="D946:D947"/>
    <mergeCell ref="E946:E947"/>
    <mergeCell ref="F946:F947"/>
    <mergeCell ref="A394:A395"/>
    <mergeCell ref="B394:B395"/>
    <mergeCell ref="C394:C395"/>
    <mergeCell ref="B913:B919"/>
    <mergeCell ref="A913:A919"/>
    <mergeCell ref="D916:D919"/>
    <mergeCell ref="E916:E919"/>
    <mergeCell ref="F916:F919"/>
    <mergeCell ref="G917:J917"/>
    <mergeCell ref="G918:J918"/>
    <mergeCell ref="G919:J919"/>
    <mergeCell ref="C913:C919"/>
    <mergeCell ref="B920:B925"/>
    <mergeCell ref="A920:A925"/>
    <mergeCell ref="C920:C925"/>
    <mergeCell ref="D1178:D1180"/>
    <mergeCell ref="F1178:F1180"/>
    <mergeCell ref="E1178:E1180"/>
    <mergeCell ref="A127:A128"/>
    <mergeCell ref="C1178:C1180"/>
    <mergeCell ref="B1178:B1180"/>
    <mergeCell ref="A1178:A1180"/>
    <mergeCell ref="B253:B255"/>
    <mergeCell ref="A253:A255"/>
    <mergeCell ref="G254:J254"/>
    <mergeCell ref="G255:J255"/>
    <mergeCell ref="G1115:J1115"/>
    <mergeCell ref="G1114:J1114"/>
    <mergeCell ref="G1116:J1116"/>
    <mergeCell ref="B1111:B1116"/>
    <mergeCell ref="A1111:A1116"/>
    <mergeCell ref="C1111:C1116"/>
    <mergeCell ref="B588:B592"/>
    <mergeCell ref="C588:C592"/>
    <mergeCell ref="A588:A592"/>
    <mergeCell ref="A549:A552"/>
    <mergeCell ref="A789:A790"/>
    <mergeCell ref="B789:B790"/>
    <mergeCell ref="C789:C790"/>
    <mergeCell ref="J590:J592"/>
    <mergeCell ref="A761:A762"/>
    <mergeCell ref="B843:B862"/>
    <mergeCell ref="A843:A862"/>
    <mergeCell ref="F911:F912"/>
    <mergeCell ref="G858:J858"/>
    <mergeCell ref="G913:G915"/>
    <mergeCell ref="H913:H915"/>
    <mergeCell ref="L80:L81"/>
    <mergeCell ref="B100:B101"/>
    <mergeCell ref="C100:C101"/>
    <mergeCell ref="D100:D101"/>
    <mergeCell ref="A237:A238"/>
    <mergeCell ref="B237:B238"/>
    <mergeCell ref="C237:C238"/>
    <mergeCell ref="D237:D238"/>
    <mergeCell ref="E237:E238"/>
    <mergeCell ref="F237:F238"/>
    <mergeCell ref="G379:G383"/>
    <mergeCell ref="H379:H383"/>
    <mergeCell ref="I379:I383"/>
    <mergeCell ref="J379:J383"/>
    <mergeCell ref="B316:B317"/>
    <mergeCell ref="A316:A317"/>
    <mergeCell ref="C316:C317"/>
    <mergeCell ref="A98:A99"/>
    <mergeCell ref="A217:A220"/>
    <mergeCell ref="E191:E192"/>
    <mergeCell ref="F191:F192"/>
    <mergeCell ref="H268:H269"/>
    <mergeCell ref="I268:I269"/>
    <mergeCell ref="J269:J270"/>
    <mergeCell ref="E100:E101"/>
    <mergeCell ref="F100:F101"/>
    <mergeCell ref="B98:B99"/>
    <mergeCell ref="C98:C99"/>
    <mergeCell ref="G223:J223"/>
    <mergeCell ref="B221:B224"/>
    <mergeCell ref="A221:A224"/>
    <mergeCell ref="G206:J210"/>
    <mergeCell ref="B1135:B1137"/>
    <mergeCell ref="A1135:A1137"/>
    <mergeCell ref="C1135:C1137"/>
    <mergeCell ref="J376:J378"/>
    <mergeCell ref="C221:C224"/>
    <mergeCell ref="L856:L857"/>
    <mergeCell ref="G859:J859"/>
    <mergeCell ref="G860:J860"/>
    <mergeCell ref="D860:E861"/>
    <mergeCell ref="F860:F861"/>
    <mergeCell ref="K897:K898"/>
    <mergeCell ref="D711:D714"/>
    <mergeCell ref="J830:J841"/>
    <mergeCell ref="K830:K841"/>
    <mergeCell ref="H603:H604"/>
    <mergeCell ref="I603:I604"/>
    <mergeCell ref="J603:J604"/>
    <mergeCell ref="K611:K613"/>
    <mergeCell ref="B810:B818"/>
    <mergeCell ref="D613:E613"/>
    <mergeCell ref="K856:K857"/>
    <mergeCell ref="H611:H613"/>
    <mergeCell ref="I611:I613"/>
    <mergeCell ref="J611:J613"/>
    <mergeCell ref="B553:B557"/>
    <mergeCell ref="A233:A234"/>
    <mergeCell ref="B233:B234"/>
    <mergeCell ref="C233:C234"/>
    <mergeCell ref="D233:D234"/>
    <mergeCell ref="E233:E234"/>
    <mergeCell ref="D1135:F1137"/>
    <mergeCell ref="G1126:K1126"/>
    <mergeCell ref="G1163:J1163"/>
    <mergeCell ref="G1158:J1158"/>
    <mergeCell ref="G1157:J1157"/>
    <mergeCell ref="G1159:J1159"/>
    <mergeCell ref="G563:J563"/>
    <mergeCell ref="C559:C563"/>
    <mergeCell ref="B559:B563"/>
    <mergeCell ref="A559:A563"/>
    <mergeCell ref="G562:J562"/>
    <mergeCell ref="G1161:K1161"/>
    <mergeCell ref="C695:C696"/>
    <mergeCell ref="D695:D696"/>
    <mergeCell ref="E695:E696"/>
    <mergeCell ref="F695:F696"/>
    <mergeCell ref="K379:K383"/>
    <mergeCell ref="G826:G827"/>
    <mergeCell ref="H826:H827"/>
    <mergeCell ref="I826:I827"/>
    <mergeCell ref="J826:J827"/>
    <mergeCell ref="K826:K827"/>
    <mergeCell ref="B569:B570"/>
    <mergeCell ref="G662:K662"/>
    <mergeCell ref="K766:K767"/>
    <mergeCell ref="J569:J570"/>
    <mergeCell ref="K616:K617"/>
    <mergeCell ref="K994:K995"/>
    <mergeCell ref="G699:G702"/>
    <mergeCell ref="G557:J557"/>
    <mergeCell ref="C553:C557"/>
    <mergeCell ref="B611:B613"/>
    <mergeCell ref="C611:C613"/>
    <mergeCell ref="G611:G613"/>
    <mergeCell ref="A603:A604"/>
    <mergeCell ref="B603:B604"/>
    <mergeCell ref="C603:C604"/>
    <mergeCell ref="G606:J607"/>
    <mergeCell ref="D608:D609"/>
    <mergeCell ref="E608:E609"/>
    <mergeCell ref="B606:B610"/>
    <mergeCell ref="A606:A610"/>
    <mergeCell ref="B695:B696"/>
    <mergeCell ref="C599:C600"/>
    <mergeCell ref="I599:I600"/>
    <mergeCell ref="J599:J600"/>
    <mergeCell ref="G666:K666"/>
    <mergeCell ref="G667:K667"/>
    <mergeCell ref="I671:I672"/>
    <mergeCell ref="G762:J762"/>
    <mergeCell ref="G1148:J1148"/>
    <mergeCell ref="B1148:B1149"/>
    <mergeCell ref="A1148:A1149"/>
    <mergeCell ref="C1148:C1149"/>
    <mergeCell ref="D1148:D1149"/>
    <mergeCell ref="E1148:E1149"/>
    <mergeCell ref="F1148:F1149"/>
    <mergeCell ref="G1149:J1149"/>
    <mergeCell ref="K964:K967"/>
    <mergeCell ref="K1011:K1012"/>
    <mergeCell ref="K913:K915"/>
    <mergeCell ref="E711:E714"/>
    <mergeCell ref="F711:F714"/>
    <mergeCell ref="J711:J714"/>
    <mergeCell ref="K711:K714"/>
    <mergeCell ref="G714:I714"/>
    <mergeCell ref="G1150:J1150"/>
    <mergeCell ref="B963:B967"/>
    <mergeCell ref="B3:B4"/>
    <mergeCell ref="A3:A4"/>
    <mergeCell ref="C3:C4"/>
    <mergeCell ref="G84:J84"/>
    <mergeCell ref="B191:B192"/>
    <mergeCell ref="A191:A192"/>
    <mergeCell ref="C191:C192"/>
    <mergeCell ref="D191:D192"/>
    <mergeCell ref="B41:B43"/>
    <mergeCell ref="A41:A43"/>
    <mergeCell ref="C41:C43"/>
    <mergeCell ref="D41:F43"/>
    <mergeCell ref="J41:J43"/>
    <mergeCell ref="G87:J87"/>
    <mergeCell ref="D223:D224"/>
    <mergeCell ref="A102:A104"/>
    <mergeCell ref="A569:A570"/>
    <mergeCell ref="C569:C570"/>
    <mergeCell ref="D569:D570"/>
    <mergeCell ref="J1135:J1137"/>
    <mergeCell ref="F608:F609"/>
    <mergeCell ref="G1129:J1129"/>
    <mergeCell ref="D577:F578"/>
    <mergeCell ref="D588:D591"/>
    <mergeCell ref="E588:E591"/>
    <mergeCell ref="F588:F591"/>
    <mergeCell ref="G599:G600"/>
    <mergeCell ref="H599:H600"/>
    <mergeCell ref="G761:J761"/>
    <mergeCell ref="G581:J581"/>
    <mergeCell ref="K574:K576"/>
    <mergeCell ref="K80:K83"/>
    <mergeCell ref="A110:A111"/>
    <mergeCell ref="K102:K104"/>
    <mergeCell ref="C115:C116"/>
    <mergeCell ref="D115:D116"/>
    <mergeCell ref="E115:E116"/>
    <mergeCell ref="F115:F116"/>
    <mergeCell ref="K129:K130"/>
    <mergeCell ref="K132:K133"/>
    <mergeCell ref="G129:G130"/>
    <mergeCell ref="H129:H130"/>
    <mergeCell ref="I129:I130"/>
    <mergeCell ref="G96:K96"/>
    <mergeCell ref="A100:A101"/>
    <mergeCell ref="A93:A94"/>
    <mergeCell ref="G80:G83"/>
    <mergeCell ref="B132:B137"/>
    <mergeCell ref="A132:A137"/>
    <mergeCell ref="C132:C137"/>
    <mergeCell ref="H80:H83"/>
    <mergeCell ref="I80:I83"/>
    <mergeCell ref="B93:B94"/>
    <mergeCell ref="C93:C94"/>
    <mergeCell ref="D93:D94"/>
    <mergeCell ref="E93:E94"/>
    <mergeCell ref="F93:F94"/>
    <mergeCell ref="A95:A96"/>
    <mergeCell ref="G85:J85"/>
    <mergeCell ref="A553:A557"/>
    <mergeCell ref="A355:A357"/>
    <mergeCell ref="G549:J550"/>
    <mergeCell ref="K89:K92"/>
    <mergeCell ref="K376:K378"/>
    <mergeCell ref="G564:G566"/>
    <mergeCell ref="A564:A566"/>
    <mergeCell ref="J671:J672"/>
    <mergeCell ref="H671:H672"/>
    <mergeCell ref="B127:B128"/>
    <mergeCell ref="C127:C128"/>
    <mergeCell ref="D764:F765"/>
    <mergeCell ref="K763:K765"/>
    <mergeCell ref="G824:G825"/>
    <mergeCell ref="H824:H825"/>
    <mergeCell ref="I824:I825"/>
    <mergeCell ref="J824:J825"/>
    <mergeCell ref="K824:K825"/>
    <mergeCell ref="I804:I805"/>
    <mergeCell ref="G832:G841"/>
    <mergeCell ref="H830:H841"/>
    <mergeCell ref="I830:I841"/>
    <mergeCell ref="F789:F790"/>
    <mergeCell ref="J789:J790"/>
    <mergeCell ref="K789:K790"/>
    <mergeCell ref="K569:K570"/>
    <mergeCell ref="D660:E660"/>
    <mergeCell ref="G640:G641"/>
    <mergeCell ref="K603:K604"/>
    <mergeCell ref="I616:I617"/>
    <mergeCell ref="J616:J617"/>
    <mergeCell ref="G656:K656"/>
    <mergeCell ref="G657:K657"/>
    <mergeCell ref="D663:E663"/>
    <mergeCell ref="G663:K663"/>
    <mergeCell ref="G132:J136"/>
    <mergeCell ref="G222:J222"/>
    <mergeCell ref="K206:K209"/>
    <mergeCell ref="G199:K199"/>
    <mergeCell ref="G200:K200"/>
    <mergeCell ref="B95:B96"/>
    <mergeCell ref="C95:C96"/>
    <mergeCell ref="G98:K98"/>
    <mergeCell ref="B240:B245"/>
    <mergeCell ref="C240:C245"/>
    <mergeCell ref="D244:F244"/>
    <mergeCell ref="B258:B259"/>
    <mergeCell ref="C258:C259"/>
    <mergeCell ref="L110:L111"/>
    <mergeCell ref="B112:B114"/>
    <mergeCell ref="C112:C114"/>
    <mergeCell ref="K112:K114"/>
    <mergeCell ref="L112:L114"/>
    <mergeCell ref="B110:B111"/>
    <mergeCell ref="C110:C111"/>
    <mergeCell ref="G110:G111"/>
    <mergeCell ref="H110:H111"/>
    <mergeCell ref="I110:I111"/>
    <mergeCell ref="J110:J111"/>
    <mergeCell ref="K110:K111"/>
    <mergeCell ref="J102:J104"/>
    <mergeCell ref="L102:L103"/>
    <mergeCell ref="K105:K107"/>
    <mergeCell ref="G109:J109"/>
    <mergeCell ref="K165:K169"/>
    <mergeCell ref="B163:B170"/>
    <mergeCell ref="C163:C170"/>
    <mergeCell ref="D98:D99"/>
    <mergeCell ref="E98:E99"/>
    <mergeCell ref="F98:F99"/>
    <mergeCell ref="B102:B104"/>
    <mergeCell ref="C102:C104"/>
    <mergeCell ref="G102:G104"/>
    <mergeCell ref="H102:H104"/>
    <mergeCell ref="I102:I104"/>
    <mergeCell ref="J129:J130"/>
    <mergeCell ref="G89:J90"/>
    <mergeCell ref="G91:J92"/>
    <mergeCell ref="B129:B131"/>
    <mergeCell ref="C129:C131"/>
    <mergeCell ref="G131:J131"/>
    <mergeCell ref="G125:J125"/>
    <mergeCell ref="C124:C126"/>
    <mergeCell ref="B124:B126"/>
    <mergeCell ref="D789:D790"/>
    <mergeCell ref="E789:E790"/>
    <mergeCell ref="A112:A114"/>
    <mergeCell ref="A129:A131"/>
    <mergeCell ref="G660:K660"/>
    <mergeCell ref="A567:A568"/>
    <mergeCell ref="B567:B568"/>
    <mergeCell ref="C567:C568"/>
    <mergeCell ref="A572:A573"/>
    <mergeCell ref="B572:B573"/>
    <mergeCell ref="C572:C573"/>
    <mergeCell ref="G572:G573"/>
    <mergeCell ref="H572:H573"/>
    <mergeCell ref="D105:D106"/>
    <mergeCell ref="E105:E106"/>
    <mergeCell ref="F105:F106"/>
    <mergeCell ref="K214:K216"/>
    <mergeCell ref="B217:B220"/>
    <mergeCell ref="C219:C220"/>
    <mergeCell ref="G219:G220"/>
    <mergeCell ref="D665:E665"/>
    <mergeCell ref="G665:K665"/>
    <mergeCell ref="C760:C762"/>
    <mergeCell ref="I172:I174"/>
    <mergeCell ref="J172:J174"/>
    <mergeCell ref="K172:K174"/>
    <mergeCell ref="A250:A251"/>
    <mergeCell ref="B250:B251"/>
    <mergeCell ref="C250:C251"/>
    <mergeCell ref="A614:A615"/>
    <mergeCell ref="G250:J250"/>
    <mergeCell ref="A240:A245"/>
    <mergeCell ref="G147:J147"/>
    <mergeCell ref="C355:C357"/>
    <mergeCell ref="D159:F159"/>
    <mergeCell ref="G143:J143"/>
    <mergeCell ref="J178:J179"/>
    <mergeCell ref="H219:H220"/>
    <mergeCell ref="G343:G345"/>
    <mergeCell ref="H343:H345"/>
    <mergeCell ref="I343:I345"/>
    <mergeCell ref="J343:J345"/>
    <mergeCell ref="K343:K345"/>
    <mergeCell ref="A206:A211"/>
    <mergeCell ref="D144:F144"/>
    <mergeCell ref="B142:B147"/>
    <mergeCell ref="A142:A147"/>
    <mergeCell ref="C142:C147"/>
    <mergeCell ref="K178:K179"/>
    <mergeCell ref="K219:K220"/>
    <mergeCell ref="J212:J213"/>
    <mergeCell ref="K212:K213"/>
    <mergeCell ref="C231:C232"/>
    <mergeCell ref="D231:D232"/>
    <mergeCell ref="E231:E232"/>
    <mergeCell ref="F231:F232"/>
    <mergeCell ref="G221:J221"/>
    <mergeCell ref="A163:A170"/>
    <mergeCell ref="A11:A18"/>
    <mergeCell ref="B11:B18"/>
    <mergeCell ref="A20:A21"/>
    <mergeCell ref="B20:B21"/>
    <mergeCell ref="C20:C21"/>
    <mergeCell ref="G20:G21"/>
    <mergeCell ref="H20:H21"/>
    <mergeCell ref="I20:I21"/>
    <mergeCell ref="H699:H702"/>
    <mergeCell ref="I699:I702"/>
    <mergeCell ref="J699:J702"/>
    <mergeCell ref="G112:G114"/>
    <mergeCell ref="H112:H114"/>
    <mergeCell ref="I112:I114"/>
    <mergeCell ref="J112:J114"/>
    <mergeCell ref="J588:J589"/>
    <mergeCell ref="I34:I36"/>
    <mergeCell ref="J34:J36"/>
    <mergeCell ref="G69:J70"/>
    <mergeCell ref="A89:A92"/>
    <mergeCell ref="B89:B92"/>
    <mergeCell ref="C89:C92"/>
    <mergeCell ref="D89:D92"/>
    <mergeCell ref="E89:E92"/>
    <mergeCell ref="F89:F92"/>
    <mergeCell ref="J80:J83"/>
    <mergeCell ref="G142:J142"/>
    <mergeCell ref="A158:A159"/>
    <mergeCell ref="B158:B159"/>
    <mergeCell ref="C158:C159"/>
    <mergeCell ref="G437:G439"/>
    <mergeCell ref="H437:H439"/>
    <mergeCell ref="B44:B46"/>
    <mergeCell ref="A44:A46"/>
    <mergeCell ref="C44:C46"/>
    <mergeCell ref="G45:J45"/>
    <mergeCell ref="G46:J46"/>
    <mergeCell ref="K34:K36"/>
    <mergeCell ref="A37:A38"/>
    <mergeCell ref="B37:B38"/>
    <mergeCell ref="C37:C38"/>
    <mergeCell ref="D37:D38"/>
    <mergeCell ref="E37:E38"/>
    <mergeCell ref="F37:F38"/>
    <mergeCell ref="L53:L54"/>
    <mergeCell ref="J20:J21"/>
    <mergeCell ref="K20:K21"/>
    <mergeCell ref="L20:L21"/>
    <mergeCell ref="A34:A36"/>
    <mergeCell ref="B34:B36"/>
    <mergeCell ref="C34:C36"/>
    <mergeCell ref="E34:E35"/>
    <mergeCell ref="F34:F35"/>
    <mergeCell ref="G34:G36"/>
    <mergeCell ref="H34:H36"/>
    <mergeCell ref="B29:B32"/>
    <mergeCell ref="A29:A32"/>
    <mergeCell ref="C29:C32"/>
    <mergeCell ref="G29:J30"/>
    <mergeCell ref="G31:J31"/>
    <mergeCell ref="G37:J37"/>
    <mergeCell ref="K41:K43"/>
    <mergeCell ref="H41:I41"/>
    <mergeCell ref="B26:B27"/>
    <mergeCell ref="J56:J57"/>
    <mergeCell ref="K56:K57"/>
    <mergeCell ref="A56:A57"/>
    <mergeCell ref="B56:B57"/>
    <mergeCell ref="C56:C57"/>
    <mergeCell ref="K48:K51"/>
    <mergeCell ref="A52:A54"/>
    <mergeCell ref="B52:B54"/>
    <mergeCell ref="C52:C54"/>
    <mergeCell ref="D52:D54"/>
    <mergeCell ref="E52:E54"/>
    <mergeCell ref="F52:F54"/>
    <mergeCell ref="J53:J54"/>
    <mergeCell ref="K53:K54"/>
    <mergeCell ref="G48:G51"/>
    <mergeCell ref="H48:H51"/>
    <mergeCell ref="I48:I51"/>
    <mergeCell ref="J48:J51"/>
    <mergeCell ref="A48:A51"/>
    <mergeCell ref="B48:B51"/>
    <mergeCell ref="C48:C51"/>
    <mergeCell ref="D56:D57"/>
    <mergeCell ref="E56:E57"/>
    <mergeCell ref="F56:F57"/>
    <mergeCell ref="K69:K70"/>
    <mergeCell ref="G71:J71"/>
    <mergeCell ref="G77:G78"/>
    <mergeCell ref="H77:H78"/>
    <mergeCell ref="I77:I78"/>
    <mergeCell ref="J77:J78"/>
    <mergeCell ref="K77:K78"/>
    <mergeCell ref="D69:D70"/>
    <mergeCell ref="E69:E70"/>
    <mergeCell ref="F69:F70"/>
    <mergeCell ref="L59:L60"/>
    <mergeCell ref="L61:N61"/>
    <mergeCell ref="G65:G67"/>
    <mergeCell ref="H65:H67"/>
    <mergeCell ref="I65:I67"/>
    <mergeCell ref="J65:J67"/>
    <mergeCell ref="K65:K67"/>
    <mergeCell ref="L77:L78"/>
    <mergeCell ref="A59:A61"/>
    <mergeCell ref="B59:B61"/>
    <mergeCell ref="C59:C61"/>
    <mergeCell ref="G59:G61"/>
    <mergeCell ref="H59:H61"/>
    <mergeCell ref="I59:I61"/>
    <mergeCell ref="J59:J61"/>
    <mergeCell ref="K59:K61"/>
    <mergeCell ref="D71:D72"/>
    <mergeCell ref="E71:E72"/>
    <mergeCell ref="F71:F72"/>
    <mergeCell ref="A115:A122"/>
    <mergeCell ref="B115:B122"/>
    <mergeCell ref="L163:L164"/>
    <mergeCell ref="A172:A174"/>
    <mergeCell ref="B172:B174"/>
    <mergeCell ref="C172:C174"/>
    <mergeCell ref="J161:J162"/>
    <mergeCell ref="K161:K162"/>
    <mergeCell ref="D163:D164"/>
    <mergeCell ref="E163:E164"/>
    <mergeCell ref="F163:F164"/>
    <mergeCell ref="J163:J164"/>
    <mergeCell ref="K163:K164"/>
    <mergeCell ref="A161:A162"/>
    <mergeCell ref="B161:B162"/>
    <mergeCell ref="C161:C162"/>
    <mergeCell ref="G161:G162"/>
    <mergeCell ref="H161:H162"/>
    <mergeCell ref="I161:I162"/>
    <mergeCell ref="G172:G174"/>
    <mergeCell ref="H172:H174"/>
    <mergeCell ref="L178:L179"/>
    <mergeCell ref="A178:A179"/>
    <mergeCell ref="B178:B179"/>
    <mergeCell ref="C178:C179"/>
    <mergeCell ref="G178:G179"/>
    <mergeCell ref="H178:H179"/>
    <mergeCell ref="I178:I179"/>
    <mergeCell ref="G202:K202"/>
    <mergeCell ref="C198:C203"/>
    <mergeCell ref="B198:B203"/>
    <mergeCell ref="A198:A203"/>
    <mergeCell ref="L184:L186"/>
    <mergeCell ref="G195:J195"/>
    <mergeCell ref="D184:F186"/>
    <mergeCell ref="C183:C186"/>
    <mergeCell ref="B183:B186"/>
    <mergeCell ref="A183:A186"/>
    <mergeCell ref="J184:J186"/>
    <mergeCell ref="K184:K186"/>
    <mergeCell ref="B188:B190"/>
    <mergeCell ref="A188:A190"/>
    <mergeCell ref="C188:C190"/>
    <mergeCell ref="D189:F190"/>
    <mergeCell ref="J189:J190"/>
    <mergeCell ref="K189:K190"/>
    <mergeCell ref="L212:L213"/>
    <mergeCell ref="A214:A216"/>
    <mergeCell ref="B214:B216"/>
    <mergeCell ref="C214:C216"/>
    <mergeCell ref="G214:G216"/>
    <mergeCell ref="H214:H216"/>
    <mergeCell ref="I214:I216"/>
    <mergeCell ref="J214:J216"/>
    <mergeCell ref="A212:A213"/>
    <mergeCell ref="B212:B213"/>
    <mergeCell ref="C212:C213"/>
    <mergeCell ref="G212:G213"/>
    <mergeCell ref="H212:H213"/>
    <mergeCell ref="I212:I213"/>
    <mergeCell ref="L214:L216"/>
    <mergeCell ref="I219:I220"/>
    <mergeCell ref="J219:J220"/>
    <mergeCell ref="A246:A247"/>
    <mergeCell ref="B246:B247"/>
    <mergeCell ref="C246:C247"/>
    <mergeCell ref="D246:D247"/>
    <mergeCell ref="E246:E247"/>
    <mergeCell ref="F246:F247"/>
    <mergeCell ref="G231:G232"/>
    <mergeCell ref="H231:H232"/>
    <mergeCell ref="I231:I232"/>
    <mergeCell ref="J231:J232"/>
    <mergeCell ref="B231:B232"/>
    <mergeCell ref="F233:F234"/>
    <mergeCell ref="L263:L264"/>
    <mergeCell ref="A266:A267"/>
    <mergeCell ref="B266:B267"/>
    <mergeCell ref="C266:C267"/>
    <mergeCell ref="G266:G267"/>
    <mergeCell ref="H266:H267"/>
    <mergeCell ref="I266:I267"/>
    <mergeCell ref="J266:J267"/>
    <mergeCell ref="K266:K267"/>
    <mergeCell ref="I258:I259"/>
    <mergeCell ref="J258:J259"/>
    <mergeCell ref="K258:K259"/>
    <mergeCell ref="A263:A265"/>
    <mergeCell ref="B263:B265"/>
    <mergeCell ref="C263:C265"/>
    <mergeCell ref="G263:G265"/>
    <mergeCell ref="H263:H265"/>
    <mergeCell ref="I263:I265"/>
    <mergeCell ref="J263:J265"/>
    <mergeCell ref="A258:A259"/>
    <mergeCell ref="D258:D259"/>
    <mergeCell ref="E258:E259"/>
    <mergeCell ref="F258:F259"/>
    <mergeCell ref="G258:G259"/>
    <mergeCell ref="H258:H259"/>
    <mergeCell ref="B260:B261"/>
    <mergeCell ref="A260:A261"/>
    <mergeCell ref="C260:C261"/>
    <mergeCell ref="K231:K232"/>
    <mergeCell ref="A231:A232"/>
    <mergeCell ref="J279:J280"/>
    <mergeCell ref="K279:K280"/>
    <mergeCell ref="B284:B286"/>
    <mergeCell ref="K275:K277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G271:J271"/>
    <mergeCell ref="A275:A277"/>
    <mergeCell ref="B275:B277"/>
    <mergeCell ref="C275:C277"/>
    <mergeCell ref="G275:G277"/>
    <mergeCell ref="H275:H277"/>
    <mergeCell ref="I275:I277"/>
    <mergeCell ref="J275:J277"/>
    <mergeCell ref="J285:J286"/>
    <mergeCell ref="K285:K286"/>
    <mergeCell ref="A268:A270"/>
    <mergeCell ref="B268:B270"/>
    <mergeCell ref="C269:C270"/>
    <mergeCell ref="D269:D270"/>
    <mergeCell ref="E269:E270"/>
    <mergeCell ref="F269:F270"/>
    <mergeCell ref="K263:K265"/>
    <mergeCell ref="G285:G286"/>
    <mergeCell ref="J291:J292"/>
    <mergeCell ref="K291:K292"/>
    <mergeCell ref="L291:L292"/>
    <mergeCell ref="A291:A292"/>
    <mergeCell ref="B291:B292"/>
    <mergeCell ref="C291:C292"/>
    <mergeCell ref="G291:G292"/>
    <mergeCell ref="H291:H292"/>
    <mergeCell ref="I291:I292"/>
    <mergeCell ref="L284:L285"/>
    <mergeCell ref="A287:A289"/>
    <mergeCell ref="B287:B289"/>
    <mergeCell ref="C287:C289"/>
    <mergeCell ref="D287:D289"/>
    <mergeCell ref="E287:E289"/>
    <mergeCell ref="F287:F289"/>
    <mergeCell ref="H285:H286"/>
    <mergeCell ref="I285:I286"/>
    <mergeCell ref="A284:A286"/>
    <mergeCell ref="K269:K270"/>
    <mergeCell ref="L300:L303"/>
    <mergeCell ref="A309:A310"/>
    <mergeCell ref="B309:B310"/>
    <mergeCell ref="C309:C310"/>
    <mergeCell ref="G309:G310"/>
    <mergeCell ref="H309:H310"/>
    <mergeCell ref="I309:I310"/>
    <mergeCell ref="J309:J310"/>
    <mergeCell ref="K309:K310"/>
    <mergeCell ref="D293:D294"/>
    <mergeCell ref="E293:E294"/>
    <mergeCell ref="F293:F294"/>
    <mergeCell ref="C293:C294"/>
    <mergeCell ref="B293:B294"/>
    <mergeCell ref="A293:A294"/>
    <mergeCell ref="J293:J294"/>
    <mergeCell ref="K293:K294"/>
    <mergeCell ref="J323:J324"/>
    <mergeCell ref="K323:K324"/>
    <mergeCell ref="A330:A332"/>
    <mergeCell ref="B330:B332"/>
    <mergeCell ref="C330:C332"/>
    <mergeCell ref="G330:G332"/>
    <mergeCell ref="H330:H332"/>
    <mergeCell ref="I330:I332"/>
    <mergeCell ref="J330:J332"/>
    <mergeCell ref="K330:K332"/>
    <mergeCell ref="A323:A324"/>
    <mergeCell ref="B323:B324"/>
    <mergeCell ref="C323:C324"/>
    <mergeCell ref="G323:G324"/>
    <mergeCell ref="H323:H324"/>
    <mergeCell ref="I323:I324"/>
    <mergeCell ref="A328:A329"/>
    <mergeCell ref="G329:J329"/>
    <mergeCell ref="G328:J328"/>
    <mergeCell ref="G337:K337"/>
    <mergeCell ref="L339:P339"/>
    <mergeCell ref="A343:A345"/>
    <mergeCell ref="B343:B345"/>
    <mergeCell ref="C343:C345"/>
    <mergeCell ref="D343:D345"/>
    <mergeCell ref="E343:E345"/>
    <mergeCell ref="F343:F345"/>
    <mergeCell ref="A363:A365"/>
    <mergeCell ref="B363:B365"/>
    <mergeCell ref="C363:C365"/>
    <mergeCell ref="G363:G365"/>
    <mergeCell ref="H363:H365"/>
    <mergeCell ref="B361:B362"/>
    <mergeCell ref="C361:C362"/>
    <mergeCell ref="D361:D362"/>
    <mergeCell ref="E361:E362"/>
    <mergeCell ref="F361:F362"/>
    <mergeCell ref="L343:L345"/>
    <mergeCell ref="G355:G357"/>
    <mergeCell ref="H355:H357"/>
    <mergeCell ref="A346:A347"/>
    <mergeCell ref="B346:B347"/>
    <mergeCell ref="C372:F375"/>
    <mergeCell ref="J366:J367"/>
    <mergeCell ref="I363:I365"/>
    <mergeCell ref="A361:A362"/>
    <mergeCell ref="L366:L367"/>
    <mergeCell ref="A370:A375"/>
    <mergeCell ref="B370:B375"/>
    <mergeCell ref="C370:C371"/>
    <mergeCell ref="D370:D371"/>
    <mergeCell ref="E370:E371"/>
    <mergeCell ref="F370:F371"/>
    <mergeCell ref="A366:A368"/>
    <mergeCell ref="B366:B368"/>
    <mergeCell ref="G366:G367"/>
    <mergeCell ref="H366:H367"/>
    <mergeCell ref="I366:I367"/>
    <mergeCell ref="C346:C347"/>
    <mergeCell ref="G346:J346"/>
    <mergeCell ref="D355:D356"/>
    <mergeCell ref="E355:E356"/>
    <mergeCell ref="F355:F356"/>
    <mergeCell ref="J363:J365"/>
    <mergeCell ref="K363:K365"/>
    <mergeCell ref="D364:D365"/>
    <mergeCell ref="E364:E365"/>
    <mergeCell ref="F364:F365"/>
    <mergeCell ref="L400:L401"/>
    <mergeCell ref="C405:C406"/>
    <mergeCell ref="H405:H406"/>
    <mergeCell ref="I405:I406"/>
    <mergeCell ref="K389:K390"/>
    <mergeCell ref="A391:A392"/>
    <mergeCell ref="B391:B392"/>
    <mergeCell ref="L391:L392"/>
    <mergeCell ref="A400:A403"/>
    <mergeCell ref="B400:B403"/>
    <mergeCell ref="C400:C403"/>
    <mergeCell ref="J385:J386"/>
    <mergeCell ref="K385:K386"/>
    <mergeCell ref="K366:K367"/>
    <mergeCell ref="A389:A390"/>
    <mergeCell ref="B389:B390"/>
    <mergeCell ref="C389:C390"/>
    <mergeCell ref="G389:G390"/>
    <mergeCell ref="H389:H390"/>
    <mergeCell ref="I389:I390"/>
    <mergeCell ref="J389:J390"/>
    <mergeCell ref="G385:G386"/>
    <mergeCell ref="H385:H386"/>
    <mergeCell ref="I385:I386"/>
    <mergeCell ref="G405:G406"/>
    <mergeCell ref="J405:J406"/>
    <mergeCell ref="K405:K406"/>
    <mergeCell ref="K370:K371"/>
    <mergeCell ref="A379:A383"/>
    <mergeCell ref="B379:B383"/>
    <mergeCell ref="C379:C383"/>
    <mergeCell ref="F418:F419"/>
    <mergeCell ref="A423:A425"/>
    <mergeCell ref="B423:B425"/>
    <mergeCell ref="C423:C425"/>
    <mergeCell ref="D423:D425"/>
    <mergeCell ref="E423:E425"/>
    <mergeCell ref="F423:F425"/>
    <mergeCell ref="J409:J410"/>
    <mergeCell ref="I423:I425"/>
    <mergeCell ref="J423:J425"/>
    <mergeCell ref="K409:K410"/>
    <mergeCell ref="G413:J413"/>
    <mergeCell ref="G414:J414"/>
    <mergeCell ref="A418:A419"/>
    <mergeCell ref="B418:B419"/>
    <mergeCell ref="C418:C419"/>
    <mergeCell ref="D418:D419"/>
    <mergeCell ref="E418:E419"/>
    <mergeCell ref="A409:A410"/>
    <mergeCell ref="B409:B410"/>
    <mergeCell ref="C409:C410"/>
    <mergeCell ref="G409:G410"/>
    <mergeCell ref="H409:H410"/>
    <mergeCell ref="I409:I410"/>
    <mergeCell ref="B413:B416"/>
    <mergeCell ref="C413:C416"/>
    <mergeCell ref="G416:J416"/>
    <mergeCell ref="G431:J431"/>
    <mergeCell ref="A437:A439"/>
    <mergeCell ref="B437:B439"/>
    <mergeCell ref="C437:C439"/>
    <mergeCell ref="A445:A446"/>
    <mergeCell ref="B445:B446"/>
    <mergeCell ref="C445:C446"/>
    <mergeCell ref="D445:D446"/>
    <mergeCell ref="E445:E446"/>
    <mergeCell ref="G423:G425"/>
    <mergeCell ref="H423:H425"/>
    <mergeCell ref="K423:K425"/>
    <mergeCell ref="C441:C442"/>
    <mergeCell ref="B441:B442"/>
    <mergeCell ref="A441:A442"/>
    <mergeCell ref="G442:J442"/>
    <mergeCell ref="K437:K439"/>
    <mergeCell ref="I437:I439"/>
    <mergeCell ref="J437:J439"/>
    <mergeCell ref="K448:K449"/>
    <mergeCell ref="A448:A449"/>
    <mergeCell ref="C448:C449"/>
    <mergeCell ref="G448:G449"/>
    <mergeCell ref="H448:H449"/>
    <mergeCell ref="I448:I449"/>
    <mergeCell ref="J448:J449"/>
    <mergeCell ref="I458:I459"/>
    <mergeCell ref="J458:J459"/>
    <mergeCell ref="K458:K459"/>
    <mergeCell ref="G458:G459"/>
    <mergeCell ref="H458:H459"/>
    <mergeCell ref="F445:F446"/>
    <mergeCell ref="G445:G446"/>
    <mergeCell ref="H445:H446"/>
    <mergeCell ref="I445:I446"/>
    <mergeCell ref="J445:J446"/>
    <mergeCell ref="K445:K446"/>
    <mergeCell ref="J454:J455"/>
    <mergeCell ref="K454:K455"/>
    <mergeCell ref="L454:L455"/>
    <mergeCell ref="A458:A459"/>
    <mergeCell ref="B458:B459"/>
    <mergeCell ref="C458:C459"/>
    <mergeCell ref="A454:A455"/>
    <mergeCell ref="B454:B455"/>
    <mergeCell ref="C454:C455"/>
    <mergeCell ref="G454:G455"/>
    <mergeCell ref="H454:H455"/>
    <mergeCell ref="I454:I455"/>
    <mergeCell ref="A468:A469"/>
    <mergeCell ref="B468:B469"/>
    <mergeCell ref="C468:C469"/>
    <mergeCell ref="J463:J464"/>
    <mergeCell ref="K463:K464"/>
    <mergeCell ref="A465:A467"/>
    <mergeCell ref="B465:B467"/>
    <mergeCell ref="C465:C467"/>
    <mergeCell ref="G465:G467"/>
    <mergeCell ref="H465:H467"/>
    <mergeCell ref="I465:I467"/>
    <mergeCell ref="J465:J467"/>
    <mergeCell ref="K465:K467"/>
    <mergeCell ref="A463:A464"/>
    <mergeCell ref="B463:B464"/>
    <mergeCell ref="C463:C464"/>
    <mergeCell ref="G463:G464"/>
    <mergeCell ref="H463:H464"/>
    <mergeCell ref="I463:I464"/>
    <mergeCell ref="A474:A476"/>
    <mergeCell ref="B474:B476"/>
    <mergeCell ref="C474:C476"/>
    <mergeCell ref="K474:K476"/>
    <mergeCell ref="G474:G476"/>
    <mergeCell ref="H474:H476"/>
    <mergeCell ref="I474:I476"/>
    <mergeCell ref="J474:J476"/>
    <mergeCell ref="G479:G481"/>
    <mergeCell ref="H479:H481"/>
    <mergeCell ref="I479:I481"/>
    <mergeCell ref="J479:J481"/>
    <mergeCell ref="K479:K481"/>
    <mergeCell ref="G470:G471"/>
    <mergeCell ref="H470:H471"/>
    <mergeCell ref="I470:I471"/>
    <mergeCell ref="J470:J471"/>
    <mergeCell ref="K470:K471"/>
    <mergeCell ref="K482:K483"/>
    <mergeCell ref="G488:G489"/>
    <mergeCell ref="H488:H489"/>
    <mergeCell ref="I488:I489"/>
    <mergeCell ref="J488:J489"/>
    <mergeCell ref="K488:K489"/>
    <mergeCell ref="A482:A483"/>
    <mergeCell ref="B482:B483"/>
    <mergeCell ref="C482:C483"/>
    <mergeCell ref="G482:G483"/>
    <mergeCell ref="H482:H483"/>
    <mergeCell ref="I482:I483"/>
    <mergeCell ref="J482:J483"/>
    <mergeCell ref="J477:J478"/>
    <mergeCell ref="K477:K478"/>
    <mergeCell ref="A479:A481"/>
    <mergeCell ref="B479:B481"/>
    <mergeCell ref="C479:C481"/>
    <mergeCell ref="A477:A478"/>
    <mergeCell ref="B477:B478"/>
    <mergeCell ref="C477:C478"/>
    <mergeCell ref="G477:G478"/>
    <mergeCell ref="H477:H478"/>
    <mergeCell ref="I477:I478"/>
    <mergeCell ref="G498:G499"/>
    <mergeCell ref="H498:H499"/>
    <mergeCell ref="I498:I499"/>
    <mergeCell ref="J498:J499"/>
    <mergeCell ref="K498:K499"/>
    <mergeCell ref="A503:A506"/>
    <mergeCell ref="B503:B506"/>
    <mergeCell ref="C504:C505"/>
    <mergeCell ref="G504:G505"/>
    <mergeCell ref="H504:H505"/>
    <mergeCell ref="A498:A499"/>
    <mergeCell ref="B498:B499"/>
    <mergeCell ref="C498:C499"/>
    <mergeCell ref="D498:D499"/>
    <mergeCell ref="E498:E499"/>
    <mergeCell ref="F498:F499"/>
    <mergeCell ref="L488:L489"/>
    <mergeCell ref="B490:B492"/>
    <mergeCell ref="G490:G493"/>
    <mergeCell ref="H490:H493"/>
    <mergeCell ref="I490:I493"/>
    <mergeCell ref="J490:J493"/>
    <mergeCell ref="K490:K493"/>
    <mergeCell ref="L490:L492"/>
    <mergeCell ref="C491:C493"/>
    <mergeCell ref="J511:J513"/>
    <mergeCell ref="G518:J518"/>
    <mergeCell ref="D510:E510"/>
    <mergeCell ref="I504:I505"/>
    <mergeCell ref="J504:J505"/>
    <mergeCell ref="K504:K505"/>
    <mergeCell ref="G526:G532"/>
    <mergeCell ref="H526:H532"/>
    <mergeCell ref="I526:I532"/>
    <mergeCell ref="J526:J532"/>
    <mergeCell ref="K526:K532"/>
    <mergeCell ref="L504:L505"/>
    <mergeCell ref="A507:A513"/>
    <mergeCell ref="B507:B513"/>
    <mergeCell ref="C507:C513"/>
    <mergeCell ref="G507:J510"/>
    <mergeCell ref="L539:L542"/>
    <mergeCell ref="G538:G542"/>
    <mergeCell ref="H538:H542"/>
    <mergeCell ref="K538:K542"/>
    <mergeCell ref="K507:K510"/>
    <mergeCell ref="K511:K513"/>
    <mergeCell ref="K572:K573"/>
    <mergeCell ref="G567:G568"/>
    <mergeCell ref="H567:H568"/>
    <mergeCell ref="I567:I568"/>
    <mergeCell ref="J567:J568"/>
    <mergeCell ref="K567:K568"/>
    <mergeCell ref="C564:C566"/>
    <mergeCell ref="B564:B566"/>
    <mergeCell ref="H564:H566"/>
    <mergeCell ref="I564:I566"/>
    <mergeCell ref="J564:J566"/>
    <mergeCell ref="K564:K566"/>
    <mergeCell ref="C549:C552"/>
    <mergeCell ref="B549:B552"/>
    <mergeCell ref="E569:E570"/>
    <mergeCell ref="F569:F570"/>
    <mergeCell ref="A537:A542"/>
    <mergeCell ref="B537:B542"/>
    <mergeCell ref="C537:C542"/>
    <mergeCell ref="G551:J551"/>
    <mergeCell ref="D574:D576"/>
    <mergeCell ref="E574:E576"/>
    <mergeCell ref="F574:F576"/>
    <mergeCell ref="J574:J576"/>
    <mergeCell ref="K588:K589"/>
    <mergeCell ref="K590:K592"/>
    <mergeCell ref="L622:L623"/>
    <mergeCell ref="D631:J631"/>
    <mergeCell ref="A622:A633"/>
    <mergeCell ref="B622:B633"/>
    <mergeCell ref="C622:C633"/>
    <mergeCell ref="D632:D633"/>
    <mergeCell ref="E632:E633"/>
    <mergeCell ref="F632:F633"/>
    <mergeCell ref="J632:J633"/>
    <mergeCell ref="K632:K633"/>
    <mergeCell ref="K544:K545"/>
    <mergeCell ref="L544:L545"/>
    <mergeCell ref="G559:G561"/>
    <mergeCell ref="H559:H561"/>
    <mergeCell ref="I559:I561"/>
    <mergeCell ref="J559:J561"/>
    <mergeCell ref="K559:K561"/>
    <mergeCell ref="A544:A545"/>
    <mergeCell ref="B544:B545"/>
    <mergeCell ref="C544:C545"/>
    <mergeCell ref="G544:G545"/>
    <mergeCell ref="H544:H545"/>
    <mergeCell ref="I544:I545"/>
    <mergeCell ref="J544:J545"/>
    <mergeCell ref="I572:I573"/>
    <mergeCell ref="J572:J573"/>
    <mergeCell ref="L577:L579"/>
    <mergeCell ref="J577:J579"/>
    <mergeCell ref="K577:K579"/>
    <mergeCell ref="G580:J580"/>
    <mergeCell ref="D580:F580"/>
    <mergeCell ref="A593:A595"/>
    <mergeCell ref="B593:B595"/>
    <mergeCell ref="C593:C595"/>
    <mergeCell ref="A599:A600"/>
    <mergeCell ref="B599:B600"/>
    <mergeCell ref="D655:E655"/>
    <mergeCell ref="A644:A648"/>
    <mergeCell ref="B644:B648"/>
    <mergeCell ref="C644:C648"/>
    <mergeCell ref="G661:K661"/>
    <mergeCell ref="G654:K654"/>
    <mergeCell ref="G658:K658"/>
    <mergeCell ref="G659:K659"/>
    <mergeCell ref="G587:J587"/>
    <mergeCell ref="K599:K600"/>
    <mergeCell ref="G583:J583"/>
    <mergeCell ref="G608:J608"/>
    <mergeCell ref="G609:J609"/>
    <mergeCell ref="A611:A613"/>
    <mergeCell ref="B636:B637"/>
    <mergeCell ref="A636:A637"/>
    <mergeCell ref="C636:C637"/>
    <mergeCell ref="G637:J637"/>
    <mergeCell ref="C606:C610"/>
    <mergeCell ref="G603:G604"/>
    <mergeCell ref="H640:H641"/>
    <mergeCell ref="I640:I641"/>
    <mergeCell ref="J640:J641"/>
    <mergeCell ref="B614:B615"/>
    <mergeCell ref="C614:C615"/>
    <mergeCell ref="A616:A617"/>
    <mergeCell ref="B616:B617"/>
    <mergeCell ref="C616:C617"/>
    <mergeCell ref="G616:G617"/>
    <mergeCell ref="H616:H617"/>
    <mergeCell ref="E693:F693"/>
    <mergeCell ref="A697:A698"/>
    <mergeCell ref="B697:B698"/>
    <mergeCell ref="K640:K641"/>
    <mergeCell ref="L596:L597"/>
    <mergeCell ref="A699:A702"/>
    <mergeCell ref="B699:B702"/>
    <mergeCell ref="C699:C702"/>
    <mergeCell ref="L683:O683"/>
    <mergeCell ref="G668:K668"/>
    <mergeCell ref="G669:K669"/>
    <mergeCell ref="G670:K670"/>
    <mergeCell ref="D681:E681"/>
    <mergeCell ref="K699:K702"/>
    <mergeCell ref="G673:K673"/>
    <mergeCell ref="L640:L641"/>
    <mergeCell ref="A640:A641"/>
    <mergeCell ref="B640:B641"/>
    <mergeCell ref="C640:C641"/>
    <mergeCell ref="A695:A696"/>
    <mergeCell ref="G674:K674"/>
    <mergeCell ref="G675:K675"/>
    <mergeCell ref="G676:K676"/>
    <mergeCell ref="G677:K677"/>
    <mergeCell ref="G678:K678"/>
    <mergeCell ref="G679:K679"/>
    <mergeCell ref="G680:K680"/>
    <mergeCell ref="A649:A681"/>
    <mergeCell ref="B649:B681"/>
    <mergeCell ref="C649:C681"/>
    <mergeCell ref="G650:K650"/>
    <mergeCell ref="G651:K651"/>
    <mergeCell ref="G652:K652"/>
    <mergeCell ref="G653:K653"/>
    <mergeCell ref="K671:K672"/>
    <mergeCell ref="D670:E672"/>
    <mergeCell ref="F670:F672"/>
    <mergeCell ref="A718:A719"/>
    <mergeCell ref="B718:B719"/>
    <mergeCell ref="C718:C719"/>
    <mergeCell ref="B731:B732"/>
    <mergeCell ref="C731:C732"/>
    <mergeCell ref="A708:A710"/>
    <mergeCell ref="B708:B710"/>
    <mergeCell ref="C708:C710"/>
    <mergeCell ref="G681:J681"/>
    <mergeCell ref="G664:K664"/>
    <mergeCell ref="B711:B714"/>
    <mergeCell ref="A711:A714"/>
    <mergeCell ref="C711:C714"/>
    <mergeCell ref="L708:L709"/>
    <mergeCell ref="J703:J704"/>
    <mergeCell ref="K703:K704"/>
    <mergeCell ref="L703:L704"/>
    <mergeCell ref="A703:A704"/>
    <mergeCell ref="B703:B704"/>
    <mergeCell ref="C703:C704"/>
    <mergeCell ref="G703:G704"/>
    <mergeCell ref="H703:H704"/>
    <mergeCell ref="I703:I704"/>
    <mergeCell ref="K745:K746"/>
    <mergeCell ref="D741:D742"/>
    <mergeCell ref="E741:E742"/>
    <mergeCell ref="F741:F742"/>
    <mergeCell ref="A745:A746"/>
    <mergeCell ref="B745:B746"/>
    <mergeCell ref="C745:C746"/>
    <mergeCell ref="A737:A739"/>
    <mergeCell ref="B737:B739"/>
    <mergeCell ref="C737:C739"/>
    <mergeCell ref="A741:A742"/>
    <mergeCell ref="B741:B742"/>
    <mergeCell ref="C741:C742"/>
    <mergeCell ref="B721:B728"/>
    <mergeCell ref="C721:C728"/>
    <mergeCell ref="G721:G728"/>
    <mergeCell ref="H721:H728"/>
    <mergeCell ref="I721:I728"/>
    <mergeCell ref="L773:L774"/>
    <mergeCell ref="A777:A784"/>
    <mergeCell ref="C777:C781"/>
    <mergeCell ref="G777:G781"/>
    <mergeCell ref="H777:H781"/>
    <mergeCell ref="I777:I781"/>
    <mergeCell ref="J777:J781"/>
    <mergeCell ref="G782:J782"/>
    <mergeCell ref="B783:B784"/>
    <mergeCell ref="C783:C784"/>
    <mergeCell ref="F773:F774"/>
    <mergeCell ref="G773:G774"/>
    <mergeCell ref="H773:H774"/>
    <mergeCell ref="I773:I774"/>
    <mergeCell ref="J773:J774"/>
    <mergeCell ref="K773:K774"/>
    <mergeCell ref="G770:G771"/>
    <mergeCell ref="L763:L765"/>
    <mergeCell ref="H770:H771"/>
    <mergeCell ref="I770:I771"/>
    <mergeCell ref="J770:J771"/>
    <mergeCell ref="K770:K771"/>
    <mergeCell ref="A773:A774"/>
    <mergeCell ref="B773:B774"/>
    <mergeCell ref="C773:C774"/>
    <mergeCell ref="D773:D774"/>
    <mergeCell ref="E773:E774"/>
    <mergeCell ref="L797:L798"/>
    <mergeCell ref="C799:C800"/>
    <mergeCell ref="D799:D800"/>
    <mergeCell ref="E799:E800"/>
    <mergeCell ref="F799:F800"/>
    <mergeCell ref="G799:G800"/>
    <mergeCell ref="H799:H800"/>
    <mergeCell ref="I799:I800"/>
    <mergeCell ref="C797:C798"/>
    <mergeCell ref="G797:G798"/>
    <mergeCell ref="H797:H798"/>
    <mergeCell ref="I797:I798"/>
    <mergeCell ref="D783:D784"/>
    <mergeCell ref="E783:E784"/>
    <mergeCell ref="F783:F784"/>
    <mergeCell ref="G783:J784"/>
    <mergeCell ref="K783:K784"/>
    <mergeCell ref="L783:L784"/>
    <mergeCell ref="K787:K788"/>
    <mergeCell ref="B795:B796"/>
    <mergeCell ref="A770:A771"/>
    <mergeCell ref="B770:B771"/>
    <mergeCell ref="A795:A796"/>
    <mergeCell ref="A804:A805"/>
    <mergeCell ref="B804:B805"/>
    <mergeCell ref="C804:C805"/>
    <mergeCell ref="A806:A807"/>
    <mergeCell ref="B806:B807"/>
    <mergeCell ref="C806:C807"/>
    <mergeCell ref="J799:J800"/>
    <mergeCell ref="K799:K800"/>
    <mergeCell ref="A802:A803"/>
    <mergeCell ref="B802:B803"/>
    <mergeCell ref="C802:C803"/>
    <mergeCell ref="G802:G803"/>
    <mergeCell ref="H802:H803"/>
    <mergeCell ref="I802:I803"/>
    <mergeCell ref="J802:J803"/>
    <mergeCell ref="K802:K803"/>
    <mergeCell ref="J797:J798"/>
    <mergeCell ref="K797:K798"/>
    <mergeCell ref="J804:J805"/>
    <mergeCell ref="K804:K805"/>
    <mergeCell ref="G806:G807"/>
    <mergeCell ref="H806:H807"/>
    <mergeCell ref="I806:I807"/>
    <mergeCell ref="J806:J807"/>
    <mergeCell ref="K806:K807"/>
    <mergeCell ref="C795:C796"/>
    <mergeCell ref="D795:D796"/>
    <mergeCell ref="E795:E796"/>
    <mergeCell ref="F795:F796"/>
    <mergeCell ref="G804:G805"/>
    <mergeCell ref="H804:H805"/>
    <mergeCell ref="A826:A827"/>
    <mergeCell ref="B826:B827"/>
    <mergeCell ref="C826:C827"/>
    <mergeCell ref="D826:D827"/>
    <mergeCell ref="E826:E827"/>
    <mergeCell ref="F826:F827"/>
    <mergeCell ref="L819:L820"/>
    <mergeCell ref="A824:A825"/>
    <mergeCell ref="B824:B825"/>
    <mergeCell ref="C824:C825"/>
    <mergeCell ref="D824:D825"/>
    <mergeCell ref="E824:E825"/>
    <mergeCell ref="F824:F825"/>
    <mergeCell ref="K808:K809"/>
    <mergeCell ref="A819:A823"/>
    <mergeCell ref="B819:B823"/>
    <mergeCell ref="C819:C823"/>
    <mergeCell ref="A808:A809"/>
    <mergeCell ref="B808:B809"/>
    <mergeCell ref="C808:C809"/>
    <mergeCell ref="G808:G809"/>
    <mergeCell ref="H808:H809"/>
    <mergeCell ref="I808:I809"/>
    <mergeCell ref="J808:J809"/>
    <mergeCell ref="G810:G817"/>
    <mergeCell ref="H810:H817"/>
    <mergeCell ref="I810:I817"/>
    <mergeCell ref="J810:J817"/>
    <mergeCell ref="K810:K817"/>
    <mergeCell ref="C810:C818"/>
    <mergeCell ref="A810:A818"/>
    <mergeCell ref="I819:I821"/>
    <mergeCell ref="D831:D833"/>
    <mergeCell ref="E831:E833"/>
    <mergeCell ref="F831:F833"/>
    <mergeCell ref="A828:A829"/>
    <mergeCell ref="B828:B829"/>
    <mergeCell ref="C828:C829"/>
    <mergeCell ref="A831:A841"/>
    <mergeCell ref="B831:B841"/>
    <mergeCell ref="C831:C841"/>
    <mergeCell ref="G872:J872"/>
    <mergeCell ref="G873:J873"/>
    <mergeCell ref="D874:D875"/>
    <mergeCell ref="E874:E875"/>
    <mergeCell ref="F874:F875"/>
    <mergeCell ref="G874:J874"/>
    <mergeCell ref="D856:E856"/>
    <mergeCell ref="D858:E858"/>
    <mergeCell ref="A868:A876"/>
    <mergeCell ref="B868:B876"/>
    <mergeCell ref="C868:C876"/>
    <mergeCell ref="G868:J868"/>
    <mergeCell ref="G869:J869"/>
    <mergeCell ref="G870:J870"/>
    <mergeCell ref="G871:J871"/>
    <mergeCell ref="B866:B867"/>
    <mergeCell ref="A866:A867"/>
    <mergeCell ref="C866:C867"/>
    <mergeCell ref="G861:J861"/>
    <mergeCell ref="C843:C862"/>
    <mergeCell ref="G855:J855"/>
    <mergeCell ref="K849:K854"/>
    <mergeCell ref="D850:E850"/>
    <mergeCell ref="D851:E851"/>
    <mergeCell ref="D852:E852"/>
    <mergeCell ref="D853:E853"/>
    <mergeCell ref="J866:J867"/>
    <mergeCell ref="K866:K867"/>
    <mergeCell ref="E895:E896"/>
    <mergeCell ref="F895:F896"/>
    <mergeCell ref="A897:A898"/>
    <mergeCell ref="B897:B898"/>
    <mergeCell ref="C897:C898"/>
    <mergeCell ref="D866:D867"/>
    <mergeCell ref="E866:E867"/>
    <mergeCell ref="F866:F867"/>
    <mergeCell ref="D840:D841"/>
    <mergeCell ref="E840:E841"/>
    <mergeCell ref="F840:F841"/>
    <mergeCell ref="G843:J845"/>
    <mergeCell ref="D854:E854"/>
    <mergeCell ref="G897:G898"/>
    <mergeCell ref="H897:H898"/>
    <mergeCell ref="I897:I898"/>
    <mergeCell ref="J897:J898"/>
    <mergeCell ref="G880:G882"/>
    <mergeCell ref="H880:H882"/>
    <mergeCell ref="I880:I882"/>
    <mergeCell ref="J880:J882"/>
    <mergeCell ref="K880:K882"/>
    <mergeCell ref="K859:K861"/>
    <mergeCell ref="A888:A892"/>
    <mergeCell ref="B888:B892"/>
    <mergeCell ref="C888:C892"/>
    <mergeCell ref="B895:B896"/>
    <mergeCell ref="C895:C896"/>
    <mergeCell ref="D895:D896"/>
    <mergeCell ref="K874:K875"/>
    <mergeCell ref="L874:L875"/>
    <mergeCell ref="G876:J876"/>
    <mergeCell ref="A879:A882"/>
    <mergeCell ref="B879:B882"/>
    <mergeCell ref="C879:C882"/>
    <mergeCell ref="L879:L880"/>
    <mergeCell ref="B906:B907"/>
    <mergeCell ref="A906:A907"/>
    <mergeCell ref="C906:C907"/>
    <mergeCell ref="G906:G907"/>
    <mergeCell ref="H906:H907"/>
    <mergeCell ref="I906:I907"/>
    <mergeCell ref="J906:J907"/>
    <mergeCell ref="K906:K907"/>
    <mergeCell ref="J911:J912"/>
    <mergeCell ref="K911:K912"/>
    <mergeCell ref="A895:A896"/>
    <mergeCell ref="C911:C912"/>
    <mergeCell ref="D911:D912"/>
    <mergeCell ref="E911:E912"/>
    <mergeCell ref="I911:I912"/>
    <mergeCell ref="C899:C900"/>
    <mergeCell ref="B911:B912"/>
    <mergeCell ref="A911:A912"/>
    <mergeCell ref="A931:A934"/>
    <mergeCell ref="B931:B934"/>
    <mergeCell ref="C931:C934"/>
    <mergeCell ref="D931:D933"/>
    <mergeCell ref="E931:E933"/>
    <mergeCell ref="F931:F933"/>
    <mergeCell ref="J931:J933"/>
    <mergeCell ref="K931:K933"/>
    <mergeCell ref="K938:K939"/>
    <mergeCell ref="G955:J955"/>
    <mergeCell ref="B953:B955"/>
    <mergeCell ref="A926:A928"/>
    <mergeCell ref="B926:B928"/>
    <mergeCell ref="C926:C928"/>
    <mergeCell ref="G927:J927"/>
    <mergeCell ref="A948:A949"/>
    <mergeCell ref="B948:B949"/>
    <mergeCell ref="C948:C949"/>
    <mergeCell ref="D948:D949"/>
    <mergeCell ref="E948:E949"/>
    <mergeCell ref="F948:F949"/>
    <mergeCell ref="A938:A940"/>
    <mergeCell ref="B938:B940"/>
    <mergeCell ref="C938:C940"/>
    <mergeCell ref="D938:F939"/>
    <mergeCell ref="J938:J939"/>
    <mergeCell ref="A936:A937"/>
    <mergeCell ref="B936:B937"/>
    <mergeCell ref="C986:C988"/>
    <mergeCell ref="G986:K987"/>
    <mergeCell ref="D979:D980"/>
    <mergeCell ref="E979:E980"/>
    <mergeCell ref="F979:F980"/>
    <mergeCell ref="G979:G982"/>
    <mergeCell ref="H979:H982"/>
    <mergeCell ref="I979:I982"/>
    <mergeCell ref="J989:J993"/>
    <mergeCell ref="K989:K993"/>
    <mergeCell ref="A979:A983"/>
    <mergeCell ref="B979:B983"/>
    <mergeCell ref="C979:C983"/>
    <mergeCell ref="A958:A962"/>
    <mergeCell ref="B958:B962"/>
    <mergeCell ref="C958:C962"/>
    <mergeCell ref="D958:F962"/>
    <mergeCell ref="B968:B971"/>
    <mergeCell ref="C968:C971"/>
    <mergeCell ref="D968:D971"/>
    <mergeCell ref="E968:E971"/>
    <mergeCell ref="F968:F971"/>
    <mergeCell ref="G971:J971"/>
    <mergeCell ref="G970:J970"/>
    <mergeCell ref="A986:A988"/>
    <mergeCell ref="A963:A967"/>
    <mergeCell ref="C963:C967"/>
    <mergeCell ref="G964:G967"/>
    <mergeCell ref="H964:H967"/>
    <mergeCell ref="A968:A971"/>
    <mergeCell ref="I964:I967"/>
    <mergeCell ref="J964:J967"/>
    <mergeCell ref="K1005:K1006"/>
    <mergeCell ref="L1032:O1032"/>
    <mergeCell ref="B1025:B1026"/>
    <mergeCell ref="C1025:C1026"/>
    <mergeCell ref="A1025:A1026"/>
    <mergeCell ref="G1026:J1026"/>
    <mergeCell ref="C1005:C1006"/>
    <mergeCell ref="J1020:J1021"/>
    <mergeCell ref="K1020:K1021"/>
    <mergeCell ref="A1020:A1021"/>
    <mergeCell ref="B1020:B1021"/>
    <mergeCell ref="C1020:C1021"/>
    <mergeCell ref="G1020:G1021"/>
    <mergeCell ref="A1011:A1012"/>
    <mergeCell ref="B1011:B1012"/>
    <mergeCell ref="A1018:A1019"/>
    <mergeCell ref="B1018:B1019"/>
    <mergeCell ref="C1018:C1019"/>
    <mergeCell ref="H1011:H1012"/>
    <mergeCell ref="I1011:I1012"/>
    <mergeCell ref="J1011:J1012"/>
    <mergeCell ref="G1011:G1012"/>
    <mergeCell ref="F1009:F1010"/>
    <mergeCell ref="C1009:C1010"/>
    <mergeCell ref="D1009:D1010"/>
    <mergeCell ref="E1009:E1010"/>
    <mergeCell ref="C1053:C1054"/>
    <mergeCell ref="F1074:F1075"/>
    <mergeCell ref="G1074:G1075"/>
    <mergeCell ref="G1054:J1054"/>
    <mergeCell ref="C1046:C1047"/>
    <mergeCell ref="D1046:D1047"/>
    <mergeCell ref="E1046:E1047"/>
    <mergeCell ref="H1074:H1075"/>
    <mergeCell ref="L1034:O1034"/>
    <mergeCell ref="A1191:B1191"/>
    <mergeCell ref="A1127:A1128"/>
    <mergeCell ref="L1127:L1128"/>
    <mergeCell ref="K1127:K1128"/>
    <mergeCell ref="G1174:J1174"/>
    <mergeCell ref="G1166:J1166"/>
    <mergeCell ref="G1132:J1132"/>
    <mergeCell ref="G1133:J1133"/>
    <mergeCell ref="G1134:J1134"/>
    <mergeCell ref="B1127:B1128"/>
    <mergeCell ref="D1127:D1128"/>
    <mergeCell ref="E1127:E1128"/>
    <mergeCell ref="C1127:C1128"/>
    <mergeCell ref="F1127:F1128"/>
    <mergeCell ref="J1127:J1128"/>
    <mergeCell ref="B1098:B1100"/>
    <mergeCell ref="L1158:L1159"/>
    <mergeCell ref="E1155:E1156"/>
    <mergeCell ref="F1155:F1156"/>
    <mergeCell ref="G1155:J1156"/>
    <mergeCell ref="G1168:J1168"/>
    <mergeCell ref="K1135:K1137"/>
    <mergeCell ref="G1169:J1169"/>
    <mergeCell ref="D1111:D1112"/>
    <mergeCell ref="E1111:E1112"/>
    <mergeCell ref="F1111:F1112"/>
    <mergeCell ref="J795:J796"/>
    <mergeCell ref="K795:K796"/>
    <mergeCell ref="H712:I712"/>
    <mergeCell ref="K1038:K1040"/>
    <mergeCell ref="G1041:J1041"/>
    <mergeCell ref="G1042:J1042"/>
    <mergeCell ref="A1046:A1047"/>
    <mergeCell ref="B1046:B1047"/>
    <mergeCell ref="G846:J848"/>
    <mergeCell ref="K846:K848"/>
    <mergeCell ref="D849:E849"/>
    <mergeCell ref="G849:J854"/>
    <mergeCell ref="F1046:F1047"/>
    <mergeCell ref="A1038:A1043"/>
    <mergeCell ref="B1038:B1043"/>
    <mergeCell ref="C1038:C1043"/>
    <mergeCell ref="K1088:K1089"/>
    <mergeCell ref="A1072:A1073"/>
    <mergeCell ref="A1074:A1075"/>
    <mergeCell ref="C1074:C1075"/>
    <mergeCell ref="D1074:D1075"/>
    <mergeCell ref="G1038:J1040"/>
    <mergeCell ref="G819:G821"/>
    <mergeCell ref="G822:G823"/>
    <mergeCell ref="H819:H821"/>
    <mergeCell ref="H822:H823"/>
    <mergeCell ref="D1038:D1039"/>
    <mergeCell ref="E1038:E1039"/>
    <mergeCell ref="C1088:C1089"/>
    <mergeCell ref="L144:L145"/>
    <mergeCell ref="G708:G710"/>
    <mergeCell ref="H708:H710"/>
    <mergeCell ref="I708:I710"/>
    <mergeCell ref="J708:J710"/>
    <mergeCell ref="K708:K710"/>
    <mergeCell ref="L441:L442"/>
    <mergeCell ref="B328:B329"/>
    <mergeCell ref="C328:C329"/>
    <mergeCell ref="L1033:O1033"/>
    <mergeCell ref="H1020:H1021"/>
    <mergeCell ref="I1020:I1021"/>
    <mergeCell ref="J958:J961"/>
    <mergeCell ref="K958:K961"/>
    <mergeCell ref="H961:H962"/>
    <mergeCell ref="I961:I962"/>
    <mergeCell ref="G963:J963"/>
    <mergeCell ref="C936:C937"/>
    <mergeCell ref="D936:D937"/>
    <mergeCell ref="B997:B999"/>
    <mergeCell ref="G512:G513"/>
    <mergeCell ref="H512:H513"/>
    <mergeCell ref="I512:I513"/>
    <mergeCell ref="D582:F582"/>
    <mergeCell ref="J979:J982"/>
    <mergeCell ref="K979:K982"/>
    <mergeCell ref="G983:K983"/>
    <mergeCell ref="B986:B988"/>
    <mergeCell ref="C376:C378"/>
    <mergeCell ref="G253:J253"/>
    <mergeCell ref="D312:D314"/>
    <mergeCell ref="I355:I357"/>
    <mergeCell ref="D1088:D1089"/>
    <mergeCell ref="E1088:E1089"/>
    <mergeCell ref="K1098:K1100"/>
    <mergeCell ref="B1053:B1054"/>
    <mergeCell ref="B1074:B1075"/>
    <mergeCell ref="E936:E937"/>
    <mergeCell ref="F936:F937"/>
    <mergeCell ref="K843:K845"/>
    <mergeCell ref="J1088:J1089"/>
    <mergeCell ref="A1088:A1089"/>
    <mergeCell ref="B1088:B1089"/>
    <mergeCell ref="A1069:A1071"/>
    <mergeCell ref="B1069:B1071"/>
    <mergeCell ref="C1069:C1071"/>
    <mergeCell ref="B1005:B1006"/>
    <mergeCell ref="A1005:A1006"/>
    <mergeCell ref="D1014:F1014"/>
    <mergeCell ref="F1088:F1089"/>
    <mergeCell ref="G1088:G1089"/>
    <mergeCell ref="H1088:H1089"/>
    <mergeCell ref="G1069:J1070"/>
    <mergeCell ref="G1098:G1100"/>
    <mergeCell ref="H1098:H1100"/>
    <mergeCell ref="I1098:I1100"/>
    <mergeCell ref="J1098:J1100"/>
    <mergeCell ref="E1074:E1075"/>
    <mergeCell ref="F1080:F1081"/>
    <mergeCell ref="B1072:B1073"/>
    <mergeCell ref="F1038:F1039"/>
    <mergeCell ref="J1074:J1075"/>
    <mergeCell ref="K1080:K1081"/>
    <mergeCell ref="B1065:B1068"/>
    <mergeCell ref="A26:A27"/>
    <mergeCell ref="C26:C27"/>
    <mergeCell ref="D1066:D1067"/>
    <mergeCell ref="E1066:E1067"/>
    <mergeCell ref="F1066:F1067"/>
    <mergeCell ref="G1065:G1068"/>
    <mergeCell ref="H1065:H1068"/>
    <mergeCell ref="I1065:I1068"/>
    <mergeCell ref="J1065:J1068"/>
    <mergeCell ref="K1065:K1068"/>
    <mergeCell ref="C427:C430"/>
    <mergeCell ref="B427:B430"/>
    <mergeCell ref="G911:G912"/>
    <mergeCell ref="H911:H912"/>
    <mergeCell ref="A1053:A1054"/>
    <mergeCell ref="A956:A957"/>
    <mergeCell ref="A953:A955"/>
    <mergeCell ref="A69:A72"/>
    <mergeCell ref="K737:K739"/>
    <mergeCell ref="K593:K595"/>
    <mergeCell ref="K400:K403"/>
    <mergeCell ref="K721:K728"/>
    <mergeCell ref="A312:A314"/>
    <mergeCell ref="K733:K736"/>
    <mergeCell ref="A721:A728"/>
    <mergeCell ref="I822:I823"/>
    <mergeCell ref="J819:J823"/>
    <mergeCell ref="K819:K823"/>
    <mergeCell ref="I538:I542"/>
    <mergeCell ref="K300:K301"/>
    <mergeCell ref="K302:K304"/>
    <mergeCell ref="C574:C587"/>
    <mergeCell ref="G1171:J1171"/>
    <mergeCell ref="B1171:B1172"/>
    <mergeCell ref="K1074:K1075"/>
    <mergeCell ref="B1080:B1081"/>
    <mergeCell ref="C1080:C1081"/>
    <mergeCell ref="D1080:D1081"/>
    <mergeCell ref="E1080:E1081"/>
    <mergeCell ref="A1098:A1100"/>
    <mergeCell ref="A1080:A1081"/>
    <mergeCell ref="H787:H788"/>
    <mergeCell ref="I787:I788"/>
    <mergeCell ref="J787:J788"/>
    <mergeCell ref="G218:J218"/>
    <mergeCell ref="B1009:B1010"/>
    <mergeCell ref="A1009:A1010"/>
    <mergeCell ref="C1171:C1172"/>
    <mergeCell ref="D1171:D1172"/>
    <mergeCell ref="E1171:E1172"/>
    <mergeCell ref="F1171:F1172"/>
    <mergeCell ref="G1172:J1172"/>
    <mergeCell ref="G1162:J1162"/>
    <mergeCell ref="A427:A430"/>
    <mergeCell ref="G428:J429"/>
    <mergeCell ref="G1144:J1144"/>
    <mergeCell ref="G1053:J1053"/>
    <mergeCell ref="B470:B472"/>
    <mergeCell ref="C470:C472"/>
    <mergeCell ref="C956:C957"/>
    <mergeCell ref="B956:B957"/>
    <mergeCell ref="D512:E512"/>
    <mergeCell ref="D1155:D1156"/>
    <mergeCell ref="C1098:C1100"/>
    <mergeCell ref="C1155:C1156"/>
    <mergeCell ref="B1155:B1156"/>
    <mergeCell ref="A1155:A1156"/>
    <mergeCell ref="A997:A999"/>
    <mergeCell ref="C997:C999"/>
    <mergeCell ref="A1065:A1068"/>
    <mergeCell ref="C1065:C1068"/>
    <mergeCell ref="A768:A769"/>
    <mergeCell ref="B768:B769"/>
    <mergeCell ref="C768:C769"/>
    <mergeCell ref="D768:D769"/>
    <mergeCell ref="E768:E769"/>
    <mergeCell ref="F768:F769"/>
    <mergeCell ref="B312:B314"/>
    <mergeCell ref="C312:C314"/>
    <mergeCell ref="G124:J124"/>
    <mergeCell ref="E312:E314"/>
    <mergeCell ref="F312:F314"/>
    <mergeCell ref="A490:A493"/>
    <mergeCell ref="G415:J415"/>
    <mergeCell ref="J355:J357"/>
    <mergeCell ref="A376:A378"/>
    <mergeCell ref="B376:B378"/>
    <mergeCell ref="J721:J728"/>
    <mergeCell ref="A733:A736"/>
    <mergeCell ref="B733:B736"/>
    <mergeCell ref="C733:C736"/>
    <mergeCell ref="G733:G736"/>
    <mergeCell ref="H733:H736"/>
    <mergeCell ref="I733:I736"/>
    <mergeCell ref="J733:J736"/>
    <mergeCell ref="B1151:B1152"/>
    <mergeCell ref="I1151:I1152"/>
    <mergeCell ref="J1151:J1152"/>
    <mergeCell ref="G377:G378"/>
    <mergeCell ref="H377:H378"/>
    <mergeCell ref="I377:I378"/>
    <mergeCell ref="G370:G371"/>
    <mergeCell ref="H370:H371"/>
    <mergeCell ref="I370:I371"/>
    <mergeCell ref="J370:J371"/>
    <mergeCell ref="G787:G788"/>
    <mergeCell ref="G737:G739"/>
    <mergeCell ref="H737:H739"/>
    <mergeCell ref="I737:I739"/>
    <mergeCell ref="J737:J739"/>
    <mergeCell ref="G593:G595"/>
    <mergeCell ref="H593:H595"/>
    <mergeCell ref="I593:I595"/>
    <mergeCell ref="J593:J595"/>
    <mergeCell ref="G400:G403"/>
    <mergeCell ref="H400:H403"/>
    <mergeCell ref="I400:I403"/>
    <mergeCell ref="J400:J403"/>
    <mergeCell ref="G647:J647"/>
    <mergeCell ref="I1074:I1075"/>
    <mergeCell ref="G586:J586"/>
    <mergeCell ref="I1088:I1089"/>
    <mergeCell ref="J1080:J1081"/>
    <mergeCell ref="G1005:G1006"/>
    <mergeCell ref="H1005:H1006"/>
    <mergeCell ref="I1005:I1006"/>
    <mergeCell ref="J1005:J1006"/>
    <mergeCell ref="H711:I711"/>
    <mergeCell ref="L1171:L1172"/>
    <mergeCell ref="A1171:A1172"/>
    <mergeCell ref="C206:C211"/>
    <mergeCell ref="B206:B211"/>
    <mergeCell ref="K355:K357"/>
    <mergeCell ref="C150:C155"/>
    <mergeCell ref="B150:B155"/>
    <mergeCell ref="A150:A155"/>
    <mergeCell ref="G150:J150"/>
    <mergeCell ref="G151:J151"/>
    <mergeCell ref="G152:J152"/>
    <mergeCell ref="G153:J153"/>
    <mergeCell ref="G154:J154"/>
    <mergeCell ref="B526:B535"/>
    <mergeCell ref="A526:A535"/>
    <mergeCell ref="C526:C535"/>
    <mergeCell ref="G533:J535"/>
    <mergeCell ref="D208:E208"/>
    <mergeCell ref="G644:J646"/>
    <mergeCell ref="K644:K646"/>
    <mergeCell ref="C217:C218"/>
    <mergeCell ref="G931:G933"/>
    <mergeCell ref="H931:H933"/>
    <mergeCell ref="I931:I933"/>
    <mergeCell ref="G916:J916"/>
    <mergeCell ref="K1151:K1152"/>
    <mergeCell ref="A787:A788"/>
    <mergeCell ref="B787:B788"/>
    <mergeCell ref="A1139:A1140"/>
    <mergeCell ref="B1139:B1140"/>
    <mergeCell ref="C12:C18"/>
    <mergeCell ref="G387:J387"/>
    <mergeCell ref="B385:B388"/>
    <mergeCell ref="A385:A388"/>
    <mergeCell ref="C385:C388"/>
    <mergeCell ref="G388:J388"/>
    <mergeCell ref="C433:C435"/>
    <mergeCell ref="B433:B435"/>
    <mergeCell ref="A433:A435"/>
    <mergeCell ref="G434:J435"/>
    <mergeCell ref="B574:B584"/>
    <mergeCell ref="A574:A584"/>
    <mergeCell ref="D583:D584"/>
    <mergeCell ref="E583:E584"/>
    <mergeCell ref="F583:F584"/>
    <mergeCell ref="G584:J584"/>
    <mergeCell ref="C787:C788"/>
    <mergeCell ref="B69:B72"/>
    <mergeCell ref="C69:C72"/>
    <mergeCell ref="G108:J108"/>
    <mergeCell ref="D513:E513"/>
    <mergeCell ref="J538:J542"/>
    <mergeCell ref="C770:C771"/>
    <mergeCell ref="D770:D771"/>
    <mergeCell ref="E770:E771"/>
    <mergeCell ref="F770:F771"/>
    <mergeCell ref="G745:G746"/>
    <mergeCell ref="H745:H746"/>
    <mergeCell ref="I745:I746"/>
    <mergeCell ref="J745:J746"/>
    <mergeCell ref="J302:J304"/>
    <mergeCell ref="G585:J585"/>
    <mergeCell ref="B407:B408"/>
    <mergeCell ref="A407:A408"/>
    <mergeCell ref="C407:C408"/>
    <mergeCell ref="G408:J408"/>
    <mergeCell ref="G1181:K1181"/>
    <mergeCell ref="G1183:K1183"/>
    <mergeCell ref="B181:B182"/>
    <mergeCell ref="C181:C182"/>
    <mergeCell ref="D182:F182"/>
    <mergeCell ref="A181:A182"/>
    <mergeCell ref="G592:I592"/>
    <mergeCell ref="G1177:J1177"/>
    <mergeCell ref="B797:B801"/>
    <mergeCell ref="A797:A801"/>
    <mergeCell ref="C801:F801"/>
    <mergeCell ref="C1139:C1140"/>
    <mergeCell ref="G1140:J1140"/>
    <mergeCell ref="G900:J901"/>
    <mergeCell ref="D900:D901"/>
    <mergeCell ref="E900:E901"/>
    <mergeCell ref="B899:B901"/>
    <mergeCell ref="A899:A901"/>
    <mergeCell ref="K900:K901"/>
    <mergeCell ref="G902:J902"/>
    <mergeCell ref="G1175:J1175"/>
    <mergeCell ref="A1151:A1152"/>
    <mergeCell ref="C1151:C1152"/>
    <mergeCell ref="D1151:D1152"/>
    <mergeCell ref="E1151:E1152"/>
    <mergeCell ref="F1151:F1152"/>
    <mergeCell ref="G1151:G1152"/>
    <mergeCell ref="H1151:H1152"/>
    <mergeCell ref="G1186:J1186"/>
    <mergeCell ref="L507:L510"/>
    <mergeCell ref="B514:B516"/>
    <mergeCell ref="C514:C516"/>
    <mergeCell ref="A514:A516"/>
    <mergeCell ref="D515:E515"/>
    <mergeCell ref="D516:E516"/>
    <mergeCell ref="G516:J516"/>
    <mergeCell ref="G514:J515"/>
    <mergeCell ref="G1184:J1184"/>
    <mergeCell ref="G1185:K1185"/>
    <mergeCell ref="G196:J196"/>
    <mergeCell ref="G197:J197"/>
    <mergeCell ref="A194:A197"/>
    <mergeCell ref="B194:B197"/>
    <mergeCell ref="C194:C197"/>
    <mergeCell ref="G486:J486"/>
    <mergeCell ref="B485:B486"/>
    <mergeCell ref="A485:A486"/>
    <mergeCell ref="A470:A472"/>
    <mergeCell ref="B748:B751"/>
    <mergeCell ref="A748:A751"/>
    <mergeCell ref="C748:C751"/>
    <mergeCell ref="G749:J749"/>
    <mergeCell ref="G750:J750"/>
    <mergeCell ref="B300:B304"/>
    <mergeCell ref="A300:A304"/>
    <mergeCell ref="C300:C304"/>
    <mergeCell ref="D300:D304"/>
    <mergeCell ref="E300:E304"/>
    <mergeCell ref="F300:F304"/>
    <mergeCell ref="J300:J30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rightToLeft="1" topLeftCell="A4" zoomScale="70" zoomScaleNormal="70" workbookViewId="0">
      <selection activeCell="D23" sqref="D23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4296" t="s">
        <v>878</v>
      </c>
      <c r="C1" s="4297"/>
      <c r="D1" s="4298"/>
    </row>
    <row r="2" spans="1:4" ht="50.1" customHeight="1" x14ac:dyDescent="0.2">
      <c r="A2" s="10" t="s">
        <v>0</v>
      </c>
      <c r="B2" s="147" t="s">
        <v>879</v>
      </c>
      <c r="C2" s="8" t="s">
        <v>862</v>
      </c>
      <c r="D2" s="148" t="s">
        <v>863</v>
      </c>
    </row>
    <row r="3" spans="1:4" ht="30" customHeight="1" x14ac:dyDescent="0.2">
      <c r="A3" s="136">
        <v>1</v>
      </c>
      <c r="B3" s="149">
        <v>9000000</v>
      </c>
      <c r="C3" s="143"/>
      <c r="D3" s="151" t="s">
        <v>913</v>
      </c>
    </row>
    <row r="4" spans="1:4" ht="30" customHeight="1" x14ac:dyDescent="0.2">
      <c r="A4" s="136">
        <v>2</v>
      </c>
      <c r="B4" s="149">
        <v>3000000</v>
      </c>
      <c r="C4" s="143"/>
      <c r="D4" s="151" t="s">
        <v>912</v>
      </c>
    </row>
    <row r="5" spans="1:4" ht="30" customHeight="1" x14ac:dyDescent="0.2">
      <c r="A5" s="136">
        <v>3</v>
      </c>
      <c r="B5" s="149">
        <v>911000</v>
      </c>
      <c r="C5" s="143"/>
      <c r="D5" s="151" t="s">
        <v>914</v>
      </c>
    </row>
    <row r="6" spans="1:4" ht="30" customHeight="1" x14ac:dyDescent="0.2">
      <c r="A6" s="136">
        <v>4</v>
      </c>
      <c r="B6" s="149">
        <v>3000000</v>
      </c>
      <c r="C6" s="132" t="s">
        <v>868</v>
      </c>
      <c r="D6" s="151" t="s">
        <v>869</v>
      </c>
    </row>
    <row r="7" spans="1:4" ht="30" customHeight="1" x14ac:dyDescent="0.2">
      <c r="A7" s="136">
        <v>5</v>
      </c>
      <c r="B7" s="149">
        <v>2000000</v>
      </c>
      <c r="C7" s="134" t="s">
        <v>880</v>
      </c>
      <c r="D7" s="151" t="s">
        <v>869</v>
      </c>
    </row>
    <row r="8" spans="1:4" ht="30" customHeight="1" x14ac:dyDescent="0.2">
      <c r="A8" s="136">
        <v>6</v>
      </c>
      <c r="B8" s="149">
        <v>2500000</v>
      </c>
      <c r="C8" s="132" t="s">
        <v>881</v>
      </c>
      <c r="D8" s="151" t="s">
        <v>869</v>
      </c>
    </row>
    <row r="9" spans="1:4" ht="30" customHeight="1" x14ac:dyDescent="0.2">
      <c r="A9" s="136">
        <v>7</v>
      </c>
      <c r="B9" s="149">
        <v>1589000</v>
      </c>
      <c r="C9" s="132" t="s">
        <v>633</v>
      </c>
      <c r="D9" s="151" t="s">
        <v>869</v>
      </c>
    </row>
    <row r="10" spans="1:4" ht="30" customHeight="1" x14ac:dyDescent="0.2">
      <c r="A10" s="218"/>
      <c r="B10" s="149">
        <v>4000000</v>
      </c>
      <c r="C10" s="2316" t="s">
        <v>3676</v>
      </c>
      <c r="D10" s="151" t="s">
        <v>4375</v>
      </c>
    </row>
    <row r="11" spans="1:4" ht="30" customHeight="1" x14ac:dyDescent="0.2">
      <c r="A11" s="218"/>
      <c r="B11" s="149">
        <v>4000000</v>
      </c>
      <c r="C11" s="504" t="s">
        <v>4121</v>
      </c>
      <c r="D11" s="151" t="s">
        <v>4682</v>
      </c>
    </row>
    <row r="12" spans="1:4" ht="30" customHeight="1" x14ac:dyDescent="0.2">
      <c r="A12" s="218"/>
      <c r="B12" s="149">
        <v>3000000</v>
      </c>
      <c r="C12" s="3392" t="s">
        <v>4542</v>
      </c>
      <c r="D12" s="151"/>
    </row>
    <row r="13" spans="1:4" ht="30" customHeight="1" x14ac:dyDescent="0.2">
      <c r="A13" s="218"/>
      <c r="B13" s="400">
        <f>SUM(B3:B12)</f>
        <v>33000000</v>
      </c>
      <c r="C13" s="504"/>
      <c r="D13" s="151"/>
    </row>
    <row r="14" spans="1:4" ht="30" customHeight="1" x14ac:dyDescent="0.2">
      <c r="A14" s="218"/>
      <c r="B14" s="149"/>
      <c r="C14" s="504"/>
      <c r="D14" s="151"/>
    </row>
    <row r="15" spans="1:4" ht="30" customHeight="1" x14ac:dyDescent="0.2">
      <c r="A15" s="218"/>
      <c r="B15" s="149"/>
      <c r="C15" s="504"/>
      <c r="D15" s="151"/>
    </row>
    <row r="16" spans="1:4" ht="30" customHeight="1" thickBot="1" x14ac:dyDescent="0.25">
      <c r="A16" s="218"/>
      <c r="B16" s="149"/>
      <c r="C16" s="504"/>
      <c r="D16" s="151"/>
    </row>
    <row r="17" spans="1:4" ht="50.1" customHeight="1" thickBot="1" x14ac:dyDescent="0.25">
      <c r="A17" s="218"/>
      <c r="B17" s="4296" t="s">
        <v>1754</v>
      </c>
      <c r="C17" s="4297"/>
      <c r="D17" s="4298"/>
    </row>
    <row r="18" spans="1:4" ht="30" customHeight="1" x14ac:dyDescent="0.2">
      <c r="A18" s="136">
        <v>8</v>
      </c>
      <c r="B18" s="149">
        <v>1060000</v>
      </c>
      <c r="C18" s="132" t="s">
        <v>1616</v>
      </c>
      <c r="D18" s="151" t="s">
        <v>1771</v>
      </c>
    </row>
    <row r="19" spans="1:4" ht="30" customHeight="1" x14ac:dyDescent="0.2">
      <c r="A19" s="136">
        <v>9</v>
      </c>
      <c r="B19" s="149">
        <v>1193000</v>
      </c>
      <c r="C19" s="132" t="s">
        <v>2689</v>
      </c>
      <c r="D19" s="151" t="s">
        <v>2744</v>
      </c>
    </row>
    <row r="20" spans="1:4" ht="30" customHeight="1" x14ac:dyDescent="0.2">
      <c r="A20" s="136">
        <v>10</v>
      </c>
      <c r="B20" s="149">
        <v>1175000</v>
      </c>
      <c r="C20" s="132" t="s">
        <v>3434</v>
      </c>
      <c r="D20" s="151" t="s">
        <v>2744</v>
      </c>
    </row>
    <row r="21" spans="1:4" ht="30" customHeight="1" x14ac:dyDescent="0.2">
      <c r="A21" s="136">
        <v>11</v>
      </c>
      <c r="B21" s="149">
        <v>1175000</v>
      </c>
      <c r="C21" s="132" t="s">
        <v>4062</v>
      </c>
      <c r="D21" s="151" t="s">
        <v>2744</v>
      </c>
    </row>
    <row r="22" spans="1:4" ht="30" customHeight="1" x14ac:dyDescent="0.2">
      <c r="A22" s="136">
        <v>12</v>
      </c>
      <c r="B22" s="149">
        <v>1400000</v>
      </c>
      <c r="C22" s="132" t="s">
        <v>4363</v>
      </c>
      <c r="D22" s="151" t="s">
        <v>2744</v>
      </c>
    </row>
    <row r="23" spans="1:4" ht="30" customHeight="1" x14ac:dyDescent="0.2">
      <c r="A23" s="136">
        <v>13</v>
      </c>
      <c r="B23" s="149">
        <v>1575000</v>
      </c>
      <c r="C23" s="132"/>
      <c r="D23" s="151" t="s">
        <v>2744</v>
      </c>
    </row>
    <row r="24" spans="1:4" ht="30" customHeight="1" x14ac:dyDescent="0.2">
      <c r="A24" s="136">
        <v>14</v>
      </c>
      <c r="B24" s="149">
        <v>1650000</v>
      </c>
      <c r="C24" s="132" t="s">
        <v>1649</v>
      </c>
      <c r="D24" s="151" t="s">
        <v>2744</v>
      </c>
    </row>
    <row r="25" spans="1:4" ht="30" customHeight="1" thickBot="1" x14ac:dyDescent="0.25">
      <c r="A25" s="98" t="s">
        <v>876</v>
      </c>
      <c r="B25" s="153">
        <f>SUM(B3:B24)</f>
        <v>75228000</v>
      </c>
      <c r="C25" s="154"/>
      <c r="D25" s="155"/>
    </row>
  </sheetData>
  <mergeCells count="2">
    <mergeCell ref="B1:D1"/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4296" t="s">
        <v>882</v>
      </c>
      <c r="C1" s="4297"/>
      <c r="D1" s="4298"/>
    </row>
    <row r="2" spans="1:4" ht="50.1" customHeight="1" x14ac:dyDescent="0.2">
      <c r="A2" s="10" t="s">
        <v>0</v>
      </c>
      <c r="B2" s="147" t="s">
        <v>879</v>
      </c>
      <c r="C2" s="8" t="s">
        <v>862</v>
      </c>
      <c r="D2" s="148" t="s">
        <v>863</v>
      </c>
    </row>
    <row r="3" spans="1:4" ht="30" customHeight="1" x14ac:dyDescent="0.2">
      <c r="A3" s="129">
        <v>1</v>
      </c>
      <c r="B3" s="149">
        <v>100000000</v>
      </c>
      <c r="C3" s="132" t="s">
        <v>883</v>
      </c>
      <c r="D3" s="151" t="s">
        <v>884</v>
      </c>
    </row>
    <row r="4" spans="1:4" ht="30" customHeight="1" x14ac:dyDescent="0.2">
      <c r="A4" s="146">
        <v>2</v>
      </c>
      <c r="B4" s="149">
        <v>30000000</v>
      </c>
      <c r="C4" s="134" t="s">
        <v>682</v>
      </c>
      <c r="D4" s="151" t="s">
        <v>884</v>
      </c>
    </row>
    <row r="5" spans="1:4" ht="30" customHeight="1" x14ac:dyDescent="0.2">
      <c r="A5" s="129">
        <v>3</v>
      </c>
      <c r="B5" s="149">
        <v>80000000</v>
      </c>
      <c r="C5" s="132" t="s">
        <v>885</v>
      </c>
      <c r="D5" s="151" t="s">
        <v>884</v>
      </c>
    </row>
    <row r="6" spans="1:4" ht="30" customHeight="1" x14ac:dyDescent="0.2">
      <c r="A6" s="146">
        <v>4</v>
      </c>
      <c r="B6" s="149">
        <v>99500000</v>
      </c>
      <c r="C6" s="132" t="s">
        <v>886</v>
      </c>
      <c r="D6" s="151" t="s">
        <v>884</v>
      </c>
    </row>
    <row r="7" spans="1:4" ht="30" customHeight="1" x14ac:dyDescent="0.2">
      <c r="A7" s="129">
        <v>5</v>
      </c>
      <c r="B7" s="149">
        <v>10500000</v>
      </c>
      <c r="C7" s="132" t="s">
        <v>887</v>
      </c>
      <c r="D7" s="151"/>
    </row>
    <row r="8" spans="1:4" ht="30" customHeight="1" x14ac:dyDescent="0.2">
      <c r="A8" s="146">
        <v>6</v>
      </c>
      <c r="B8" s="149">
        <v>100000000</v>
      </c>
      <c r="C8" s="132" t="s">
        <v>813</v>
      </c>
      <c r="D8" s="151" t="s">
        <v>884</v>
      </c>
    </row>
    <row r="9" spans="1:4" ht="30" customHeight="1" x14ac:dyDescent="0.2">
      <c r="A9" s="129">
        <v>7</v>
      </c>
      <c r="B9" s="149"/>
      <c r="C9" s="132"/>
      <c r="D9" s="151"/>
    </row>
    <row r="10" spans="1:4" ht="30" customHeight="1" x14ac:dyDescent="0.2">
      <c r="A10" s="146">
        <v>8</v>
      </c>
      <c r="B10" s="149"/>
      <c r="C10" s="132"/>
      <c r="D10" s="151"/>
    </row>
    <row r="11" spans="1:4" ht="30" customHeight="1" x14ac:dyDescent="0.2">
      <c r="A11" s="129">
        <v>9</v>
      </c>
      <c r="B11" s="149"/>
      <c r="C11" s="132"/>
      <c r="D11" s="151"/>
    </row>
    <row r="12" spans="1:4" ht="30" customHeight="1" x14ac:dyDescent="0.2">
      <c r="A12" s="146">
        <v>10</v>
      </c>
      <c r="B12" s="149"/>
      <c r="C12" s="132"/>
      <c r="D12" s="152"/>
    </row>
    <row r="13" spans="1:4" ht="30" customHeight="1" x14ac:dyDescent="0.2">
      <c r="A13" s="129">
        <v>11</v>
      </c>
      <c r="B13" s="149"/>
      <c r="C13" s="132"/>
      <c r="D13" s="151"/>
    </row>
    <row r="14" spans="1:4" ht="30" customHeight="1" x14ac:dyDescent="0.2">
      <c r="A14" s="146">
        <v>12</v>
      </c>
      <c r="B14" s="149"/>
      <c r="C14" s="132"/>
      <c r="D14" s="151"/>
    </row>
    <row r="15" spans="1:4" ht="30" customHeight="1" thickBot="1" x14ac:dyDescent="0.25">
      <c r="A15" s="98" t="s">
        <v>876</v>
      </c>
      <c r="B15" s="153">
        <f>SUM(B3:B14)</f>
        <v>420000000</v>
      </c>
      <c r="C15" s="154"/>
      <c r="D15" s="155"/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rightToLeft="1" topLeftCell="A88" zoomScale="60" zoomScaleNormal="60" workbookViewId="0">
      <selection activeCell="C47" sqref="C47:D47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4342" t="s">
        <v>1909</v>
      </c>
      <c r="B1" s="4343"/>
      <c r="C1" s="4343"/>
      <c r="D1" s="4343"/>
      <c r="E1" s="4344"/>
    </row>
    <row r="2" spans="1:5" ht="50.1" customHeight="1" thickBot="1" x14ac:dyDescent="0.25">
      <c r="A2" s="584" t="s">
        <v>0</v>
      </c>
      <c r="B2" s="585" t="s">
        <v>879</v>
      </c>
      <c r="C2" s="4350" t="s">
        <v>1911</v>
      </c>
      <c r="D2" s="4351"/>
      <c r="E2" s="586" t="s">
        <v>268</v>
      </c>
    </row>
    <row r="3" spans="1:5" ht="50.1" customHeight="1" x14ac:dyDescent="0.2">
      <c r="A3" s="192">
        <v>1</v>
      </c>
      <c r="B3" s="149">
        <v>700000000</v>
      </c>
      <c r="C3" s="4346" t="s">
        <v>1760</v>
      </c>
      <c r="D3" s="4347"/>
      <c r="E3" s="583"/>
    </row>
    <row r="4" spans="1:5" ht="50.1" customHeight="1" x14ac:dyDescent="0.2">
      <c r="A4" s="192">
        <v>2</v>
      </c>
      <c r="B4" s="149">
        <v>650000000</v>
      </c>
      <c r="C4" s="4348" t="s">
        <v>1759</v>
      </c>
      <c r="D4" s="4349"/>
      <c r="E4" s="571" t="s">
        <v>1912</v>
      </c>
    </row>
    <row r="5" spans="1:5" ht="50.1" customHeight="1" x14ac:dyDescent="0.2">
      <c r="A5" s="192">
        <v>3</v>
      </c>
      <c r="B5" s="149">
        <v>650000000</v>
      </c>
      <c r="C5" s="4348" t="s">
        <v>1898</v>
      </c>
      <c r="D5" s="4349"/>
      <c r="E5" s="571" t="s">
        <v>1912</v>
      </c>
    </row>
    <row r="6" spans="1:5" ht="50.1" customHeight="1" thickBot="1" x14ac:dyDescent="0.25">
      <c r="A6" s="581">
        <v>4</v>
      </c>
      <c r="B6" s="196">
        <v>200000000</v>
      </c>
      <c r="C6" s="4352" t="s">
        <v>1767</v>
      </c>
      <c r="D6" s="4353"/>
      <c r="E6" s="4354"/>
    </row>
    <row r="7" spans="1:5" ht="30" customHeight="1" x14ac:dyDescent="0.2">
      <c r="A7" s="579"/>
      <c r="B7" s="544"/>
      <c r="C7" s="580"/>
      <c r="D7" s="580"/>
    </row>
    <row r="8" spans="1:5" ht="30" customHeight="1" thickBot="1" x14ac:dyDescent="0.25">
      <c r="A8" s="579"/>
      <c r="B8" s="544"/>
      <c r="C8" s="580"/>
      <c r="D8" s="580"/>
    </row>
    <row r="9" spans="1:5" ht="50.1" customHeight="1" thickBot="1" x14ac:dyDescent="0.25">
      <c r="A9" s="4336" t="s">
        <v>1754</v>
      </c>
      <c r="B9" s="4337"/>
      <c r="C9" s="4337"/>
      <c r="D9" s="4337"/>
      <c r="E9" s="4338"/>
    </row>
    <row r="10" spans="1:5" ht="50.1" customHeight="1" thickBot="1" x14ac:dyDescent="0.25">
      <c r="A10" s="592" t="s">
        <v>0</v>
      </c>
      <c r="B10" s="593" t="s">
        <v>879</v>
      </c>
      <c r="C10" s="593" t="s">
        <v>862</v>
      </c>
      <c r="D10" s="593" t="s">
        <v>1910</v>
      </c>
      <c r="E10" s="594" t="s">
        <v>268</v>
      </c>
    </row>
    <row r="11" spans="1:5" ht="39.950000000000003" customHeight="1" x14ac:dyDescent="0.2">
      <c r="A11" s="792">
        <v>1</v>
      </c>
      <c r="B11" s="596">
        <v>20000000</v>
      </c>
      <c r="C11" s="552" t="s">
        <v>1749</v>
      </c>
      <c r="D11" s="588" t="s">
        <v>1755</v>
      </c>
      <c r="E11" s="583"/>
    </row>
    <row r="12" spans="1:5" ht="39.950000000000003" customHeight="1" x14ac:dyDescent="0.2">
      <c r="A12" s="791">
        <v>2</v>
      </c>
      <c r="B12" s="596">
        <v>50000000</v>
      </c>
      <c r="C12" s="524" t="s">
        <v>1701</v>
      </c>
      <c r="D12" s="589" t="s">
        <v>8</v>
      </c>
      <c r="E12" s="582"/>
    </row>
    <row r="13" spans="1:5" ht="39.950000000000003" customHeight="1" x14ac:dyDescent="0.2">
      <c r="A13" s="597">
        <v>3</v>
      </c>
      <c r="B13" s="598">
        <v>5000000</v>
      </c>
      <c r="C13" s="565" t="s">
        <v>1756</v>
      </c>
      <c r="D13" s="453" t="s">
        <v>8</v>
      </c>
      <c r="E13" s="582"/>
    </row>
    <row r="14" spans="1:5" ht="39.950000000000003" customHeight="1" x14ac:dyDescent="0.2">
      <c r="A14" s="597">
        <v>4</v>
      </c>
      <c r="B14" s="598">
        <v>10000000</v>
      </c>
      <c r="C14" s="565" t="s">
        <v>873</v>
      </c>
      <c r="D14" s="453" t="s">
        <v>1757</v>
      </c>
      <c r="E14" s="582"/>
    </row>
    <row r="15" spans="1:5" ht="39.950000000000003" customHeight="1" x14ac:dyDescent="0.2">
      <c r="A15" s="597">
        <v>5</v>
      </c>
      <c r="B15" s="598">
        <v>20000000</v>
      </c>
      <c r="C15" s="565" t="s">
        <v>873</v>
      </c>
      <c r="D15" s="453" t="s">
        <v>1757</v>
      </c>
      <c r="E15" s="582"/>
    </row>
    <row r="16" spans="1:5" ht="39.950000000000003" customHeight="1" x14ac:dyDescent="0.2">
      <c r="A16" s="597">
        <v>6</v>
      </c>
      <c r="B16" s="596">
        <v>1000000</v>
      </c>
      <c r="C16" s="524" t="s">
        <v>323</v>
      </c>
      <c r="D16" s="589" t="s">
        <v>8</v>
      </c>
      <c r="E16" s="582"/>
    </row>
    <row r="17" spans="1:8" ht="39.950000000000003" customHeight="1" x14ac:dyDescent="0.2">
      <c r="A17" s="597">
        <v>7</v>
      </c>
      <c r="B17" s="596">
        <v>10000000</v>
      </c>
      <c r="C17" s="524" t="s">
        <v>734</v>
      </c>
      <c r="D17" s="589" t="s">
        <v>8</v>
      </c>
      <c r="E17" s="582"/>
    </row>
    <row r="18" spans="1:8" ht="39.950000000000003" customHeight="1" x14ac:dyDescent="0.2">
      <c r="A18" s="597">
        <v>8</v>
      </c>
      <c r="B18" s="596">
        <v>5000000</v>
      </c>
      <c r="C18" s="524" t="s">
        <v>734</v>
      </c>
      <c r="D18" s="589" t="s">
        <v>8</v>
      </c>
      <c r="E18" s="582"/>
    </row>
    <row r="19" spans="1:8" ht="39.950000000000003" customHeight="1" x14ac:dyDescent="0.2">
      <c r="A19" s="597">
        <v>9</v>
      </c>
      <c r="B19" s="596">
        <v>5000000</v>
      </c>
      <c r="C19" s="566" t="s">
        <v>904</v>
      </c>
      <c r="D19" s="595" t="s">
        <v>1758</v>
      </c>
      <c r="E19" s="582"/>
    </row>
    <row r="20" spans="1:8" ht="39.950000000000003" customHeight="1" x14ac:dyDescent="0.2">
      <c r="A20" s="597">
        <v>10</v>
      </c>
      <c r="B20" s="596">
        <v>7200000</v>
      </c>
      <c r="C20" s="524" t="s">
        <v>1266</v>
      </c>
      <c r="D20" s="589" t="s">
        <v>1761</v>
      </c>
      <c r="E20" s="582"/>
    </row>
    <row r="21" spans="1:8" ht="39.950000000000003" customHeight="1" x14ac:dyDescent="0.2">
      <c r="A21" s="441">
        <v>11</v>
      </c>
      <c r="B21" s="14">
        <v>42000000</v>
      </c>
      <c r="C21" s="566" t="s">
        <v>508</v>
      </c>
      <c r="D21" s="590" t="s">
        <v>8</v>
      </c>
      <c r="E21" s="582"/>
    </row>
    <row r="22" spans="1:8" ht="39.950000000000003" customHeight="1" x14ac:dyDescent="0.2">
      <c r="A22" s="790"/>
      <c r="B22" s="14">
        <v>30000000</v>
      </c>
      <c r="C22" s="566" t="s">
        <v>379</v>
      </c>
      <c r="D22" s="14" t="s">
        <v>8</v>
      </c>
      <c r="E22" s="582"/>
    </row>
    <row r="23" spans="1:8" ht="39.950000000000003" customHeight="1" x14ac:dyDescent="0.2">
      <c r="A23" s="790"/>
      <c r="B23" s="14">
        <v>1000000</v>
      </c>
      <c r="C23" s="566" t="s">
        <v>1881</v>
      </c>
      <c r="D23" s="14" t="s">
        <v>1933</v>
      </c>
      <c r="E23" s="582"/>
      <c r="H23" s="402"/>
    </row>
    <row r="24" spans="1:8" ht="39.950000000000003" customHeight="1" x14ac:dyDescent="0.2">
      <c r="A24" s="790"/>
      <c r="B24" s="14">
        <v>14000000</v>
      </c>
      <c r="C24" s="566" t="s">
        <v>1881</v>
      </c>
      <c r="D24" s="14" t="s">
        <v>1933</v>
      </c>
      <c r="E24" s="582"/>
      <c r="H24" s="402"/>
    </row>
    <row r="25" spans="1:8" ht="39.950000000000003" customHeight="1" x14ac:dyDescent="0.2">
      <c r="A25" s="790"/>
      <c r="B25" s="14">
        <v>20000000</v>
      </c>
      <c r="C25" s="566" t="s">
        <v>1881</v>
      </c>
      <c r="D25" s="14" t="s">
        <v>1933</v>
      </c>
      <c r="E25" s="582"/>
    </row>
    <row r="26" spans="1:8" ht="39.950000000000003" customHeight="1" x14ac:dyDescent="0.2">
      <c r="A26" s="790"/>
      <c r="B26" s="14">
        <v>37400000</v>
      </c>
      <c r="C26" s="566" t="s">
        <v>1994</v>
      </c>
      <c r="D26" s="14" t="s">
        <v>1933</v>
      </c>
      <c r="E26" s="582"/>
    </row>
    <row r="27" spans="1:8" ht="39.950000000000003" customHeight="1" x14ac:dyDescent="0.2">
      <c r="A27" s="790"/>
      <c r="B27" s="768">
        <v>2000000</v>
      </c>
      <c r="C27" s="566"/>
      <c r="D27" s="768"/>
      <c r="E27" s="582"/>
    </row>
    <row r="28" spans="1:8" ht="39.950000000000003" customHeight="1" x14ac:dyDescent="0.2">
      <c r="A28" s="790"/>
      <c r="B28" s="768">
        <v>17300000</v>
      </c>
      <c r="C28" s="566" t="s">
        <v>2296</v>
      </c>
      <c r="D28" s="768" t="s">
        <v>1937</v>
      </c>
      <c r="E28" s="582"/>
    </row>
    <row r="29" spans="1:8" ht="39.950000000000003" customHeight="1" x14ac:dyDescent="0.2">
      <c r="A29" s="790"/>
      <c r="B29" s="1074"/>
      <c r="C29" s="1079"/>
      <c r="D29" s="1074"/>
      <c r="E29" s="582"/>
    </row>
    <row r="30" spans="1:8" ht="39.950000000000003" customHeight="1" x14ac:dyDescent="0.2">
      <c r="A30" s="575" t="s">
        <v>876</v>
      </c>
      <c r="B30" s="4303">
        <f>SUM(B11:B29)</f>
        <v>296900000</v>
      </c>
      <c r="C30" s="4324"/>
      <c r="D30" s="4355"/>
      <c r="E30" s="587" t="s">
        <v>1906</v>
      </c>
    </row>
    <row r="31" spans="1:8" ht="39.950000000000003" customHeight="1" thickBot="1" x14ac:dyDescent="0.25">
      <c r="A31" s="186" t="s">
        <v>1907</v>
      </c>
      <c r="B31" s="4339">
        <f>B30-B13-B14-B15</f>
        <v>261900000</v>
      </c>
      <c r="C31" s="4340"/>
      <c r="D31" s="4341"/>
      <c r="E31" s="591"/>
    </row>
    <row r="32" spans="1:8" ht="30" customHeight="1" x14ac:dyDescent="0.2"/>
    <row r="33" spans="1:5" ht="30" customHeight="1" thickBot="1" x14ac:dyDescent="0.25">
      <c r="A33" s="181"/>
      <c r="B33" s="184"/>
      <c r="C33" s="184"/>
      <c r="D33" s="570"/>
      <c r="E33" s="570"/>
    </row>
    <row r="34" spans="1:5" ht="50.1" customHeight="1" x14ac:dyDescent="0.2">
      <c r="A34" s="4342" t="s">
        <v>1900</v>
      </c>
      <c r="B34" s="4343"/>
      <c r="C34" s="4343"/>
      <c r="D34" s="4343"/>
      <c r="E34" s="4344"/>
    </row>
    <row r="35" spans="1:5" ht="50.1" customHeight="1" x14ac:dyDescent="0.2">
      <c r="A35" s="576">
        <v>1</v>
      </c>
      <c r="B35" s="545">
        <v>700000000</v>
      </c>
      <c r="C35" s="568">
        <v>6.0999999999999999E-2</v>
      </c>
      <c r="D35" s="556">
        <v>42500000</v>
      </c>
      <c r="E35" s="571" t="s">
        <v>1901</v>
      </c>
    </row>
    <row r="36" spans="1:5" ht="50.1" customHeight="1" x14ac:dyDescent="0.2">
      <c r="A36" s="578">
        <v>2</v>
      </c>
      <c r="B36" s="554">
        <v>700000000</v>
      </c>
      <c r="C36" s="568">
        <v>6.0999999999999999E-2</v>
      </c>
      <c r="D36" s="554">
        <v>42500000</v>
      </c>
      <c r="E36" s="571" t="s">
        <v>1899</v>
      </c>
    </row>
    <row r="37" spans="1:5" ht="50.1" customHeight="1" x14ac:dyDescent="0.2">
      <c r="A37" s="578">
        <v>3</v>
      </c>
      <c r="B37" s="554">
        <v>650000000</v>
      </c>
      <c r="C37" s="568">
        <v>0.08</v>
      </c>
      <c r="D37" s="554">
        <v>17330000</v>
      </c>
      <c r="E37" s="571" t="s">
        <v>1902</v>
      </c>
    </row>
    <row r="38" spans="1:5" ht="50.1" customHeight="1" x14ac:dyDescent="0.2">
      <c r="A38" s="577">
        <v>4</v>
      </c>
      <c r="B38" s="445">
        <v>2000000000</v>
      </c>
      <c r="C38" s="569">
        <v>0.08</v>
      </c>
      <c r="D38" s="445">
        <f>B38*C38</f>
        <v>160000000</v>
      </c>
      <c r="E38" s="572" t="s">
        <v>1903</v>
      </c>
    </row>
    <row r="39" spans="1:5" ht="50.1" customHeight="1" x14ac:dyDescent="0.2">
      <c r="A39" s="443" t="s">
        <v>1908</v>
      </c>
      <c r="B39" s="4332">
        <f>D35+D36+D37+D38</f>
        <v>262330000</v>
      </c>
      <c r="C39" s="4332"/>
      <c r="D39" s="4332"/>
      <c r="E39" s="4333"/>
    </row>
    <row r="40" spans="1:5" ht="50.1" customHeight="1" x14ac:dyDescent="0.2">
      <c r="A40" s="573" t="s">
        <v>1904</v>
      </c>
      <c r="B40" s="4332">
        <f>B31</f>
        <v>261900000</v>
      </c>
      <c r="C40" s="4332"/>
      <c r="D40" s="4332"/>
      <c r="E40" s="4333"/>
    </row>
    <row r="41" spans="1:5" ht="50.1" customHeight="1" thickBot="1" x14ac:dyDescent="0.25">
      <c r="A41" s="574" t="s">
        <v>1905</v>
      </c>
      <c r="B41" s="4334">
        <f>B39-B40</f>
        <v>430000</v>
      </c>
      <c r="C41" s="4334"/>
      <c r="D41" s="4334"/>
      <c r="E41" s="4335"/>
    </row>
    <row r="42" spans="1:5" ht="50.1" customHeight="1" x14ac:dyDescent="0.2">
      <c r="A42" s="567"/>
      <c r="B42" s="567"/>
      <c r="C42" s="567"/>
      <c r="D42" s="567"/>
      <c r="E42" s="567"/>
    </row>
    <row r="43" spans="1:5" ht="15" thickBot="1" x14ac:dyDescent="0.25"/>
    <row r="44" spans="1:5" ht="50.1" customHeight="1" thickBot="1" x14ac:dyDescent="0.25">
      <c r="A44" s="4336" t="s">
        <v>2603</v>
      </c>
      <c r="B44" s="4337"/>
      <c r="C44" s="4337"/>
      <c r="D44" s="4337"/>
      <c r="E44" s="4338"/>
    </row>
    <row r="45" spans="1:5" ht="50.1" customHeight="1" thickBot="1" x14ac:dyDescent="0.25">
      <c r="A45" s="592" t="s">
        <v>0</v>
      </c>
      <c r="B45" s="593" t="s">
        <v>879</v>
      </c>
      <c r="C45" s="593" t="s">
        <v>862</v>
      </c>
      <c r="D45" s="593" t="s">
        <v>1910</v>
      </c>
      <c r="E45" s="594" t="s">
        <v>268</v>
      </c>
    </row>
    <row r="46" spans="1:5" ht="39.950000000000003" customHeight="1" x14ac:dyDescent="0.2">
      <c r="A46" s="1085">
        <v>1</v>
      </c>
      <c r="B46" s="1074">
        <v>40000000</v>
      </c>
      <c r="C46" s="1079" t="s">
        <v>2897</v>
      </c>
      <c r="D46" s="1268" t="s">
        <v>537</v>
      </c>
      <c r="E46" s="583"/>
    </row>
    <row r="47" spans="1:5" ht="39.950000000000003" customHeight="1" x14ac:dyDescent="0.2">
      <c r="A47" s="1086">
        <v>2</v>
      </c>
      <c r="B47" s="1073">
        <v>90400000</v>
      </c>
      <c r="C47" s="4301" t="s">
        <v>3019</v>
      </c>
      <c r="D47" s="4345"/>
      <c r="E47" s="582"/>
    </row>
    <row r="48" spans="1:5" ht="39.950000000000003" customHeight="1" x14ac:dyDescent="0.2">
      <c r="A48" s="597">
        <v>3</v>
      </c>
      <c r="B48" s="1073">
        <v>29600000</v>
      </c>
      <c r="C48" s="1070" t="s">
        <v>3002</v>
      </c>
      <c r="D48" s="1072" t="s">
        <v>3031</v>
      </c>
      <c r="E48" s="587"/>
    </row>
    <row r="49" spans="1:8" ht="39.950000000000003" customHeight="1" x14ac:dyDescent="0.2">
      <c r="A49" s="597">
        <v>4</v>
      </c>
      <c r="B49" s="1073"/>
      <c r="C49" s="1070"/>
      <c r="D49" s="1072"/>
      <c r="E49" s="582"/>
    </row>
    <row r="50" spans="1:8" ht="39.950000000000003" customHeight="1" x14ac:dyDescent="0.2">
      <c r="A50" s="597">
        <v>5</v>
      </c>
      <c r="B50" s="1073"/>
      <c r="C50" s="1070"/>
      <c r="D50" s="1072"/>
      <c r="E50" s="582"/>
    </row>
    <row r="51" spans="1:8" ht="39.950000000000003" customHeight="1" x14ac:dyDescent="0.2">
      <c r="A51" s="597">
        <v>6</v>
      </c>
      <c r="B51" s="1073"/>
      <c r="C51" s="1070"/>
      <c r="D51" s="1072"/>
      <c r="E51" s="582"/>
    </row>
    <row r="52" spans="1:8" ht="39.950000000000003" customHeight="1" x14ac:dyDescent="0.2">
      <c r="A52" s="597">
        <v>7</v>
      </c>
      <c r="B52" s="1073"/>
      <c r="C52" s="1070"/>
      <c r="D52" s="1072"/>
      <c r="E52" s="582"/>
    </row>
    <row r="53" spans="1:8" ht="39.950000000000003" customHeight="1" x14ac:dyDescent="0.2">
      <c r="A53" s="597">
        <v>8</v>
      </c>
      <c r="B53" s="1073"/>
      <c r="C53" s="1070"/>
      <c r="D53" s="1072"/>
      <c r="E53" s="582"/>
    </row>
    <row r="54" spans="1:8" ht="39.950000000000003" customHeight="1" x14ac:dyDescent="0.2">
      <c r="A54" s="597">
        <v>9</v>
      </c>
      <c r="B54" s="1073"/>
      <c r="C54" s="1079"/>
      <c r="D54" s="1076"/>
      <c r="E54" s="582"/>
    </row>
    <row r="55" spans="1:8" ht="39.950000000000003" customHeight="1" x14ac:dyDescent="0.2">
      <c r="A55" s="597">
        <v>10</v>
      </c>
      <c r="B55" s="1073"/>
      <c r="C55" s="1070"/>
      <c r="D55" s="1072"/>
      <c r="E55" s="582"/>
    </row>
    <row r="56" spans="1:8" ht="39.950000000000003" customHeight="1" x14ac:dyDescent="0.2">
      <c r="A56" s="441">
        <v>11</v>
      </c>
      <c r="B56" s="1074"/>
      <c r="C56" s="1079"/>
      <c r="D56" s="1064"/>
      <c r="E56" s="582"/>
    </row>
    <row r="57" spans="1:8" ht="39.950000000000003" customHeight="1" x14ac:dyDescent="0.2">
      <c r="A57" s="1084"/>
      <c r="B57" s="1074"/>
      <c r="C57" s="1079"/>
      <c r="D57" s="1074"/>
      <c r="E57" s="582"/>
    </row>
    <row r="58" spans="1:8" ht="39.950000000000003" customHeight="1" x14ac:dyDescent="0.2">
      <c r="A58" s="1084"/>
      <c r="B58" s="1074"/>
      <c r="C58" s="1079"/>
      <c r="D58" s="1074"/>
      <c r="E58" s="582"/>
      <c r="H58" s="402"/>
    </row>
    <row r="59" spans="1:8" ht="39.950000000000003" customHeight="1" x14ac:dyDescent="0.2">
      <c r="A59" s="1084"/>
      <c r="B59" s="1074"/>
      <c r="C59" s="1079"/>
      <c r="D59" s="1074"/>
      <c r="E59" s="582"/>
      <c r="H59" s="402"/>
    </row>
    <row r="60" spans="1:8" ht="39.950000000000003" customHeight="1" x14ac:dyDescent="0.2">
      <c r="A60" s="1084"/>
      <c r="B60" s="1074"/>
      <c r="C60" s="1079"/>
      <c r="D60" s="1074"/>
      <c r="E60" s="582"/>
    </row>
    <row r="61" spans="1:8" ht="39.950000000000003" customHeight="1" x14ac:dyDescent="0.2">
      <c r="A61" s="1084"/>
      <c r="B61" s="1074"/>
      <c r="C61" s="1079"/>
      <c r="D61" s="1074"/>
      <c r="E61" s="582"/>
    </row>
    <row r="62" spans="1:8" ht="39.950000000000003" customHeight="1" x14ac:dyDescent="0.2">
      <c r="A62" s="1084"/>
      <c r="B62" s="1074"/>
      <c r="C62" s="1079"/>
      <c r="D62" s="1074"/>
      <c r="E62" s="582"/>
    </row>
    <row r="63" spans="1:8" ht="39.950000000000003" customHeight="1" x14ac:dyDescent="0.2">
      <c r="A63" s="1084"/>
      <c r="B63" s="1074"/>
      <c r="C63" s="1079"/>
      <c r="D63" s="1074"/>
      <c r="E63" s="582"/>
    </row>
    <row r="64" spans="1:8" ht="39.950000000000003" customHeight="1" x14ac:dyDescent="0.2">
      <c r="A64" s="1084"/>
      <c r="B64" s="1074"/>
      <c r="C64" s="1079"/>
      <c r="D64" s="1074"/>
      <c r="E64" s="582"/>
    </row>
    <row r="65" spans="1:5" ht="39.950000000000003" customHeight="1" thickBot="1" x14ac:dyDescent="0.25">
      <c r="A65" s="186" t="s">
        <v>1907</v>
      </c>
      <c r="B65" s="4339">
        <f>SUM(B46:B64)</f>
        <v>160000000</v>
      </c>
      <c r="C65" s="4340"/>
      <c r="D65" s="4341"/>
      <c r="E65" s="591"/>
    </row>
    <row r="68" spans="1:5" ht="15" thickBot="1" x14ac:dyDescent="0.25"/>
    <row r="69" spans="1:5" ht="50.1" customHeight="1" x14ac:dyDescent="0.2">
      <c r="A69" s="4342" t="s">
        <v>1900</v>
      </c>
      <c r="B69" s="4343"/>
      <c r="C69" s="4343"/>
      <c r="D69" s="4343"/>
      <c r="E69" s="4344"/>
    </row>
    <row r="70" spans="1:5" ht="50.1" customHeight="1" x14ac:dyDescent="0.2">
      <c r="A70" s="576">
        <v>1</v>
      </c>
      <c r="B70" s="1074">
        <v>2000000000</v>
      </c>
      <c r="C70" s="568">
        <v>0.08</v>
      </c>
      <c r="D70" s="1074">
        <f>B70*C70</f>
        <v>160000000</v>
      </c>
      <c r="E70" s="572" t="s">
        <v>2604</v>
      </c>
    </row>
    <row r="71" spans="1:5" ht="50.1" customHeight="1" x14ac:dyDescent="0.2">
      <c r="A71" s="578">
        <v>2</v>
      </c>
      <c r="B71" s="1073"/>
      <c r="C71" s="1087"/>
      <c r="D71" s="1073"/>
      <c r="E71" s="571"/>
    </row>
    <row r="72" spans="1:5" ht="50.1" customHeight="1" x14ac:dyDescent="0.2">
      <c r="A72" s="578">
        <v>3</v>
      </c>
      <c r="B72" s="1073"/>
      <c r="C72" s="568"/>
      <c r="D72" s="1073"/>
      <c r="E72" s="571"/>
    </row>
    <row r="73" spans="1:5" ht="50.1" customHeight="1" x14ac:dyDescent="0.2">
      <c r="A73" s="577">
        <v>4</v>
      </c>
      <c r="B73" s="1077"/>
      <c r="C73" s="569"/>
      <c r="D73" s="1077"/>
      <c r="E73" s="572"/>
    </row>
    <row r="74" spans="1:5" ht="50.1" customHeight="1" x14ac:dyDescent="0.2">
      <c r="A74" s="443" t="s">
        <v>2605</v>
      </c>
      <c r="B74" s="4332">
        <f>D70</f>
        <v>160000000</v>
      </c>
      <c r="C74" s="4332"/>
      <c r="D74" s="4332"/>
      <c r="E74" s="4333"/>
    </row>
    <row r="75" spans="1:5" ht="50.1" customHeight="1" x14ac:dyDescent="0.2">
      <c r="A75" s="573" t="s">
        <v>1904</v>
      </c>
      <c r="B75" s="4332">
        <f>B65</f>
        <v>160000000</v>
      </c>
      <c r="C75" s="4332"/>
      <c r="D75" s="4332"/>
      <c r="E75" s="4333"/>
    </row>
    <row r="76" spans="1:5" ht="50.1" customHeight="1" thickBot="1" x14ac:dyDescent="0.25">
      <c r="A76" s="574" t="s">
        <v>4622</v>
      </c>
      <c r="B76" s="4334">
        <f>B74-B75</f>
        <v>0</v>
      </c>
      <c r="C76" s="4334"/>
      <c r="D76" s="4334"/>
      <c r="E76" s="4335"/>
    </row>
    <row r="80" spans="1:5" ht="15" thickBot="1" x14ac:dyDescent="0.25"/>
    <row r="81" spans="1:8" ht="50.1" customHeight="1" thickBot="1" x14ac:dyDescent="0.25">
      <c r="A81" s="4336" t="s">
        <v>3734</v>
      </c>
      <c r="B81" s="4337"/>
      <c r="C81" s="4337"/>
      <c r="D81" s="4337"/>
      <c r="E81" s="4338"/>
    </row>
    <row r="82" spans="1:8" ht="50.1" customHeight="1" thickBot="1" x14ac:dyDescent="0.25">
      <c r="A82" s="592" t="s">
        <v>0</v>
      </c>
      <c r="B82" s="593" t="s">
        <v>879</v>
      </c>
      <c r="C82" s="593" t="s">
        <v>862</v>
      </c>
      <c r="D82" s="593" t="s">
        <v>1910</v>
      </c>
      <c r="E82" s="594" t="s">
        <v>268</v>
      </c>
    </row>
    <row r="83" spans="1:8" ht="39.950000000000003" customHeight="1" x14ac:dyDescent="0.2">
      <c r="A83" s="1085">
        <v>1</v>
      </c>
      <c r="B83" s="1806"/>
      <c r="C83" s="1812"/>
      <c r="D83" s="1812"/>
      <c r="E83" s="583"/>
    </row>
    <row r="84" spans="1:8" ht="39.950000000000003" customHeight="1" x14ac:dyDescent="0.2">
      <c r="A84" s="1086">
        <v>2</v>
      </c>
      <c r="B84" s="1805"/>
      <c r="C84" s="1389"/>
      <c r="D84" s="1812"/>
      <c r="E84" s="582"/>
    </row>
    <row r="85" spans="1:8" ht="39.950000000000003" customHeight="1" x14ac:dyDescent="0.2">
      <c r="A85" s="597">
        <v>3</v>
      </c>
      <c r="B85" s="1805"/>
      <c r="C85" s="1802"/>
      <c r="D85" s="1804"/>
      <c r="E85" s="587"/>
    </row>
    <row r="86" spans="1:8" ht="39.950000000000003" customHeight="1" x14ac:dyDescent="0.2">
      <c r="A86" s="597">
        <v>4</v>
      </c>
      <c r="B86" s="1805"/>
      <c r="C86" s="1802"/>
      <c r="D86" s="1804"/>
      <c r="E86" s="582"/>
    </row>
    <row r="87" spans="1:8" ht="39.950000000000003" customHeight="1" x14ac:dyDescent="0.2">
      <c r="A87" s="597">
        <v>5</v>
      </c>
      <c r="B87" s="1805"/>
      <c r="C87" s="1802"/>
      <c r="D87" s="1804"/>
      <c r="E87" s="582"/>
    </row>
    <row r="88" spans="1:8" ht="39.950000000000003" customHeight="1" x14ac:dyDescent="0.2">
      <c r="A88" s="597">
        <v>6</v>
      </c>
      <c r="B88" s="1805"/>
      <c r="C88" s="1802"/>
      <c r="D88" s="1804"/>
      <c r="E88" s="582"/>
    </row>
    <row r="89" spans="1:8" ht="39.950000000000003" customHeight="1" x14ac:dyDescent="0.2">
      <c r="A89" s="597">
        <v>7</v>
      </c>
      <c r="B89" s="1806">
        <v>23000000</v>
      </c>
      <c r="C89" s="1812" t="s">
        <v>3676</v>
      </c>
      <c r="D89" s="1812" t="s">
        <v>1937</v>
      </c>
      <c r="E89" s="582"/>
    </row>
    <row r="90" spans="1:8" ht="39.950000000000003" customHeight="1" x14ac:dyDescent="0.2">
      <c r="A90" s="597">
        <v>8</v>
      </c>
      <c r="B90" s="1805">
        <v>10000000</v>
      </c>
      <c r="C90" s="1812" t="s">
        <v>3676</v>
      </c>
      <c r="D90" s="1812" t="s">
        <v>1937</v>
      </c>
      <c r="E90" s="582"/>
    </row>
    <row r="91" spans="1:8" ht="39.950000000000003" customHeight="1" x14ac:dyDescent="0.2">
      <c r="A91" s="597">
        <v>9</v>
      </c>
      <c r="B91" s="1805">
        <v>17000000</v>
      </c>
      <c r="C91" s="1802" t="s">
        <v>3676</v>
      </c>
      <c r="D91" s="1804" t="s">
        <v>537</v>
      </c>
      <c r="E91" s="582"/>
    </row>
    <row r="92" spans="1:8" ht="39.950000000000003" customHeight="1" x14ac:dyDescent="0.2">
      <c r="A92" s="597">
        <v>10</v>
      </c>
      <c r="B92" s="1805">
        <v>10000000</v>
      </c>
      <c r="C92" s="1802" t="s">
        <v>3731</v>
      </c>
      <c r="D92" s="1804" t="s">
        <v>537</v>
      </c>
      <c r="E92" s="582"/>
    </row>
    <row r="93" spans="1:8" ht="39.950000000000003" customHeight="1" x14ac:dyDescent="0.2">
      <c r="A93" s="441">
        <v>11</v>
      </c>
      <c r="B93" s="1806">
        <v>12000000</v>
      </c>
      <c r="C93" s="1812" t="s">
        <v>3731</v>
      </c>
      <c r="D93" s="1795" t="s">
        <v>1937</v>
      </c>
      <c r="E93" s="582"/>
    </row>
    <row r="94" spans="1:8" ht="39.950000000000003" customHeight="1" x14ac:dyDescent="0.2">
      <c r="A94" s="1084"/>
      <c r="B94" s="1806"/>
      <c r="C94" s="1812"/>
      <c r="D94" s="1806"/>
      <c r="E94" s="582"/>
    </row>
    <row r="95" spans="1:8" ht="39.950000000000003" customHeight="1" x14ac:dyDescent="0.2">
      <c r="A95" s="1084"/>
      <c r="B95" s="1806"/>
      <c r="C95" s="1812"/>
      <c r="D95" s="1806"/>
      <c r="E95" s="582"/>
      <c r="H95" s="402"/>
    </row>
    <row r="96" spans="1:8" ht="39.950000000000003" customHeight="1" x14ac:dyDescent="0.2">
      <c r="A96" s="1084"/>
      <c r="B96" s="1806"/>
      <c r="C96" s="1812"/>
      <c r="D96" s="1806"/>
      <c r="E96" s="582"/>
      <c r="H96" s="402"/>
    </row>
    <row r="97" spans="1:5" ht="39.950000000000003" customHeight="1" x14ac:dyDescent="0.2">
      <c r="A97" s="1084"/>
      <c r="B97" s="1806"/>
      <c r="C97" s="1812"/>
      <c r="D97" s="1806"/>
      <c r="E97" s="582"/>
    </row>
    <row r="98" spans="1:5" ht="39.950000000000003" customHeight="1" x14ac:dyDescent="0.2">
      <c r="A98" s="1084"/>
      <c r="B98" s="1806"/>
      <c r="C98" s="1812"/>
      <c r="D98" s="1806"/>
      <c r="E98" s="582"/>
    </row>
    <row r="99" spans="1:5" ht="39.950000000000003" customHeight="1" x14ac:dyDescent="0.2">
      <c r="A99" s="1084"/>
      <c r="B99" s="1806"/>
      <c r="C99" s="1812"/>
      <c r="D99" s="1806"/>
      <c r="E99" s="582"/>
    </row>
    <row r="100" spans="1:5" ht="39.950000000000003" customHeight="1" x14ac:dyDescent="0.2">
      <c r="A100" s="1084"/>
      <c r="B100" s="1806"/>
      <c r="C100" s="1812"/>
      <c r="D100" s="1806"/>
      <c r="E100" s="582"/>
    </row>
    <row r="101" spans="1:5" ht="39.950000000000003" customHeight="1" x14ac:dyDescent="0.2">
      <c r="A101" s="1084"/>
      <c r="B101" s="1806"/>
      <c r="C101" s="1812"/>
      <c r="D101" s="1806"/>
      <c r="E101" s="582"/>
    </row>
    <row r="102" spans="1:5" ht="39.950000000000003" customHeight="1" thickBot="1" x14ac:dyDescent="0.25">
      <c r="A102" s="186" t="s">
        <v>1907</v>
      </c>
      <c r="B102" s="4339">
        <f>SUM(B83:B101)</f>
        <v>72000000</v>
      </c>
      <c r="C102" s="4340"/>
      <c r="D102" s="4341"/>
      <c r="E102" s="591"/>
    </row>
    <row r="105" spans="1:5" ht="15" thickBot="1" x14ac:dyDescent="0.25"/>
    <row r="106" spans="1:5" ht="50.1" customHeight="1" x14ac:dyDescent="0.2">
      <c r="A106" s="4342" t="s">
        <v>1900</v>
      </c>
      <c r="B106" s="4343"/>
      <c r="C106" s="4343"/>
      <c r="D106" s="4343"/>
      <c r="E106" s="4344"/>
    </row>
    <row r="107" spans="1:5" ht="50.1" customHeight="1" x14ac:dyDescent="0.2">
      <c r="A107" s="576">
        <v>1</v>
      </c>
      <c r="B107" s="1806">
        <v>2000000000</v>
      </c>
      <c r="C107" s="568">
        <v>0.08</v>
      </c>
      <c r="D107" s="1806">
        <f>B107*C107</f>
        <v>160000000</v>
      </c>
      <c r="E107" s="572" t="s">
        <v>2604</v>
      </c>
    </row>
    <row r="108" spans="1:5" ht="50.1" customHeight="1" x14ac:dyDescent="0.2">
      <c r="A108" s="578">
        <v>2</v>
      </c>
      <c r="B108" s="1805"/>
      <c r="C108" s="1087"/>
      <c r="D108" s="1805"/>
      <c r="E108" s="571"/>
    </row>
    <row r="109" spans="1:5" ht="50.1" customHeight="1" x14ac:dyDescent="0.2">
      <c r="A109" s="578">
        <v>3</v>
      </c>
      <c r="B109" s="1805"/>
      <c r="C109" s="568"/>
      <c r="D109" s="1805"/>
      <c r="E109" s="571"/>
    </row>
    <row r="110" spans="1:5" ht="50.1" customHeight="1" x14ac:dyDescent="0.2">
      <c r="A110" s="577">
        <v>4</v>
      </c>
      <c r="B110" s="1809"/>
      <c r="C110" s="569"/>
      <c r="D110" s="1809"/>
      <c r="E110" s="572"/>
    </row>
    <row r="111" spans="1:5" ht="50.1" customHeight="1" x14ac:dyDescent="0.2">
      <c r="A111" s="443" t="s">
        <v>3735</v>
      </c>
      <c r="B111" s="4332">
        <f>D107</f>
        <v>160000000</v>
      </c>
      <c r="C111" s="4332"/>
      <c r="D111" s="4332"/>
      <c r="E111" s="4333"/>
    </row>
    <row r="112" spans="1:5" ht="50.1" customHeight="1" x14ac:dyDescent="0.2">
      <c r="A112" s="573" t="s">
        <v>1904</v>
      </c>
      <c r="B112" s="4332">
        <f>B102</f>
        <v>72000000</v>
      </c>
      <c r="C112" s="4332"/>
      <c r="D112" s="4332"/>
      <c r="E112" s="4333"/>
    </row>
    <row r="113" spans="1:5" ht="50.1" customHeight="1" thickBot="1" x14ac:dyDescent="0.25">
      <c r="A113" s="574" t="s">
        <v>3736</v>
      </c>
      <c r="B113" s="4334">
        <f>B111-B112</f>
        <v>88000000</v>
      </c>
      <c r="C113" s="4334"/>
      <c r="D113" s="4334"/>
      <c r="E113" s="4335"/>
    </row>
  </sheetData>
  <mergeCells count="26">
    <mergeCell ref="B41:E41"/>
    <mergeCell ref="B39:E39"/>
    <mergeCell ref="B40:E40"/>
    <mergeCell ref="C6:E6"/>
    <mergeCell ref="A9:E9"/>
    <mergeCell ref="B31:D31"/>
    <mergeCell ref="B30:D30"/>
    <mergeCell ref="A34:E34"/>
    <mergeCell ref="C3:D3"/>
    <mergeCell ref="C4:D4"/>
    <mergeCell ref="C5:D5"/>
    <mergeCell ref="A1:E1"/>
    <mergeCell ref="C2:D2"/>
    <mergeCell ref="B75:E75"/>
    <mergeCell ref="B76:E76"/>
    <mergeCell ref="A44:E44"/>
    <mergeCell ref="B65:D65"/>
    <mergeCell ref="A69:E69"/>
    <mergeCell ref="B74:E74"/>
    <mergeCell ref="C47:D47"/>
    <mergeCell ref="B112:E112"/>
    <mergeCell ref="B113:E113"/>
    <mergeCell ref="A81:E81"/>
    <mergeCell ref="B102:D102"/>
    <mergeCell ref="A106:E106"/>
    <mergeCell ref="B111:E1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sqref="A1:XFD1048576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4296" t="s">
        <v>1135</v>
      </c>
      <c r="C1" s="4297"/>
      <c r="D1" s="4298"/>
    </row>
    <row r="2" spans="1:4" ht="50.1" customHeight="1" x14ac:dyDescent="0.2">
      <c r="A2" s="10" t="s">
        <v>0</v>
      </c>
      <c r="B2" s="147" t="s">
        <v>879</v>
      </c>
      <c r="C2" s="8" t="s">
        <v>862</v>
      </c>
      <c r="D2" s="148" t="s">
        <v>863</v>
      </c>
    </row>
    <row r="3" spans="1:4" ht="30" customHeight="1" x14ac:dyDescent="0.2">
      <c r="A3" s="218"/>
      <c r="B3" s="149">
        <v>160000000</v>
      </c>
      <c r="C3" s="244" t="s">
        <v>1191</v>
      </c>
      <c r="D3" s="244" t="s">
        <v>1192</v>
      </c>
    </row>
    <row r="4" spans="1:4" ht="30" customHeight="1" x14ac:dyDescent="0.2">
      <c r="A4" s="218">
        <v>1</v>
      </c>
      <c r="B4" s="149">
        <v>120000000</v>
      </c>
      <c r="C4" s="223" t="s">
        <v>1101</v>
      </c>
      <c r="D4" s="151" t="s">
        <v>872</v>
      </c>
    </row>
    <row r="5" spans="1:4" ht="30" customHeight="1" x14ac:dyDescent="0.2">
      <c r="A5" s="146">
        <v>2</v>
      </c>
      <c r="B5" s="149">
        <v>200000000</v>
      </c>
      <c r="C5" s="226" t="s">
        <v>984</v>
      </c>
      <c r="D5" s="251">
        <v>223334554009</v>
      </c>
    </row>
    <row r="6" spans="1:4" ht="30" customHeight="1" x14ac:dyDescent="0.2">
      <c r="A6" s="218">
        <v>3</v>
      </c>
      <c r="B6" s="149">
        <v>20000000</v>
      </c>
      <c r="C6" s="223" t="s">
        <v>1235</v>
      </c>
      <c r="D6" s="151"/>
    </row>
    <row r="7" spans="1:4" ht="30" customHeight="1" x14ac:dyDescent="0.2">
      <c r="A7" s="146">
        <v>4</v>
      </c>
      <c r="B7" s="149"/>
      <c r="C7" s="223"/>
      <c r="D7" s="151"/>
    </row>
    <row r="8" spans="1:4" ht="30" customHeight="1" x14ac:dyDescent="0.2">
      <c r="A8" s="218">
        <v>5</v>
      </c>
      <c r="B8" s="149"/>
      <c r="C8" s="223"/>
      <c r="D8" s="151"/>
    </row>
    <row r="9" spans="1:4" ht="30" customHeight="1" x14ac:dyDescent="0.2">
      <c r="A9" s="146">
        <v>6</v>
      </c>
      <c r="B9" s="149"/>
      <c r="C9" s="223"/>
      <c r="D9" s="151"/>
    </row>
    <row r="10" spans="1:4" ht="30" customHeight="1" x14ac:dyDescent="0.2">
      <c r="A10" s="218">
        <v>7</v>
      </c>
      <c r="B10" s="149"/>
      <c r="C10" s="223"/>
      <c r="D10" s="151"/>
    </row>
    <row r="11" spans="1:4" ht="30" customHeight="1" x14ac:dyDescent="0.2">
      <c r="A11" s="146">
        <v>8</v>
      </c>
      <c r="B11" s="149"/>
      <c r="C11" s="223"/>
      <c r="D11" s="151"/>
    </row>
    <row r="12" spans="1:4" ht="30" customHeight="1" x14ac:dyDescent="0.2">
      <c r="A12" s="218">
        <v>9</v>
      </c>
      <c r="B12" s="149"/>
      <c r="C12" s="223"/>
      <c r="D12" s="151"/>
    </row>
    <row r="13" spans="1:4" ht="30" customHeight="1" x14ac:dyDescent="0.2">
      <c r="A13" s="146">
        <v>10</v>
      </c>
      <c r="B13" s="149"/>
      <c r="C13" s="223"/>
      <c r="D13" s="152"/>
    </row>
    <row r="14" spans="1:4" ht="30" customHeight="1" x14ac:dyDescent="0.2">
      <c r="A14" s="218">
        <v>11</v>
      </c>
      <c r="B14" s="149"/>
      <c r="C14" s="223"/>
      <c r="D14" s="151"/>
    </row>
    <row r="15" spans="1:4" ht="30" customHeight="1" x14ac:dyDescent="0.2">
      <c r="A15" s="146">
        <v>12</v>
      </c>
      <c r="B15" s="149"/>
      <c r="C15" s="223"/>
      <c r="D15" s="151"/>
    </row>
    <row r="16" spans="1:4" ht="30" customHeight="1" thickBot="1" x14ac:dyDescent="0.25">
      <c r="A16" s="98" t="s">
        <v>876</v>
      </c>
      <c r="B16" s="153">
        <f>SUM(B3:B15)</f>
        <v>500000000</v>
      </c>
      <c r="C16" s="154"/>
      <c r="D16" s="155"/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7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4342" t="s">
        <v>1177</v>
      </c>
      <c r="B1" s="4343"/>
      <c r="C1" s="4343"/>
      <c r="D1" s="4343"/>
      <c r="E1" s="4343"/>
      <c r="F1" s="4344"/>
    </row>
    <row r="2" spans="1:6" ht="50.1" customHeight="1" x14ac:dyDescent="0.2">
      <c r="A2" s="189" t="s">
        <v>0</v>
      </c>
      <c r="B2" s="147" t="s">
        <v>879</v>
      </c>
      <c r="C2" s="8" t="s">
        <v>1026</v>
      </c>
      <c r="D2" s="148" t="s">
        <v>1027</v>
      </c>
      <c r="E2" s="148" t="s">
        <v>1178</v>
      </c>
      <c r="F2" s="148" t="s">
        <v>1179</v>
      </c>
    </row>
    <row r="3" spans="1:6" ht="30" customHeight="1" thickBot="1" x14ac:dyDescent="0.25">
      <c r="A3" s="185">
        <v>1</v>
      </c>
      <c r="B3" s="186">
        <v>300000000</v>
      </c>
      <c r="C3" s="187">
        <v>7.0000000000000007E-2</v>
      </c>
      <c r="D3" s="155">
        <f>B3*C3</f>
        <v>21000000.000000004</v>
      </c>
      <c r="E3" s="249" t="s">
        <v>875</v>
      </c>
      <c r="F3" s="250" t="s">
        <v>1180</v>
      </c>
    </row>
    <row r="4" spans="1:6" ht="30" customHeight="1" x14ac:dyDescent="0.2">
      <c r="A4" s="241"/>
      <c r="B4" s="241"/>
      <c r="C4" s="202"/>
      <c r="D4" s="241"/>
    </row>
    <row r="5" spans="1:6" s="184" customFormat="1" ht="30" customHeight="1" thickBot="1" x14ac:dyDescent="0.25">
      <c r="A5" s="181"/>
      <c r="B5" s="241"/>
      <c r="C5" s="183"/>
      <c r="D5" s="241"/>
    </row>
    <row r="6" spans="1:6" s="184" customFormat="1" ht="30" customHeight="1" thickBot="1" x14ac:dyDescent="0.25">
      <c r="A6" s="4356" t="s">
        <v>1181</v>
      </c>
      <c r="B6" s="4357"/>
      <c r="C6" s="4357"/>
      <c r="D6" s="4357"/>
      <c r="E6" s="4357"/>
      <c r="F6" s="4358"/>
    </row>
    <row r="7" spans="1:6" s="184" customFormat="1" ht="30" customHeight="1" x14ac:dyDescent="0.2">
      <c r="A7" s="241"/>
      <c r="B7" s="241"/>
      <c r="C7" s="241"/>
      <c r="D7" s="241"/>
    </row>
    <row r="8" spans="1:6" s="184" customFormat="1" ht="30" customHeight="1" thickBot="1" x14ac:dyDescent="0.25">
      <c r="A8" s="4359"/>
      <c r="B8" s="4359"/>
      <c r="C8" s="4359"/>
      <c r="D8" s="4359"/>
    </row>
    <row r="9" spans="1:6" s="184" customFormat="1" ht="30" customHeight="1" thickBot="1" x14ac:dyDescent="0.25">
      <c r="A9" s="4356" t="s">
        <v>1182</v>
      </c>
      <c r="B9" s="4357"/>
      <c r="C9" s="4357"/>
      <c r="D9" s="4357"/>
      <c r="E9" s="4357"/>
      <c r="F9" s="4358"/>
    </row>
    <row r="10" spans="1:6" s="184" customFormat="1" ht="30" customHeight="1" x14ac:dyDescent="0.2">
      <c r="A10" s="241"/>
      <c r="B10" s="241"/>
      <c r="C10" s="241"/>
      <c r="D10" s="241"/>
    </row>
    <row r="11" spans="1:6" s="184" customFormat="1" ht="30" customHeight="1" thickBot="1" x14ac:dyDescent="0.25">
      <c r="A11" s="241"/>
      <c r="B11" s="241"/>
      <c r="C11" s="241"/>
      <c r="D11" s="241"/>
    </row>
    <row r="12" spans="1:6" s="184" customFormat="1" ht="30" customHeight="1" thickBot="1" x14ac:dyDescent="0.25">
      <c r="A12" s="4356" t="s">
        <v>1183</v>
      </c>
      <c r="B12" s="4357"/>
      <c r="C12" s="4357"/>
      <c r="D12" s="4357"/>
      <c r="E12" s="4357"/>
      <c r="F12" s="4358"/>
    </row>
    <row r="13" spans="1:6" s="184" customFormat="1" ht="30" customHeight="1" x14ac:dyDescent="0.2">
      <c r="A13" s="248"/>
      <c r="B13" s="248"/>
      <c r="C13" s="248"/>
      <c r="D13" s="248"/>
      <c r="E13" s="248"/>
      <c r="F13" s="248"/>
    </row>
    <row r="14" spans="1:6" s="184" customFormat="1" ht="30" customHeight="1" x14ac:dyDescent="0.2">
      <c r="A14" s="5"/>
      <c r="B14"/>
      <c r="C14"/>
      <c r="D14"/>
      <c r="E14"/>
      <c r="F14"/>
    </row>
    <row r="15" spans="1:6" s="184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علی آقا عبداللهی</vt:lpstr>
      <vt:lpstr>علیرضا خالقی</vt:lpstr>
      <vt:lpstr>علیرضا خالقی 2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غلامرضا یگانه</vt:lpstr>
      <vt:lpstr>آقای سحابی ( رفیعی )</vt:lpstr>
      <vt:lpstr>قاسم جوینی</vt:lpstr>
      <vt:lpstr>حسام راد حسینی</vt:lpstr>
      <vt:lpstr>مصطفی خدا دوست</vt:lpstr>
      <vt:lpstr>فاطمه کامگاری</vt:lpstr>
      <vt:lpstr>حمیده بیرجندی</vt:lpstr>
      <vt:lpstr>زهرا جلالی-خانم محمود جلالی</vt:lpstr>
      <vt:lpstr>مرضیه احیایی</vt:lpstr>
      <vt:lpstr>رویا رمضان زاده</vt:lpstr>
      <vt:lpstr>زهره رحمانی</vt:lpstr>
      <vt:lpstr>سالانه</vt:lpstr>
      <vt:lpstr>خرداد</vt:lpstr>
      <vt:lpstr>تیر</vt:lpstr>
      <vt:lpstr>مرداد</vt:lpstr>
      <vt:lpstr>شهریور</vt:lpstr>
      <vt:lpstr>مهر نهایی</vt:lpstr>
      <vt:lpstr>آبان</vt:lpstr>
      <vt:lpstr>آذر</vt:lpstr>
      <vt:lpstr>دی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2023-01-21T23:15:43Z</dcterms:modified>
</cp:coreProperties>
</file>