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iesel/Desktop/Assignments&amp;Coursework/553/costProject/"/>
    </mc:Choice>
  </mc:AlternateContent>
  <bookViews>
    <workbookView xWindow="0" yWindow="460" windowWidth="28800" windowHeight="15940" tabRatio="500" activeTab="3"/>
  </bookViews>
  <sheets>
    <sheet name="Config1" sheetId="1" r:id="rId1"/>
    <sheet name="Config2" sheetId="4" r:id="rId2"/>
    <sheet name="Config3" sheetId="7" r:id="rId3"/>
    <sheet name="Summary" sheetId="8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8" l="1"/>
  <c r="D5" i="8"/>
  <c r="B5" i="8"/>
  <c r="C4" i="8"/>
  <c r="D4" i="8"/>
  <c r="B4" i="8"/>
  <c r="F22" i="7"/>
  <c r="F8" i="7"/>
  <c r="F7" i="7"/>
  <c r="D6" i="7"/>
  <c r="D5" i="7"/>
  <c r="D4" i="7"/>
  <c r="F3" i="7"/>
  <c r="C2" i="7"/>
  <c r="D2" i="7"/>
  <c r="F18" i="7"/>
  <c r="F21" i="7"/>
  <c r="D14" i="7"/>
  <c r="E14" i="7"/>
  <c r="F14" i="7"/>
  <c r="F2" i="7"/>
  <c r="F4" i="7"/>
  <c r="F5" i="7"/>
  <c r="F6" i="7"/>
  <c r="F9" i="7"/>
  <c r="F10" i="7"/>
  <c r="F22" i="4"/>
  <c r="F24" i="1"/>
  <c r="F10" i="4"/>
  <c r="D6" i="4"/>
  <c r="D4" i="4"/>
  <c r="F3" i="4"/>
  <c r="D2" i="4"/>
  <c r="F4" i="4"/>
  <c r="F6" i="4"/>
  <c r="F9" i="4"/>
  <c r="F14" i="4"/>
  <c r="F18" i="4"/>
  <c r="F21" i="4"/>
  <c r="F2" i="4"/>
  <c r="D5" i="4"/>
  <c r="F5" i="4"/>
  <c r="F7" i="4"/>
  <c r="F8" i="4"/>
  <c r="D4" i="1"/>
  <c r="F4" i="1"/>
  <c r="F5" i="1"/>
  <c r="D6" i="1"/>
  <c r="F6" i="1"/>
  <c r="D7" i="1"/>
  <c r="F7" i="1"/>
  <c r="D8" i="1"/>
  <c r="F8" i="1"/>
  <c r="F9" i="1"/>
  <c r="F10" i="1"/>
  <c r="F11" i="1"/>
  <c r="F12" i="1"/>
  <c r="E16" i="1"/>
  <c r="F23" i="1"/>
  <c r="F20" i="1"/>
  <c r="F16" i="1"/>
</calcChain>
</file>

<file path=xl/sharedStrings.xml><?xml version="1.0" encoding="utf-8"?>
<sst xmlns="http://schemas.openxmlformats.org/spreadsheetml/2006/main" count="268" uniqueCount="67">
  <si>
    <t>Compute Servers</t>
  </si>
  <si>
    <t>Network Switches</t>
  </si>
  <si>
    <t>Network Cables</t>
  </si>
  <si>
    <t>Racks</t>
  </si>
  <si>
    <t>Storage Servers</t>
  </si>
  <si>
    <t>Electric Power</t>
  </si>
  <si>
    <t>Cooling</t>
  </si>
  <si>
    <t>Administration</t>
  </si>
  <si>
    <t xml:space="preserve">TOTAL </t>
  </si>
  <si>
    <t xml:space="preserve">Description </t>
  </si>
  <si>
    <t xml:space="preserve">Price per Item </t>
  </si>
  <si>
    <t xml:space="preserve">Quantity </t>
  </si>
  <si>
    <t>N/A</t>
  </si>
  <si>
    <t>Private Cloud</t>
  </si>
  <si>
    <t>Public Cloud (AWS)</t>
  </si>
  <si>
    <t>d2.8xlarge 36 244.0 HDD 24 x 2000 10 Gigabit</t>
  </si>
  <si>
    <t>Total Price(5Yrs)</t>
  </si>
  <si>
    <t>Total Price(5 Yrs)</t>
  </si>
  <si>
    <t>Price per Item(Per month)</t>
  </si>
  <si>
    <t>For 32000 cores , we need 889 instances But to match 256TB RAM , 50PB Storgae requirement we need 1050</t>
  </si>
  <si>
    <t>100 PB = 100000000 GB and 0.45 GB-Month costing</t>
  </si>
  <si>
    <t>Intel Xeon E5-2697V4 Broadwell-EP 2.3 GHz 18 x 256KB L2 Cache 45MB L3 Cache LGA 2011-3 145W BX80660E52697V4 Server Processor</t>
  </si>
  <si>
    <t>Amazon S3 Storage Classes</t>
  </si>
  <si>
    <t>First 50 TB/ month $0.023 / GB</t>
  </si>
  <si>
    <t>Cost Per month</t>
  </si>
  <si>
    <t xml:space="preserve">AWS Support Business </t>
  </si>
  <si>
    <t>https://www.cdw.com/product/Mellanox-Switch-IB-2-MSB7890-switch-36-ports-smart-rack-mountable/4504429 , https://store.mellanox.com/products/mellanox-msx6506-nr-108-port-fdr-capable-modular-chassis-includes-4-fans-and-2-n-n-power-supplies-rohs6-non-blocking-configuration-needs-all-spines.html</t>
  </si>
  <si>
    <t>13959.99 , 21,435.00</t>
  </si>
  <si>
    <t>(a) Mellanox Switch-IB 2 MSB7890 - switch - 36 ports - smart - rack-mountable(Qty 99) (b) Mellanox MSX6506-NR 108 port FDR capable modular chassis includes 4 fans and 2 (N+N) (Qty 18)</t>
  </si>
  <si>
    <t>99(36 Port), 18(108 port)</t>
  </si>
  <si>
    <t>7m (23ft) Cisco ONS-SC+-10G-CU7 Compatible 10G SFP+ Passive Direct Attach Copper Twinax Cable</t>
  </si>
  <si>
    <t>https://www.newegg.com/Product/Product.aspx?Item=N82E16819117639 (As per spec https://aws.amazon.com/ec2/instance-types/) , http://www.pogolinux.com/quotes/editsys?sys_id=1117417</t>
  </si>
  <si>
    <t>https://www.racksolutions.com/rack-mount-enclosure.html</t>
  </si>
  <si>
    <t>Server Cabinet Enclosures, RACK-15, 42U,Adjustable mounting depth</t>
  </si>
  <si>
    <t>https://www.disctech.com/Dell-400-AJSC-600GB-SAS-Hard-Drive-Kit?partner=1011&amp;gclid=Cj0KCQjwn-bWBRDGARIsAPS1svtBiUjcmvOEQoKG-9Y8Q4HR3MuxIubA1Adac7emEhrgWkY96PMaXBcaAp_LEALw_wcB</t>
  </si>
  <si>
    <t>Dell 400-AJSC 600GB SAS Hard Drive Kit</t>
  </si>
  <si>
    <t>Data Center Administrator(Lead , 2 senior , Associate )</t>
  </si>
  <si>
    <t>https://www.glassdoor.com/Salaries/data-center-administrator-salary-SRCH_KO0,25.htm</t>
  </si>
  <si>
    <t>1400W High-efficiency AC power supply with Digital Switching Control &amp; PMBus 1.2</t>
  </si>
  <si>
    <t>https://www.rapidtables.com/calc/electric/electricity-calculator.html , https://www.electricitylocal.com/states/ohio/</t>
  </si>
  <si>
    <t>9.47 cents/1kwh</t>
  </si>
  <si>
    <t>1400 Watt</t>
  </si>
  <si>
    <t>A server package rated at 1400 watts running at maximum would theoretically generate 4480 BTU/hr.</t>
  </si>
  <si>
    <t>http://www.vertatique.com/how-much-heat-does-server-generate, https://www.vmguru.com/2011/06/how-to-calculate-electrical-costs-for-cooling-and-power-consumption/</t>
  </si>
  <si>
    <t>(OperatingHour*BTU per hour*0.293)/1000</t>
  </si>
  <si>
    <t>https://calculator.s3.amazonaws.com/index.html</t>
  </si>
  <si>
    <t>r3.large 2 15.2 SSD 1 x 32 Moderate</t>
  </si>
  <si>
    <t>Intel Xeon E5-2600 v4 Series Processor 
• Up to 512GB DDR4 2400MHz ECC Registered Memory 
• Dual Port Gigabit Ethernet 
• Supports 2x Double Width GPU's 
• 3 x 3.5" Hot-swap Drive Trays 
• Integrated IPMI 2.0+KVM with Dedicated LAN 
• 1400W High Efficiency Power Supply</t>
  </si>
  <si>
    <t>https://www.cdw.com/product/Mellanox-Switch-IB-2-MSB7890-switch-36-ports-smart-rack-mountable/4504429 , https://store.mellanox.com/products/mellanox-mcs7500-130tb-s-648-port-edr-infiniband-chassis-switch-includes-20-fans-and-10-power-supplies-n-n-rohs-r6.html</t>
  </si>
  <si>
    <t>(a) Mellanox Switch-IB 2 MSB7890 - switch - 36 ports - smart - rack-mountable (b) Mellanox MCS7500 130Tb/s 648-port EDR InfiniBand chassis switch includes 20 fans and 10 power supplies (N+N) RoHS R6</t>
  </si>
  <si>
    <t>13959.99 , 108,335.00</t>
  </si>
  <si>
    <t>556*12.5(36 Port), 18*12.5(648 port) ( Network can max support 10000 nodes screenshot)</t>
  </si>
  <si>
    <t>1 PB = 1000000 GB and 0.45 GB-Month costing</t>
  </si>
  <si>
    <t>Twin Node Server (1U ) Each Node config (CPU:  2x  Intel Xeon E5-2683v4 16C 2.1GHz 40MB Cache , Memory:   1x  256GB DDR4 ECC Reg 2133MHz (4 x 64GB)+Dell NVIDIA Tesla V100 GPU, Cust Kit)</t>
  </si>
  <si>
    <t xml:space="preserve"> (As per spec https://aws.amazon.com/ec2/instance-types/) , http://www.dell.com/en-us/work/shop/accessories/apd/490-bedx</t>
  </si>
  <si>
    <t>https://www.cdw.com/product/Mellanox-Switch-IB-2-MSB7890-switch-36-ports-smart-rack-mountable/4504429 , https://store.mellanox.com/products/mellanox-msx6506-nr-108-port-fdr-capable-modular-chassis-includes-4-fans-and-2-n-n-power-supplies-rohs6-non-blocking-configuration-needs-all-spines.html,http://www.mellanox.com/clusterconfig/</t>
  </si>
  <si>
    <t>(a) Mellanox Switch-IB 2 MSB7890 - switch - 36 ports - smart - rack-mountable(Qty 56) (b) Mellanox MSX6506-NR 108 port FDR capable modular chassis includes 4 fans and 2 (N+N) (Qty 18)</t>
  </si>
  <si>
    <t>56(36 Port), 18(108 port)</t>
  </si>
  <si>
    <t>1400+1400 Watt</t>
  </si>
  <si>
    <t>https://www.rapidtables.com/calc/electric/electricity-calculator.html , http://www.nvidia.com/object/gcr-energy-efficiency.html</t>
  </si>
  <si>
    <t>Public Cloud (including EC2 and S3) Cost over 5 years, 24/7 operation, with 100% usage.</t>
  </si>
  <si>
    <t>Private Cloud cost over 5 years, 24/7 operation, with 100% usage</t>
  </si>
  <si>
    <t>What utilization must be achieved with the private cloud to make the private cloud option more attractive than the public cloud?</t>
  </si>
  <si>
    <t>Configuration 1(Million)</t>
  </si>
  <si>
    <t xml:space="preserve"> Configuration 2 (Billion)</t>
  </si>
  <si>
    <t>Configuration 3 (Million)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</si>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</sst>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.000_);_(&quot;$&quot;* \(#,##0.000\);_(&quot;$&quot;* &quot;-&quot;???_);_(@_)"/>
    <numFmt numFmtId="169" formatCode="&quot;$&quot;#,##0.00"/>
    <numFmt numFmtId="171" formatCode="&quot;$&quot;#,##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2"/>
      <color rgb="FF232323"/>
      <name val="Arial"/>
      <family val="2"/>
    </font>
    <font>
      <b/>
      <sz val="10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0" xfId="0" applyFont="1" applyFill="1"/>
    <xf numFmtId="0" fontId="4" fillId="4" borderId="0" xfId="0" applyFont="1" applyFill="1" applyAlignment="1">
      <alignment horizontal="center" vertical="top"/>
    </xf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44" fontId="0" fillId="0" borderId="0" xfId="0" applyNumberFormat="1"/>
    <xf numFmtId="44" fontId="10" fillId="0" borderId="0" xfId="0" applyNumberFormat="1" applyFont="1"/>
    <xf numFmtId="2" fontId="0" fillId="0" borderId="0" xfId="0" applyNumberFormat="1"/>
    <xf numFmtId="168" fontId="0" fillId="0" borderId="0" xfId="0" applyNumberFormat="1"/>
    <xf numFmtId="0" fontId="0" fillId="0" borderId="0" xfId="0" applyNumberFormat="1"/>
    <xf numFmtId="169" fontId="0" fillId="0" borderId="0" xfId="0" applyNumberFormat="1"/>
    <xf numFmtId="44" fontId="0" fillId="0" borderId="0" xfId="2" applyFont="1"/>
    <xf numFmtId="0" fontId="9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9" fontId="0" fillId="0" borderId="0" xfId="2" applyNumberFormat="1" applyFont="1"/>
    <xf numFmtId="0" fontId="12" fillId="6" borderId="0" xfId="0" applyFont="1" applyFill="1"/>
    <xf numFmtId="0" fontId="12" fillId="4" borderId="0" xfId="0" applyFont="1" applyFill="1"/>
    <xf numFmtId="0" fontId="12" fillId="3" borderId="0" xfId="0" applyFont="1" applyFill="1"/>
    <xf numFmtId="0" fontId="0" fillId="0" borderId="0" xfId="0" applyAlignment="1">
      <alignment vertical="center" wrapText="1"/>
    </xf>
    <xf numFmtId="44" fontId="13" fillId="0" borderId="0" xfId="2" applyFont="1"/>
    <xf numFmtId="0" fontId="0" fillId="5" borderId="0" xfId="0" applyFill="1" applyAlignment="1">
      <alignment horizontal="center"/>
    </xf>
    <xf numFmtId="171" fontId="0" fillId="0" borderId="0" xfId="0" applyNumberFormat="1" applyAlignment="1">
      <alignment horizontal="left" vertical="center" wrapText="1"/>
    </xf>
    <xf numFmtId="0" fontId="12" fillId="7" borderId="0" xfId="0" applyFont="1" applyFill="1"/>
    <xf numFmtId="0" fontId="0" fillId="7" borderId="0" xfId="0" applyFill="1"/>
    <xf numFmtId="169" fontId="0" fillId="7" borderId="0" xfId="0" applyNumberFormat="1" applyFill="1"/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2" fillId="2" borderId="0" xfId="0" applyFont="1" applyFill="1"/>
    <xf numFmtId="0" fontId="14" fillId="2" borderId="0" xfId="0" applyFont="1" applyFill="1"/>
    <xf numFmtId="44" fontId="11" fillId="0" borderId="0" xfId="2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12" fillId="2" borderId="1" xfId="0" applyFont="1" applyFill="1" applyBorder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10" fontId="0" fillId="0" borderId="0" xfId="1" applyNumberFormat="1" applyFont="1"/>
    <xf numFmtId="0" fontId="2" fillId="0" borderId="3" xfId="0" applyFont="1" applyBorder="1" applyAlignment="1">
      <alignment vertical="top" wrapText="1"/>
    </xf>
    <xf numFmtId="0" fontId="2" fillId="9" borderId="3" xfId="0" applyFont="1" applyFill="1" applyBorder="1" applyAlignment="1">
      <alignment vertical="center" wrapText="1"/>
    </xf>
  </cellXfs>
  <cellStyles count="1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Ruler="0" topLeftCell="A3" zoomScale="90" zoomScaleNormal="90" workbookViewId="0">
      <selection activeCell="F24" sqref="F24"/>
    </sheetView>
  </sheetViews>
  <sheetFormatPr baseColWidth="10" defaultRowHeight="19" x14ac:dyDescent="0.25"/>
  <cols>
    <col min="1" max="1" width="21.1640625" style="20" bestFit="1" customWidth="1"/>
    <col min="2" max="2" width="38.83203125" bestFit="1" customWidth="1"/>
    <col min="3" max="3" width="30" bestFit="1" customWidth="1"/>
    <col min="4" max="4" width="15.1640625" customWidth="1"/>
    <col min="5" max="5" width="18.1640625" bestFit="1" customWidth="1"/>
    <col min="6" max="6" width="19.1640625" bestFit="1" customWidth="1"/>
    <col min="9" max="9" width="77.6640625" style="4" bestFit="1" customWidth="1"/>
  </cols>
  <sheetData>
    <row r="1" spans="1:9" ht="21" hidden="1" customHeight="1" x14ac:dyDescent="0.2">
      <c r="A1" s="2"/>
      <c r="B1" s="2"/>
      <c r="C1" s="2"/>
      <c r="D1" s="2"/>
      <c r="E1" s="2"/>
      <c r="F1" s="2"/>
    </row>
    <row r="2" spans="1:9" ht="21" hidden="1" customHeight="1" x14ac:dyDescent="0.2">
      <c r="A2" s="2"/>
      <c r="B2" s="2"/>
      <c r="C2" s="2"/>
      <c r="D2" s="2"/>
      <c r="E2" s="2"/>
      <c r="F2" s="2"/>
    </row>
    <row r="3" spans="1:9" s="1" customFormat="1" ht="21" x14ac:dyDescent="0.25">
      <c r="A3" s="31"/>
      <c r="B3" s="1" t="s">
        <v>9</v>
      </c>
      <c r="C3" s="1" t="s">
        <v>10</v>
      </c>
      <c r="D3" s="1" t="s">
        <v>11</v>
      </c>
      <c r="F3" s="1" t="s">
        <v>16</v>
      </c>
      <c r="G3" s="37"/>
      <c r="H3" s="37"/>
      <c r="I3" s="32"/>
    </row>
    <row r="4" spans="1:9" ht="49" x14ac:dyDescent="0.25">
      <c r="A4" s="18" t="s">
        <v>0</v>
      </c>
      <c r="B4" s="7" t="s">
        <v>21</v>
      </c>
      <c r="C4" s="8">
        <v>10878.2</v>
      </c>
      <c r="D4" s="10">
        <f>CEILING(32000/18,1)</f>
        <v>1778</v>
      </c>
      <c r="E4" s="10"/>
      <c r="F4" s="14">
        <f>C4*D4</f>
        <v>19341439.600000001</v>
      </c>
      <c r="G4" s="16" t="s">
        <v>13</v>
      </c>
      <c r="H4" s="16"/>
      <c r="I4" s="33" t="s">
        <v>31</v>
      </c>
    </row>
    <row r="5" spans="1:9" ht="81" x14ac:dyDescent="0.25">
      <c r="A5" s="18" t="s">
        <v>1</v>
      </c>
      <c r="B5" s="7" t="s">
        <v>28</v>
      </c>
      <c r="C5" s="17" t="s">
        <v>27</v>
      </c>
      <c r="D5" s="7" t="s">
        <v>29</v>
      </c>
      <c r="F5" s="14">
        <f>(99*13959.99 + 21435*18)</f>
        <v>1767869.01</v>
      </c>
      <c r="G5" s="16"/>
      <c r="H5" s="16"/>
      <c r="I5" s="34" t="s">
        <v>26</v>
      </c>
    </row>
    <row r="6" spans="1:9" ht="49" x14ac:dyDescent="0.25">
      <c r="A6" s="18" t="s">
        <v>2</v>
      </c>
      <c r="B6" s="7" t="s">
        <v>30</v>
      </c>
      <c r="C6" s="14">
        <v>42</v>
      </c>
      <c r="D6" s="10">
        <f>1778+1782</f>
        <v>3560</v>
      </c>
      <c r="F6" s="13">
        <f>C6*D6</f>
        <v>149520</v>
      </c>
      <c r="G6" s="16"/>
      <c r="H6" s="16"/>
    </row>
    <row r="7" spans="1:9" ht="33" x14ac:dyDescent="0.25">
      <c r="A7" s="18" t="s">
        <v>3</v>
      </c>
      <c r="B7" s="7" t="s">
        <v>33</v>
      </c>
      <c r="C7" s="14">
        <v>1133.98</v>
      </c>
      <c r="D7">
        <f>CEILING((D4/42),1)</f>
        <v>43</v>
      </c>
      <c r="F7" s="14">
        <f>C7*D7</f>
        <v>48761.14</v>
      </c>
      <c r="G7" s="16"/>
      <c r="H7" s="16"/>
      <c r="I7" s="6" t="s">
        <v>32</v>
      </c>
    </row>
    <row r="8" spans="1:9" ht="29" x14ac:dyDescent="0.25">
      <c r="A8" s="18" t="s">
        <v>4</v>
      </c>
      <c r="B8" s="21" t="s">
        <v>35</v>
      </c>
      <c r="C8" s="14">
        <v>252</v>
      </c>
      <c r="D8">
        <f>CEILING(100*1000000/600, 1)</f>
        <v>166667</v>
      </c>
      <c r="F8" s="14">
        <f>C8*D8</f>
        <v>42000084</v>
      </c>
      <c r="G8" s="16"/>
      <c r="H8" s="16"/>
      <c r="I8" s="35" t="s">
        <v>34</v>
      </c>
    </row>
    <row r="9" spans="1:9" ht="33" x14ac:dyDescent="0.25">
      <c r="A9" s="18" t="s">
        <v>5</v>
      </c>
      <c r="B9" s="7" t="s">
        <v>38</v>
      </c>
      <c r="C9" s="22" t="s">
        <v>40</v>
      </c>
      <c r="D9" t="s">
        <v>41</v>
      </c>
      <c r="F9" s="14">
        <f>1162.2*5*D4</f>
        <v>10331958</v>
      </c>
      <c r="G9" s="16"/>
      <c r="H9" s="16"/>
      <c r="I9" s="5" t="s">
        <v>39</v>
      </c>
    </row>
    <row r="10" spans="1:9" ht="60" customHeight="1" x14ac:dyDescent="0.25">
      <c r="A10" s="18" t="s">
        <v>6</v>
      </c>
      <c r="B10" s="21" t="s">
        <v>42</v>
      </c>
      <c r="C10" s="22" t="s">
        <v>40</v>
      </c>
      <c r="D10" s="24" t="s">
        <v>44</v>
      </c>
      <c r="F10" s="14">
        <f>(((5*365*24*(D4*1400))*0.293)/1000)*0.0947</f>
        <v>3025181.9618160003</v>
      </c>
      <c r="G10" s="16"/>
      <c r="H10" s="16"/>
      <c r="I10" s="36" t="s">
        <v>43</v>
      </c>
    </row>
    <row r="11" spans="1:9" ht="33" x14ac:dyDescent="0.25">
      <c r="A11" s="18" t="s">
        <v>7</v>
      </c>
      <c r="B11" s="7" t="s">
        <v>36</v>
      </c>
      <c r="C11" s="14">
        <v>54925</v>
      </c>
      <c r="D11">
        <v>4</v>
      </c>
      <c r="F11" s="14">
        <f>C11*D11*5</f>
        <v>1098500</v>
      </c>
      <c r="G11" s="16"/>
      <c r="H11" s="16"/>
      <c r="I11" s="5" t="s">
        <v>37</v>
      </c>
    </row>
    <row r="12" spans="1:9" ht="19" customHeight="1" x14ac:dyDescent="0.25">
      <c r="A12" s="18" t="s">
        <v>8</v>
      </c>
      <c r="B12" t="s">
        <v>12</v>
      </c>
      <c r="C12" t="s">
        <v>12</v>
      </c>
      <c r="D12" t="s">
        <v>12</v>
      </c>
      <c r="F12" s="13" t="str">
        <f>ROUNDUP(SUM(F4:F11)/1000000,3) &amp;" Million"</f>
        <v>77.764 Million</v>
      </c>
      <c r="G12" s="16"/>
      <c r="H12" s="16"/>
    </row>
    <row r="13" spans="1:9" ht="19" customHeight="1" x14ac:dyDescent="0.25">
      <c r="A13" s="25"/>
      <c r="B13" s="26"/>
      <c r="C13" s="26"/>
      <c r="D13" s="26"/>
      <c r="E13" s="26"/>
      <c r="F13" s="27"/>
      <c r="G13" s="28"/>
      <c r="H13" s="30"/>
      <c r="I13" s="30"/>
    </row>
    <row r="14" spans="1:9" ht="19" customHeight="1" x14ac:dyDescent="0.25">
      <c r="A14" s="25"/>
      <c r="B14" s="26"/>
      <c r="C14" s="26"/>
      <c r="D14" s="26"/>
      <c r="E14" s="26"/>
      <c r="F14" s="26"/>
      <c r="G14" s="28"/>
      <c r="H14" s="30"/>
      <c r="I14" s="30"/>
    </row>
    <row r="15" spans="1:9" ht="21" x14ac:dyDescent="0.25">
      <c r="A15" s="18"/>
      <c r="B15" s="1" t="s">
        <v>9</v>
      </c>
      <c r="C15" s="1" t="s">
        <v>18</v>
      </c>
      <c r="D15" s="1" t="s">
        <v>11</v>
      </c>
      <c r="E15" s="1" t="s">
        <v>24</v>
      </c>
      <c r="F15" s="1" t="s">
        <v>17</v>
      </c>
      <c r="G15" s="29"/>
      <c r="H15" s="29"/>
    </row>
    <row r="16" spans="1:9" x14ac:dyDescent="0.25">
      <c r="A16" s="18" t="s">
        <v>0</v>
      </c>
      <c r="B16" t="s">
        <v>15</v>
      </c>
      <c r="C16" s="9">
        <v>4040.64</v>
      </c>
      <c r="D16">
        <v>1050</v>
      </c>
      <c r="E16" s="8">
        <f>C16*D16</f>
        <v>4242672</v>
      </c>
      <c r="F16" s="8">
        <f>E16*12*5</f>
        <v>254560320</v>
      </c>
      <c r="G16" s="23"/>
      <c r="H16" s="23"/>
      <c r="I16" s="5" t="s">
        <v>45</v>
      </c>
    </row>
    <row r="17" spans="1:9" x14ac:dyDescent="0.25">
      <c r="A17" s="18" t="s">
        <v>1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s="15" t="s">
        <v>14</v>
      </c>
      <c r="H17" s="15"/>
    </row>
    <row r="18" spans="1:9" x14ac:dyDescent="0.25">
      <c r="A18" s="18" t="s">
        <v>2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s="15"/>
      <c r="H18" s="15"/>
      <c r="I18" s="6" t="s">
        <v>19</v>
      </c>
    </row>
    <row r="19" spans="1:9" x14ac:dyDescent="0.25">
      <c r="A19" s="18" t="s">
        <v>3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s="15"/>
      <c r="H19" s="15"/>
    </row>
    <row r="20" spans="1:9" x14ac:dyDescent="0.25">
      <c r="A20" s="18" t="s">
        <v>4</v>
      </c>
      <c r="B20" s="7" t="s">
        <v>22</v>
      </c>
      <c r="C20" s="12" t="s">
        <v>23</v>
      </c>
      <c r="D20" s="10">
        <v>100000000</v>
      </c>
      <c r="E20" s="8">
        <v>2100563.2000000002</v>
      </c>
      <c r="F20" s="11">
        <f>E20*12*5</f>
        <v>126033792.00000001</v>
      </c>
      <c r="G20" s="15"/>
      <c r="H20" s="15"/>
    </row>
    <row r="21" spans="1:9" x14ac:dyDescent="0.25">
      <c r="A21" s="18" t="s">
        <v>5</v>
      </c>
      <c r="B21" s="3" t="s">
        <v>12</v>
      </c>
      <c r="C21" s="3" t="s">
        <v>12</v>
      </c>
      <c r="D21" s="3" t="s">
        <v>12</v>
      </c>
      <c r="E21" s="3" t="s">
        <v>12</v>
      </c>
      <c r="F21" s="3" t="s">
        <v>12</v>
      </c>
      <c r="G21" s="15"/>
      <c r="H21" s="15"/>
    </row>
    <row r="22" spans="1:9" x14ac:dyDescent="0.25">
      <c r="A22" s="18" t="s">
        <v>6</v>
      </c>
      <c r="B22" t="s">
        <v>12</v>
      </c>
      <c r="C22" t="s">
        <v>12</v>
      </c>
      <c r="D22" t="s">
        <v>12</v>
      </c>
      <c r="E22" s="8" t="s">
        <v>12</v>
      </c>
      <c r="F22" t="s">
        <v>12</v>
      </c>
      <c r="G22" s="15"/>
      <c r="H22" s="15"/>
      <c r="I22" s="5" t="s">
        <v>20</v>
      </c>
    </row>
    <row r="23" spans="1:9" x14ac:dyDescent="0.25">
      <c r="A23" s="18" t="s">
        <v>7</v>
      </c>
      <c r="B23" t="s">
        <v>25</v>
      </c>
      <c r="E23" s="8">
        <v>197197</v>
      </c>
      <c r="F23" s="8">
        <f>E23*12*5</f>
        <v>11831820</v>
      </c>
      <c r="G23" s="15"/>
      <c r="H23" s="15"/>
    </row>
    <row r="24" spans="1:9" x14ac:dyDescent="0.25">
      <c r="A24" s="18" t="s">
        <v>8</v>
      </c>
      <c r="B24" t="s">
        <v>12</v>
      </c>
      <c r="C24" t="s">
        <v>12</v>
      </c>
      <c r="D24" t="s">
        <v>12</v>
      </c>
      <c r="E24" s="8"/>
      <c r="F24" s="14" t="str">
        <f xml:space="preserve"> SUM(F15:F23)/1000000 &amp;" Million"</f>
        <v>392.425932 Million</v>
      </c>
      <c r="G24" s="15"/>
      <c r="H24" s="15"/>
    </row>
    <row r="25" spans="1:9" x14ac:dyDescent="0.25">
      <c r="A25" s="19"/>
      <c r="E25" s="8"/>
      <c r="G25" s="15"/>
      <c r="H25" s="15"/>
    </row>
    <row r="26" spans="1:9" x14ac:dyDescent="0.25">
      <c r="A26" s="19"/>
      <c r="G26" s="15"/>
      <c r="H26" s="15"/>
    </row>
  </sheetData>
  <sheetProtection password="CF7A" sheet="1" objects="1" scenarios="1"/>
  <mergeCells count="6">
    <mergeCell ref="A1:F2"/>
    <mergeCell ref="G17:H26"/>
    <mergeCell ref="G16:H16"/>
    <mergeCell ref="G15:H15"/>
    <mergeCell ref="H13:I14"/>
    <mergeCell ref="G4:H1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Ruler="0" topLeftCell="A7" workbookViewId="0">
      <selection activeCell="F22" sqref="F22"/>
    </sheetView>
  </sheetViews>
  <sheetFormatPr baseColWidth="10" defaultRowHeight="16" x14ac:dyDescent="0.2"/>
  <cols>
    <col min="1" max="1" width="18.6640625" bestFit="1" customWidth="1"/>
    <col min="2" max="2" width="38.33203125" bestFit="1" customWidth="1"/>
    <col min="3" max="3" width="30" bestFit="1" customWidth="1"/>
    <col min="4" max="4" width="12.6640625" bestFit="1" customWidth="1"/>
    <col min="5" max="5" width="18.1640625" bestFit="1" customWidth="1"/>
    <col min="6" max="6" width="19.83203125" bestFit="1" customWidth="1"/>
    <col min="9" max="9" width="69.83203125" customWidth="1"/>
  </cols>
  <sheetData>
    <row r="1" spans="1:9" ht="21" x14ac:dyDescent="0.25">
      <c r="A1" s="31"/>
      <c r="B1" s="1" t="s">
        <v>9</v>
      </c>
      <c r="C1" s="1" t="s">
        <v>10</v>
      </c>
      <c r="D1" s="1" t="s">
        <v>11</v>
      </c>
      <c r="E1" s="1"/>
      <c r="F1" s="1" t="s">
        <v>16</v>
      </c>
      <c r="G1" s="37"/>
      <c r="H1" s="37"/>
      <c r="I1" s="32"/>
    </row>
    <row r="2" spans="1:9" ht="78" customHeight="1" x14ac:dyDescent="0.25">
      <c r="A2" s="18" t="s">
        <v>0</v>
      </c>
      <c r="B2" s="7" t="s">
        <v>47</v>
      </c>
      <c r="C2" s="8">
        <v>8920</v>
      </c>
      <c r="D2" s="10">
        <f>CEILING(1000000/8,1)</f>
        <v>125000</v>
      </c>
      <c r="E2" s="10"/>
      <c r="F2" s="14">
        <f>C2*D2</f>
        <v>1115000000</v>
      </c>
      <c r="G2" s="16" t="s">
        <v>13</v>
      </c>
      <c r="H2" s="16"/>
      <c r="I2" s="33" t="s">
        <v>31</v>
      </c>
    </row>
    <row r="3" spans="1:9" ht="118" customHeight="1" x14ac:dyDescent="0.25">
      <c r="A3" s="18" t="s">
        <v>1</v>
      </c>
      <c r="B3" s="7" t="s">
        <v>49</v>
      </c>
      <c r="C3" s="17" t="s">
        <v>50</v>
      </c>
      <c r="D3" s="38" t="s">
        <v>51</v>
      </c>
      <c r="F3" s="14">
        <f>(556*12.5*13959.99 + 108335*18*12.5)</f>
        <v>121397305.5</v>
      </c>
      <c r="G3" s="16"/>
      <c r="H3" s="16"/>
      <c r="I3" s="34" t="s">
        <v>48</v>
      </c>
    </row>
    <row r="4" spans="1:9" ht="49" x14ac:dyDescent="0.25">
      <c r="A4" s="18" t="s">
        <v>2</v>
      </c>
      <c r="B4" s="7" t="s">
        <v>30</v>
      </c>
      <c r="C4" s="14">
        <v>42</v>
      </c>
      <c r="D4" s="10">
        <f>(10000+10008)*12.5</f>
        <v>250100</v>
      </c>
      <c r="F4" s="13">
        <f>C4*D4</f>
        <v>10504200</v>
      </c>
      <c r="G4" s="16"/>
      <c r="H4" s="16"/>
      <c r="I4" s="4"/>
    </row>
    <row r="5" spans="1:9" ht="33" x14ac:dyDescent="0.25">
      <c r="A5" s="18" t="s">
        <v>3</v>
      </c>
      <c r="B5" s="7" t="s">
        <v>33</v>
      </c>
      <c r="C5" s="14">
        <v>1133.98</v>
      </c>
      <c r="D5">
        <f>CEILING((D2/42),1)</f>
        <v>2977</v>
      </c>
      <c r="F5" s="14">
        <f>C5*D5</f>
        <v>3375858.46</v>
      </c>
      <c r="G5" s="16"/>
      <c r="H5" s="16"/>
      <c r="I5" s="6" t="s">
        <v>32</v>
      </c>
    </row>
    <row r="6" spans="1:9" ht="29" x14ac:dyDescent="0.25">
      <c r="A6" s="18" t="s">
        <v>4</v>
      </c>
      <c r="B6" s="21" t="s">
        <v>35</v>
      </c>
      <c r="C6" s="14">
        <v>252</v>
      </c>
      <c r="D6">
        <f>CEILING(10*1000000/600, 1)</f>
        <v>16667</v>
      </c>
      <c r="F6" s="14">
        <f>C6*D6</f>
        <v>4200084</v>
      </c>
      <c r="G6" s="16"/>
      <c r="H6" s="16"/>
      <c r="I6" s="35" t="s">
        <v>34</v>
      </c>
    </row>
    <row r="7" spans="1:9" ht="33" x14ac:dyDescent="0.25">
      <c r="A7" s="18" t="s">
        <v>5</v>
      </c>
      <c r="B7" s="7" t="s">
        <v>38</v>
      </c>
      <c r="C7" s="22" t="s">
        <v>40</v>
      </c>
      <c r="D7" t="s">
        <v>41</v>
      </c>
      <c r="F7" s="14">
        <f>1162.2*5*D2</f>
        <v>726375000</v>
      </c>
      <c r="G7" s="16"/>
      <c r="H7" s="16"/>
      <c r="I7" s="5" t="s">
        <v>39</v>
      </c>
    </row>
    <row r="8" spans="1:9" ht="64" x14ac:dyDescent="0.25">
      <c r="A8" s="18" t="s">
        <v>6</v>
      </c>
      <c r="B8" s="21" t="s">
        <v>42</v>
      </c>
      <c r="C8" s="22" t="s">
        <v>40</v>
      </c>
      <c r="D8" s="24" t="s">
        <v>44</v>
      </c>
      <c r="F8" s="14">
        <f>(((5*365*24*(D2*1400))*0.293)/1000)*0.0947</f>
        <v>212681521.5</v>
      </c>
      <c r="G8" s="16"/>
      <c r="H8" s="16"/>
      <c r="I8" s="36" t="s">
        <v>43</v>
      </c>
    </row>
    <row r="9" spans="1:9" ht="33" x14ac:dyDescent="0.25">
      <c r="A9" s="18" t="s">
        <v>7</v>
      </c>
      <c r="B9" s="7" t="s">
        <v>36</v>
      </c>
      <c r="C9" s="14">
        <v>54925</v>
      </c>
      <c r="D9">
        <v>125</v>
      </c>
      <c r="F9" s="14">
        <f>C9*D9*5</f>
        <v>34328125</v>
      </c>
      <c r="G9" s="16"/>
      <c r="H9" s="16"/>
      <c r="I9" s="5" t="s">
        <v>37</v>
      </c>
    </row>
    <row r="10" spans="1:9" ht="19" x14ac:dyDescent="0.25">
      <c r="A10" s="18" t="s">
        <v>8</v>
      </c>
      <c r="B10" t="s">
        <v>12</v>
      </c>
      <c r="C10" t="s">
        <v>12</v>
      </c>
      <c r="D10" t="s">
        <v>12</v>
      </c>
      <c r="F10" s="13" t="str">
        <f>ROUNDUP(SUM(F2:F9)/1000000000,3) &amp;" Billions"</f>
        <v>2.228 Billions</v>
      </c>
      <c r="G10" s="16"/>
      <c r="H10" s="16"/>
      <c r="I10" s="4"/>
    </row>
    <row r="11" spans="1:9" ht="21" x14ac:dyDescent="0.25">
      <c r="A11" s="25"/>
      <c r="B11" s="26"/>
      <c r="C11" s="26"/>
      <c r="D11" s="26"/>
      <c r="E11" s="26"/>
      <c r="F11" s="27"/>
      <c r="G11" s="28"/>
      <c r="H11" s="30"/>
      <c r="I11" s="30"/>
    </row>
    <row r="12" spans="1:9" ht="21" x14ac:dyDescent="0.25">
      <c r="A12" s="25"/>
      <c r="B12" s="26"/>
      <c r="C12" s="26"/>
      <c r="D12" s="26"/>
      <c r="E12" s="26"/>
      <c r="F12" s="26"/>
      <c r="G12" s="28"/>
      <c r="H12" s="30"/>
      <c r="I12" s="30"/>
    </row>
    <row r="13" spans="1:9" ht="21" x14ac:dyDescent="0.25">
      <c r="A13" s="18"/>
      <c r="B13" s="1" t="s">
        <v>9</v>
      </c>
      <c r="C13" s="1" t="s">
        <v>18</v>
      </c>
      <c r="D13" s="1" t="s">
        <v>11</v>
      </c>
      <c r="E13" s="1" t="s">
        <v>24</v>
      </c>
      <c r="F13" s="1" t="s">
        <v>17</v>
      </c>
      <c r="G13" s="29"/>
      <c r="H13" s="29"/>
      <c r="I13" s="4"/>
    </row>
    <row r="14" spans="1:9" ht="19" x14ac:dyDescent="0.25">
      <c r="A14" s="18" t="s">
        <v>0</v>
      </c>
      <c r="B14" t="s">
        <v>46</v>
      </c>
      <c r="C14" s="8">
        <v>121.52</v>
      </c>
      <c r="D14">
        <v>1000000</v>
      </c>
      <c r="E14" s="8">
        <v>121520000</v>
      </c>
      <c r="F14" s="8">
        <f>E14*12*5</f>
        <v>7291200000</v>
      </c>
      <c r="G14" s="23"/>
      <c r="H14" s="23"/>
      <c r="I14" s="4"/>
    </row>
    <row r="15" spans="1:9" ht="19" x14ac:dyDescent="0.25">
      <c r="A15" s="18" t="s">
        <v>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s="15" t="s">
        <v>14</v>
      </c>
      <c r="H15" s="15"/>
      <c r="I15" s="4"/>
    </row>
    <row r="16" spans="1:9" ht="19" x14ac:dyDescent="0.25">
      <c r="A16" s="18" t="s">
        <v>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s="15"/>
      <c r="H16" s="15"/>
      <c r="I16" s="6"/>
    </row>
    <row r="17" spans="1:9" ht="19" x14ac:dyDescent="0.25">
      <c r="A17" s="18" t="s">
        <v>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s="15"/>
      <c r="H17" s="15"/>
      <c r="I17" s="4"/>
    </row>
    <row r="18" spans="1:9" ht="19" x14ac:dyDescent="0.25">
      <c r="A18" s="18" t="s">
        <v>4</v>
      </c>
      <c r="B18" s="7" t="s">
        <v>22</v>
      </c>
      <c r="C18" s="12" t="s">
        <v>23</v>
      </c>
      <c r="D18" s="10">
        <v>10000000</v>
      </c>
      <c r="E18" s="8">
        <v>220764.16</v>
      </c>
      <c r="F18" s="11">
        <f>E18*12*5</f>
        <v>13245849.6</v>
      </c>
      <c r="G18" s="15"/>
      <c r="H18" s="15"/>
      <c r="I18" s="4"/>
    </row>
    <row r="19" spans="1:9" ht="19" x14ac:dyDescent="0.25">
      <c r="A19" s="18" t="s">
        <v>5</v>
      </c>
      <c r="B19" s="3" t="s">
        <v>12</v>
      </c>
      <c r="C19" s="3" t="s">
        <v>12</v>
      </c>
      <c r="D19" s="3" t="s">
        <v>12</v>
      </c>
      <c r="E19" s="3" t="s">
        <v>12</v>
      </c>
      <c r="F19" s="3" t="s">
        <v>12</v>
      </c>
      <c r="G19" s="15"/>
      <c r="H19" s="15"/>
      <c r="I19" s="4"/>
    </row>
    <row r="20" spans="1:9" ht="19" x14ac:dyDescent="0.25">
      <c r="A20" s="18" t="s">
        <v>6</v>
      </c>
      <c r="B20" t="s">
        <v>12</v>
      </c>
      <c r="C20" t="s">
        <v>12</v>
      </c>
      <c r="D20" t="s">
        <v>12</v>
      </c>
      <c r="E20" s="8" t="s">
        <v>12</v>
      </c>
      <c r="F20" t="s">
        <v>12</v>
      </c>
      <c r="G20" s="15"/>
      <c r="H20" s="15"/>
      <c r="I20" s="5" t="s">
        <v>20</v>
      </c>
    </row>
    <row r="21" spans="1:9" ht="19" x14ac:dyDescent="0.25">
      <c r="A21" s="18" t="s">
        <v>7</v>
      </c>
      <c r="B21" t="s">
        <v>25</v>
      </c>
      <c r="E21" s="8">
        <v>3659122.93</v>
      </c>
      <c r="F21" s="8">
        <f>E21*12*5</f>
        <v>219547375.80000001</v>
      </c>
      <c r="G21" s="15"/>
      <c r="H21" s="15"/>
      <c r="I21" s="4"/>
    </row>
    <row r="22" spans="1:9" ht="19" x14ac:dyDescent="0.25">
      <c r="A22" s="18" t="s">
        <v>8</v>
      </c>
      <c r="B22" t="s">
        <v>12</v>
      </c>
      <c r="C22" t="s">
        <v>12</v>
      </c>
      <c r="D22" t="s">
        <v>12</v>
      </c>
      <c r="E22" s="8"/>
      <c r="F22" s="14" t="str">
        <f>ROUNDUP(SUM(F14:F21)/1000000000,3)&amp;" Billion"</f>
        <v>7.524 Billion</v>
      </c>
      <c r="G22" s="15"/>
      <c r="H22" s="15"/>
      <c r="I22" s="4"/>
    </row>
    <row r="23" spans="1:9" ht="19" x14ac:dyDescent="0.25">
      <c r="A23" s="19"/>
      <c r="E23" s="8"/>
      <c r="G23" s="15"/>
      <c r="H23" s="15"/>
      <c r="I23" s="4"/>
    </row>
    <row r="24" spans="1:9" ht="19" x14ac:dyDescent="0.25">
      <c r="A24" s="19"/>
      <c r="G24" s="15"/>
      <c r="H24" s="15"/>
      <c r="I24" s="4"/>
    </row>
  </sheetData>
  <sheetProtection password="CF7A" sheet="1" objects="1" scenarios="1"/>
  <mergeCells count="5">
    <mergeCell ref="G2:H10"/>
    <mergeCell ref="H11:I12"/>
    <mergeCell ref="G13:H13"/>
    <mergeCell ref="G14:H14"/>
    <mergeCell ref="G15:H2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Ruler="0" workbookViewId="0">
      <selection activeCell="C2" sqref="C2"/>
    </sheetView>
  </sheetViews>
  <sheetFormatPr baseColWidth="10" defaultRowHeight="16" x14ac:dyDescent="0.2"/>
  <cols>
    <col min="1" max="1" width="18.6640625" bestFit="1" customWidth="1"/>
    <col min="2" max="2" width="38.33203125" bestFit="1" customWidth="1"/>
    <col min="3" max="3" width="30" bestFit="1" customWidth="1"/>
    <col min="4" max="4" width="14.6640625" bestFit="1" customWidth="1"/>
    <col min="5" max="5" width="18.1640625" bestFit="1" customWidth="1"/>
    <col min="6" max="6" width="19.83203125" bestFit="1" customWidth="1"/>
    <col min="9" max="9" width="135.6640625" bestFit="1" customWidth="1"/>
  </cols>
  <sheetData>
    <row r="1" spans="1:9" ht="21" x14ac:dyDescent="0.25">
      <c r="A1" s="31"/>
      <c r="B1" s="1" t="s">
        <v>9</v>
      </c>
      <c r="C1" s="1" t="s">
        <v>10</v>
      </c>
      <c r="D1" s="1" t="s">
        <v>11</v>
      </c>
      <c r="E1" s="1"/>
      <c r="F1" s="1" t="s">
        <v>16</v>
      </c>
      <c r="G1" s="37"/>
      <c r="H1" s="37"/>
      <c r="I1" s="32"/>
    </row>
    <row r="2" spans="1:9" ht="80" x14ac:dyDescent="0.25">
      <c r="A2" s="18" t="s">
        <v>0</v>
      </c>
      <c r="B2" s="38" t="s">
        <v>53</v>
      </c>
      <c r="C2" s="8">
        <f>(18250.59+8*19508.16)</f>
        <v>174315.87</v>
      </c>
      <c r="D2" s="10">
        <f>D14</f>
        <v>999</v>
      </c>
      <c r="E2" s="10"/>
      <c r="F2" s="14">
        <f>C2*D2</f>
        <v>174141554.13</v>
      </c>
      <c r="G2" s="16" t="s">
        <v>13</v>
      </c>
      <c r="H2" s="16"/>
      <c r="I2" s="33" t="s">
        <v>54</v>
      </c>
    </row>
    <row r="3" spans="1:9" ht="81" x14ac:dyDescent="0.25">
      <c r="A3" s="18" t="s">
        <v>1</v>
      </c>
      <c r="B3" s="7" t="s">
        <v>56</v>
      </c>
      <c r="C3" s="17" t="s">
        <v>27</v>
      </c>
      <c r="D3" s="7" t="s">
        <v>57</v>
      </c>
      <c r="F3" s="14">
        <f>(56*13959.99 + 21435*18)</f>
        <v>1167589.44</v>
      </c>
      <c r="G3" s="16"/>
      <c r="H3" s="16"/>
      <c r="I3" s="34" t="s">
        <v>55</v>
      </c>
    </row>
    <row r="4" spans="1:9" ht="49" x14ac:dyDescent="0.25">
      <c r="A4" s="18" t="s">
        <v>2</v>
      </c>
      <c r="B4" s="7" t="s">
        <v>30</v>
      </c>
      <c r="C4" s="14">
        <v>42</v>
      </c>
      <c r="D4" s="10">
        <f>1008+1000</f>
        <v>2008</v>
      </c>
      <c r="F4" s="13">
        <f>C4*D4</f>
        <v>84336</v>
      </c>
      <c r="G4" s="16"/>
      <c r="H4" s="16"/>
      <c r="I4" s="4"/>
    </row>
    <row r="5" spans="1:9" ht="33" x14ac:dyDescent="0.25">
      <c r="A5" s="18" t="s">
        <v>3</v>
      </c>
      <c r="B5" s="7" t="s">
        <v>33</v>
      </c>
      <c r="C5" s="14">
        <v>1133.98</v>
      </c>
      <c r="D5">
        <f>CEILING((D2*2/42),1)</f>
        <v>48</v>
      </c>
      <c r="F5" s="14">
        <f>C5*D5</f>
        <v>54431.040000000001</v>
      </c>
      <c r="G5" s="16"/>
      <c r="H5" s="16"/>
      <c r="I5" s="6" t="s">
        <v>32</v>
      </c>
    </row>
    <row r="6" spans="1:9" ht="29" x14ac:dyDescent="0.25">
      <c r="A6" s="18" t="s">
        <v>4</v>
      </c>
      <c r="B6" s="21" t="s">
        <v>35</v>
      </c>
      <c r="C6" s="14">
        <v>252</v>
      </c>
      <c r="D6">
        <f>CEILING(1*1000000/600, 1)</f>
        <v>1667</v>
      </c>
      <c r="F6" s="14">
        <f>C6*D6</f>
        <v>420084</v>
      </c>
      <c r="G6" s="16"/>
      <c r="H6" s="16"/>
      <c r="I6" s="35" t="s">
        <v>34</v>
      </c>
    </row>
    <row r="7" spans="1:9" ht="33" x14ac:dyDescent="0.25">
      <c r="A7" s="18" t="s">
        <v>5</v>
      </c>
      <c r="B7" s="7" t="s">
        <v>38</v>
      </c>
      <c r="C7" s="22" t="s">
        <v>40</v>
      </c>
      <c r="D7" t="s">
        <v>58</v>
      </c>
      <c r="F7" s="14">
        <f>2324.39*5*D2</f>
        <v>11610328.049999999</v>
      </c>
      <c r="G7" s="16"/>
      <c r="H7" s="16"/>
      <c r="I7" s="5" t="s">
        <v>59</v>
      </c>
    </row>
    <row r="8" spans="1:9" ht="64" x14ac:dyDescent="0.25">
      <c r="A8" s="18" t="s">
        <v>6</v>
      </c>
      <c r="B8" s="21" t="s">
        <v>42</v>
      </c>
      <c r="C8" s="22" t="s">
        <v>40</v>
      </c>
      <c r="D8" s="24" t="s">
        <v>44</v>
      </c>
      <c r="F8" s="14">
        <f>(((5*365*24*(D2*(1400+1400)))*0.293)/1000)*0.0947</f>
        <v>3399501.4396560001</v>
      </c>
      <c r="G8" s="16"/>
      <c r="H8" s="16"/>
      <c r="I8" s="36" t="s">
        <v>43</v>
      </c>
    </row>
    <row r="9" spans="1:9" ht="33" x14ac:dyDescent="0.25">
      <c r="A9" s="18" t="s">
        <v>7</v>
      </c>
      <c r="B9" s="7" t="s">
        <v>36</v>
      </c>
      <c r="C9" s="14">
        <v>54925</v>
      </c>
      <c r="D9">
        <v>4</v>
      </c>
      <c r="F9" s="14">
        <f>C9*D9*5</f>
        <v>1098500</v>
      </c>
      <c r="G9" s="16"/>
      <c r="H9" s="16"/>
      <c r="I9" s="5" t="s">
        <v>37</v>
      </c>
    </row>
    <row r="10" spans="1:9" ht="19" x14ac:dyDescent="0.25">
      <c r="A10" s="18" t="s">
        <v>8</v>
      </c>
      <c r="B10" t="s">
        <v>12</v>
      </c>
      <c r="C10" t="s">
        <v>12</v>
      </c>
      <c r="D10" t="s">
        <v>12</v>
      </c>
      <c r="F10" s="13" t="str">
        <f>ROUNDUP(SUM(F2:F9)/1000000,3) &amp;" Million"</f>
        <v>191.977 Million</v>
      </c>
      <c r="G10" s="16"/>
      <c r="H10" s="16"/>
      <c r="I10" s="4"/>
    </row>
    <row r="11" spans="1:9" ht="21" x14ac:dyDescent="0.25">
      <c r="A11" s="25"/>
      <c r="B11" s="26"/>
      <c r="C11" s="26"/>
      <c r="D11" s="26"/>
      <c r="E11" s="26"/>
      <c r="F11" s="27"/>
      <c r="G11" s="28"/>
      <c r="H11" s="30"/>
      <c r="I11" s="30"/>
    </row>
    <row r="12" spans="1:9" ht="21" x14ac:dyDescent="0.25">
      <c r="A12" s="25"/>
      <c r="B12" s="26"/>
      <c r="C12" s="26"/>
      <c r="D12" s="26"/>
      <c r="E12" s="26"/>
      <c r="F12" s="26"/>
      <c r="G12" s="28"/>
      <c r="H12" s="30"/>
      <c r="I12" s="30"/>
    </row>
    <row r="13" spans="1:9" ht="21" x14ac:dyDescent="0.25">
      <c r="A13" s="18"/>
      <c r="B13" s="1" t="s">
        <v>9</v>
      </c>
      <c r="C13" s="1" t="s">
        <v>18</v>
      </c>
      <c r="D13" s="1" t="s">
        <v>11</v>
      </c>
      <c r="E13" s="1" t="s">
        <v>24</v>
      </c>
      <c r="F13" s="1" t="s">
        <v>17</v>
      </c>
      <c r="G13" s="29"/>
      <c r="H13" s="29"/>
      <c r="I13" s="4"/>
    </row>
    <row r="14" spans="1:9" ht="19" x14ac:dyDescent="0.25">
      <c r="A14" s="18" t="s">
        <v>0</v>
      </c>
      <c r="B14" t="s">
        <v>46</v>
      </c>
      <c r="C14" s="9">
        <v>17919.36</v>
      </c>
      <c r="D14">
        <f>ROUNDUP((1000000000000000000)/((8*125*1000000000000)+(64*3*1000000000*8)),0)</f>
        <v>999</v>
      </c>
      <c r="E14" s="8">
        <f>C14*D14</f>
        <v>17901440.640000001</v>
      </c>
      <c r="F14" s="8">
        <f>E14*12*5</f>
        <v>1074086438.4000001</v>
      </c>
      <c r="G14" s="23"/>
      <c r="H14" s="23"/>
      <c r="I14" s="5" t="s">
        <v>45</v>
      </c>
    </row>
    <row r="15" spans="1:9" ht="19" x14ac:dyDescent="0.25">
      <c r="A15" s="18" t="s">
        <v>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s="15" t="s">
        <v>14</v>
      </c>
      <c r="H15" s="15"/>
      <c r="I15" s="4"/>
    </row>
    <row r="16" spans="1:9" ht="19" x14ac:dyDescent="0.25">
      <c r="A16" s="18" t="s">
        <v>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s="15"/>
      <c r="H16" s="15"/>
      <c r="I16" s="6"/>
    </row>
    <row r="17" spans="1:9" ht="19" x14ac:dyDescent="0.25">
      <c r="A17" s="18" t="s">
        <v>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s="15"/>
      <c r="H17" s="15"/>
      <c r="I17" s="4"/>
    </row>
    <row r="18" spans="1:9" ht="19" x14ac:dyDescent="0.25">
      <c r="A18" s="18" t="s">
        <v>4</v>
      </c>
      <c r="B18" s="7" t="s">
        <v>22</v>
      </c>
      <c r="C18" s="12" t="s">
        <v>23</v>
      </c>
      <c r="D18" s="10">
        <v>1000000</v>
      </c>
      <c r="E18" s="8">
        <v>22583.3</v>
      </c>
      <c r="F18" s="11">
        <f>E18*12*5</f>
        <v>1354998</v>
      </c>
      <c r="G18" s="15"/>
      <c r="H18" s="15"/>
      <c r="I18" s="4"/>
    </row>
    <row r="19" spans="1:9" ht="19" x14ac:dyDescent="0.25">
      <c r="A19" s="18" t="s">
        <v>5</v>
      </c>
      <c r="B19" s="3" t="s">
        <v>12</v>
      </c>
      <c r="C19" s="3" t="s">
        <v>12</v>
      </c>
      <c r="D19" s="3" t="s">
        <v>12</v>
      </c>
      <c r="E19" s="3" t="s">
        <v>12</v>
      </c>
      <c r="F19" s="3" t="s">
        <v>12</v>
      </c>
      <c r="G19" s="15"/>
      <c r="H19" s="15"/>
      <c r="I19" s="4"/>
    </row>
    <row r="20" spans="1:9" ht="19" x14ac:dyDescent="0.25">
      <c r="A20" s="18" t="s">
        <v>6</v>
      </c>
      <c r="B20" t="s">
        <v>12</v>
      </c>
      <c r="C20" t="s">
        <v>12</v>
      </c>
      <c r="D20" t="s">
        <v>12</v>
      </c>
      <c r="E20" s="8" t="s">
        <v>12</v>
      </c>
      <c r="F20" t="s">
        <v>12</v>
      </c>
      <c r="G20" s="15"/>
      <c r="H20" s="15"/>
      <c r="I20" s="5" t="s">
        <v>52</v>
      </c>
    </row>
    <row r="21" spans="1:9" ht="19" x14ac:dyDescent="0.25">
      <c r="A21" s="18" t="s">
        <v>7</v>
      </c>
      <c r="B21" t="s">
        <v>25</v>
      </c>
      <c r="E21" s="8">
        <v>544620.72</v>
      </c>
      <c r="F21" s="8">
        <f>E21*12*5</f>
        <v>32677243.199999999</v>
      </c>
      <c r="G21" s="15"/>
      <c r="H21" s="15"/>
      <c r="I21" s="4"/>
    </row>
    <row r="22" spans="1:9" ht="19" x14ac:dyDescent="0.25">
      <c r="A22" s="18" t="s">
        <v>8</v>
      </c>
      <c r="B22" t="s">
        <v>12</v>
      </c>
      <c r="C22" t="s">
        <v>12</v>
      </c>
      <c r="D22" t="s">
        <v>12</v>
      </c>
      <c r="E22" s="8"/>
      <c r="F22" s="14" t="str">
        <f xml:space="preserve"> ROUNDUP(SUM(F14:F21)/1000000,3)&amp;" Million"</f>
        <v>1108.119 Million</v>
      </c>
      <c r="G22" s="15"/>
      <c r="H22" s="15"/>
      <c r="I22" s="4"/>
    </row>
    <row r="23" spans="1:9" ht="19" x14ac:dyDescent="0.25">
      <c r="A23" s="19"/>
      <c r="E23" s="8"/>
      <c r="G23" s="15"/>
      <c r="H23" s="15"/>
      <c r="I23" s="4"/>
    </row>
    <row r="24" spans="1:9" ht="19" x14ac:dyDescent="0.25">
      <c r="A24" s="19"/>
      <c r="G24" s="15"/>
      <c r="H24" s="15"/>
      <c r="I24" s="4"/>
    </row>
  </sheetData>
  <sheetProtection password="CF7A" sheet="1" objects="1" scenarios="1"/>
  <mergeCells count="5">
    <mergeCell ref="G2:H10"/>
    <mergeCell ref="H11:I12"/>
    <mergeCell ref="G13:H13"/>
    <mergeCell ref="G14:H14"/>
    <mergeCell ref="G15:H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showRuler="0" workbookViewId="0">
      <selection activeCell="B13" sqref="B13"/>
    </sheetView>
  </sheetViews>
  <sheetFormatPr baseColWidth="10" defaultRowHeight="16" x14ac:dyDescent="0.2"/>
  <cols>
    <col min="1" max="1" width="43.83203125" style="42" customWidth="1"/>
    <col min="2" max="2" width="33.1640625" bestFit="1" customWidth="1"/>
    <col min="3" max="3" width="28" bestFit="1" customWidth="1"/>
    <col min="4" max="4" width="28.33203125" bestFit="1" customWidth="1"/>
  </cols>
  <sheetData>
    <row r="1" spans="1:9" ht="21" x14ac:dyDescent="0.25">
      <c r="A1" s="39"/>
      <c r="B1" s="1" t="s">
        <v>63</v>
      </c>
      <c r="C1" s="1" t="s">
        <v>64</v>
      </c>
      <c r="D1" s="1" t="s">
        <v>65</v>
      </c>
      <c r="E1" s="1"/>
      <c r="F1" s="1"/>
      <c r="G1" s="37"/>
      <c r="H1" s="37"/>
      <c r="I1" s="32"/>
    </row>
    <row r="2" spans="1:9" ht="57" x14ac:dyDescent="0.25">
      <c r="A2" s="40" t="s">
        <v>60</v>
      </c>
      <c r="B2" s="14">
        <v>392.42593199999999</v>
      </c>
      <c r="C2">
        <v>7.524</v>
      </c>
      <c r="D2">
        <v>1108.1189999999999</v>
      </c>
    </row>
    <row r="3" spans="1:9" ht="38" x14ac:dyDescent="0.25">
      <c r="A3" s="40" t="s">
        <v>61</v>
      </c>
      <c r="B3" s="14">
        <v>77.763999999999996</v>
      </c>
      <c r="C3">
        <v>2.2280000000000002</v>
      </c>
      <c r="D3">
        <v>191.977</v>
      </c>
    </row>
    <row r="4" spans="1:9" ht="76" x14ac:dyDescent="0.25">
      <c r="A4" s="41" t="s">
        <v>62</v>
      </c>
      <c r="B4" s="43">
        <f>B3/B2</f>
        <v>0.19816223561902632</v>
      </c>
      <c r="C4" s="43">
        <f t="shared" ref="C4:D4" si="0">C3/C2</f>
        <v>0.29611908559276984</v>
      </c>
      <c r="D4" s="43">
        <f t="shared" si="0"/>
        <v>0.1732458337055858</v>
      </c>
    </row>
    <row r="5" spans="1:9" ht="64" x14ac:dyDescent="0.2">
      <c r="A5" s="45" t="s">
        <v>66</v>
      </c>
      <c r="B5" s="38" t="str">
        <f xml:space="preserve"> "Private cloud only costs "&amp;ROUNDUP(B4*100,2)&amp;"% of AWS, Or if we need the resources for small projects less than "&amp;ROUNDUP((B4*60),1) &amp;" months"</f>
        <v>Private cloud only costs 19.82% of AWS, Or if we need the resources for small projects less than 11.9 months</v>
      </c>
      <c r="C5" s="38" t="str">
        <f t="shared" ref="C5:D5" si="1" xml:space="preserve"> "Private cloud only costs "&amp;ROUNDUP(C4*100,2)&amp;"% of AWS, Or if we need the resources for small projects less than "&amp;ROUNDUP((C4*60),1) &amp;" months"</f>
        <v>Private cloud only costs 29.62% of AWS, Or if we need the resources for small projects less than 17.8 months</v>
      </c>
      <c r="D5" s="38" t="str">
        <f t="shared" si="1"/>
        <v>Private cloud only costs 17.33% of AWS, Or if we need the resources for small projects less than 10.4 months</v>
      </c>
    </row>
    <row r="10" spans="1:9" x14ac:dyDescent="0.2">
      <c r="A10" s="44"/>
    </row>
  </sheetData>
  <sheetProtection password="CF7A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Config1</vt:lpstr>
      <vt:lpstr>Config2</vt:lpstr>
      <vt:lpstr>Config3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2018-04-20T19:09:59Z</dcterms:created>
  <dcterms:modified xsi:type="dcterms:W3CDTF">2018-04-22T06:30:53Z</dcterms:modified>
</cp:coreProperties>
</file>