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Trading Tools\"/>
    </mc:Choice>
  </mc:AlternateContent>
  <xr:revisionPtr revIDLastSave="0" documentId="13_ncr:1_{2972CD59-A091-4463-8843-7961258C9989}" xr6:coauthVersionLast="47" xr6:coauthVersionMax="47" xr10:uidLastSave="{00000000-0000-0000-0000-000000000000}"/>
  <bookViews>
    <workbookView xWindow="-120" yWindow="-120" windowWidth="29040" windowHeight="15720" tabRatio="814" xr2:uid="{F68A944C-9ECB-4089-8880-A2034EB9EF0E}"/>
  </bookViews>
  <sheets>
    <sheet name="Trade Dashboard" sheetId="22" r:id="rId1"/>
    <sheet name="Momentum Matrix" sheetId="13" r:id="rId2"/>
    <sheet name="Global_Sector_MOM" sheetId="11" r:id="rId3"/>
    <sheet name="Global_Sector_Y" sheetId="10" r:id="rId4"/>
    <sheet name="Global_Sector_SMA" sheetId="9" r:id="rId5"/>
  </sheets>
  <definedNames>
    <definedName name="ExternalData_1" localSheetId="4" hidden="1">Global_Sector_SMA!$A$1:$R$2</definedName>
    <definedName name="ExternalData_2" localSheetId="3" hidden="1">Global_Sector_Y!$A$1:$Q$2</definedName>
    <definedName name="ExternalData_3" localSheetId="2" hidden="1">Global_Sector_MOM!$A$1:$R$14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2" l="1" a="1"/>
  <c r="A5" i="22" s="1"/>
  <c r="J28" i="22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O3" i="13" s="1"/>
  <c r="O2" i="13" s="1"/>
  <c r="P5" i="13"/>
  <c r="Q5" i="13"/>
  <c r="R5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B4" i="13"/>
  <c r="B5" i="13"/>
  <c r="B6" i="13"/>
  <c r="B7" i="13"/>
  <c r="B8" i="13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B1" i="13"/>
  <c r="H14" i="22" a="1"/>
  <c r="H14" i="22" s="1"/>
  <c r="I14" i="22" s="1" a="1"/>
  <c r="I14" i="22" s="1"/>
  <c r="J14" i="22"/>
  <c r="H19" i="22" a="1"/>
  <c r="H19" i="22" s="1"/>
  <c r="I19" i="22" s="1" a="1"/>
  <c r="I19" i="22" s="1"/>
  <c r="J19" i="22"/>
  <c r="H18" i="22" a="1"/>
  <c r="H18" i="22" s="1"/>
  <c r="I18" i="22" s="1" a="1"/>
  <c r="I18" i="22" s="1"/>
  <c r="J18" i="22"/>
  <c r="H27" i="22" a="1"/>
  <c r="H27" i="22" s="1"/>
  <c r="I27" i="22" s="1" a="1"/>
  <c r="I27" i="22" s="1"/>
  <c r="J27" i="22"/>
  <c r="H22" i="22" a="1"/>
  <c r="H22" i="22" s="1"/>
  <c r="I22" i="22" s="1" a="1"/>
  <c r="I22" i="22" s="1"/>
  <c r="J22" i="22"/>
  <c r="H20" i="22" a="1"/>
  <c r="H20" i="22" s="1"/>
  <c r="I20" i="22" s="1" a="1"/>
  <c r="I20" i="22" s="1"/>
  <c r="J20" i="22"/>
  <c r="H16" i="22" a="1"/>
  <c r="H16" i="22" s="1"/>
  <c r="I16" i="22" s="1" a="1"/>
  <c r="I16" i="22" s="1"/>
  <c r="J16" i="22"/>
  <c r="H26" i="22" a="1"/>
  <c r="H26" i="22" s="1"/>
  <c r="E26" i="22" s="1" a="1"/>
  <c r="E26" i="22" s="1"/>
  <c r="J26" i="22"/>
  <c r="H25" i="22" a="1"/>
  <c r="H25" i="22" s="1"/>
  <c r="E25" i="22" s="1" a="1"/>
  <c r="E25" i="22" s="1"/>
  <c r="J25" i="22"/>
  <c r="H24" i="22" a="1"/>
  <c r="H24" i="22" s="1"/>
  <c r="E24" i="22" s="1" a="1"/>
  <c r="E24" i="22" s="1"/>
  <c r="J24" i="22"/>
  <c r="H11" i="22" a="1"/>
  <c r="H11" i="22" s="1"/>
  <c r="I11" i="22" s="1" a="1"/>
  <c r="I11" i="22" s="1"/>
  <c r="J11" i="22"/>
  <c r="H12" i="22" a="1"/>
  <c r="H12" i="22" s="1"/>
  <c r="I12" i="22" s="1" a="1"/>
  <c r="I12" i="22" s="1"/>
  <c r="J12" i="22"/>
  <c r="H17" i="22" a="1"/>
  <c r="H17" i="22" s="1"/>
  <c r="I17" i="22" s="1" a="1"/>
  <c r="I17" i="22" s="1"/>
  <c r="J17" i="22"/>
  <c r="P3" i="13"/>
  <c r="P2" i="13" s="1"/>
  <c r="I25" i="22" l="1" a="1"/>
  <c r="I25" i="22" s="1"/>
  <c r="I24" i="22" a="1"/>
  <c r="I24" i="22" s="1"/>
  <c r="E12" i="22" a="1"/>
  <c r="E12" i="22" s="1"/>
  <c r="I26" i="22" a="1"/>
  <c r="I26" i="22" s="1"/>
  <c r="E11" i="22" a="1"/>
  <c r="E11" i="22" s="1"/>
  <c r="E16" i="22" a="1"/>
  <c r="E16" i="22" s="1"/>
  <c r="E17" i="22" a="1"/>
  <c r="E17" i="22" s="1"/>
  <c r="N3" i="13"/>
  <c r="N2" i="13" s="1"/>
  <c r="E3" i="13"/>
  <c r="E2" i="13" s="1"/>
  <c r="D3" i="13"/>
  <c r="D2" i="13" s="1"/>
  <c r="H3" i="13"/>
  <c r="H2" i="13" s="1"/>
  <c r="K3" i="13"/>
  <c r="K2" i="13" s="1"/>
  <c r="L3" i="13"/>
  <c r="L2" i="13" s="1"/>
  <c r="M3" i="13"/>
  <c r="M2" i="13" s="1"/>
  <c r="Q3" i="13"/>
  <c r="Q2" i="13" s="1"/>
  <c r="C3" i="13"/>
  <c r="C2" i="13" s="1"/>
  <c r="J3" i="13"/>
  <c r="J2" i="13" s="1"/>
  <c r="G3" i="13"/>
  <c r="G2" i="13" s="1"/>
  <c r="I3" i="13"/>
  <c r="I2" i="13" s="1"/>
  <c r="F3" i="13"/>
  <c r="F2" i="13" s="1"/>
  <c r="R3" i="13"/>
  <c r="R2" i="13" s="1"/>
  <c r="J23" i="22"/>
  <c r="J13" i="22"/>
  <c r="J21" i="22"/>
  <c r="J15" i="22"/>
  <c r="H15" i="22" a="1"/>
  <c r="H15" i="22" s="1"/>
  <c r="H21" i="22" a="1"/>
  <c r="H21" i="22" s="1"/>
  <c r="H13" i="22" a="1"/>
  <c r="H13" i="22" s="1"/>
  <c r="H23" i="22" a="1"/>
  <c r="H23" i="22" s="1"/>
  <c r="C28" i="22"/>
  <c r="I23" i="22" l="1" a="1"/>
  <c r="I23" i="22" s="1"/>
  <c r="E23" i="22" a="1"/>
  <c r="E23" i="22" s="1"/>
  <c r="I13" i="22" a="1"/>
  <c r="I13" i="22" s="1"/>
  <c r="E13" i="22" a="1"/>
  <c r="E13" i="22" s="1"/>
  <c r="E21" i="22" a="1"/>
  <c r="E21" i="22" s="1"/>
  <c r="I21" i="22" a="1"/>
  <c r="I21" i="22" s="1"/>
  <c r="E15" i="22" a="1"/>
  <c r="E15" i="22" s="1"/>
  <c r="I15" i="22" a="1"/>
  <c r="I15" i="22" s="1"/>
  <c r="C17" i="22" l="1"/>
  <c r="C15" i="22"/>
  <c r="C13" i="22"/>
  <c r="C21" i="22"/>
  <c r="C23" i="22"/>
  <c r="B3" i="13" l="1"/>
  <c r="B2" i="13" s="1"/>
  <c r="E18" i="22" l="1" a="1"/>
  <c r="E18" i="22" s="1"/>
  <c r="E27" i="22" a="1"/>
  <c r="E27" i="22" s="1"/>
  <c r="C11" i="22"/>
  <c r="E20" i="22" a="1"/>
  <c r="E20" i="22" s="1"/>
  <c r="C12" i="22"/>
  <c r="E14" i="22" a="1"/>
  <c r="E14" i="22" s="1"/>
  <c r="E19" i="22" a="1"/>
  <c r="E19" i="22" s="1"/>
  <c r="E22" i="22" a="1"/>
  <c r="E22" i="22" s="1"/>
  <c r="B23" i="22" a="1"/>
  <c r="B23" i="22" s="1"/>
  <c r="B28" i="22" a="1"/>
  <c r="B28" i="22" s="1"/>
  <c r="B27" i="22" a="1"/>
  <c r="B27" i="22" s="1"/>
  <c r="B12" i="22" a="1"/>
  <c r="B12" i="22" s="1"/>
  <c r="D21" i="22" a="1"/>
  <c r="D21" i="22" s="1"/>
  <c r="D17" i="22" a="1"/>
  <c r="D17" i="22" s="1"/>
  <c r="B20" i="22" a="1"/>
  <c r="B20" i="22" s="1"/>
  <c r="B22" i="22" a="1"/>
  <c r="B22" i="22" s="1"/>
  <c r="B17" i="22" a="1"/>
  <c r="B17" i="22" s="1"/>
  <c r="D13" i="22" a="1"/>
  <c r="D13" i="22" s="1"/>
  <c r="B16" i="22" a="1"/>
  <c r="B16" i="22" s="1"/>
  <c r="B19" i="22" a="1"/>
  <c r="B19" i="22" s="1"/>
  <c r="B14" i="22" a="1"/>
  <c r="B14" i="22" s="1"/>
  <c r="B25" i="22" a="1"/>
  <c r="B25" i="22" s="1"/>
  <c r="B24" i="22" a="1"/>
  <c r="B24" i="22" s="1"/>
  <c r="D23" i="22" a="1"/>
  <c r="D23" i="22" s="1"/>
  <c r="B21" i="22" a="1"/>
  <c r="B21" i="22" s="1"/>
  <c r="B13" i="22" a="1"/>
  <c r="B13" i="22" s="1"/>
  <c r="B11" i="22" a="1"/>
  <c r="B11" i="22" s="1"/>
  <c r="B15" i="22" a="1"/>
  <c r="B15" i="22" s="1"/>
  <c r="B18" i="22" a="1"/>
  <c r="B18" i="22" s="1"/>
  <c r="D15" i="22" a="1"/>
  <c r="D15" i="22" s="1"/>
  <c r="B26" i="22" a="1"/>
  <c r="B26" i="22" s="1"/>
  <c r="D28" i="22" a="1"/>
  <c r="D28" i="22" s="1"/>
  <c r="C14" i="22" l="1"/>
  <c r="D14" i="22" a="1"/>
  <c r="D14" i="22" s="1"/>
  <c r="D24" i="22" a="1"/>
  <c r="D24" i="22" s="1"/>
  <c r="C24" i="22"/>
  <c r="C27" i="22"/>
  <c r="D27" i="22" a="1"/>
  <c r="D27" i="22" s="1"/>
  <c r="C19" i="22"/>
  <c r="D19" i="22" a="1"/>
  <c r="D19" i="22" s="1"/>
  <c r="D16" i="22" a="1"/>
  <c r="D16" i="22" s="1"/>
  <c r="C16" i="22"/>
  <c r="D22" i="22" a="1"/>
  <c r="D22" i="22" s="1"/>
  <c r="C22" i="22"/>
  <c r="D20" i="22" a="1"/>
  <c r="D20" i="22" s="1"/>
  <c r="C20" i="22"/>
  <c r="D26" i="22" a="1"/>
  <c r="D26" i="22" s="1"/>
  <c r="C26" i="22"/>
  <c r="C18" i="22"/>
  <c r="D18" i="22" a="1"/>
  <c r="D18" i="22" s="1"/>
  <c r="D25" i="22" a="1"/>
  <c r="D25" i="22" s="1"/>
  <c r="C25" i="22"/>
  <c r="D11" i="22" a="1"/>
  <c r="D11" i="22" s="1"/>
  <c r="D12" i="22" a="1"/>
  <c r="D12" i="22" s="1"/>
  <c r="J29" i="2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D8879-50E4-4E77-9AB6-972E7813B745}" keepAlive="1" name="Query - Global_Sector_MOM" description="Connection to the 'Global_Sector_MOM' query in the workbook." type="5" refreshedVersion="8" background="1" saveData="1">
    <dbPr connection="Provider=Microsoft.Mashup.OleDb.1;Data Source=$Workbook$;Location=Global_Sector_MOM;Extended Properties=&quot;&quot;" command="SELECT * FROM [Global_Sector_MOM]"/>
  </connection>
  <connection id="2" xr16:uid="{90E3F43D-C5EF-4C41-B108-D6E0CAF5EC34}" keepAlive="1" name="Query - Global_Sector_SMA" description="Connection to the 'Global_Sector_SMA' query in the workbook." type="5" refreshedVersion="8" background="1" saveData="1">
    <dbPr connection="Provider=Microsoft.Mashup.OleDb.1;Data Source=$Workbook$;Location=Global_Sector_SMA;Extended Properties=&quot;&quot;" command="SELECT * FROM [Global_Sector_SMA]"/>
  </connection>
  <connection id="3" xr16:uid="{6268906F-29EA-405D-8C26-A64956589FD5}" keepAlive="1" name="Query - Global_Sector_Y" description="Connection to the 'Global_Sector_Y' query in the workbook." type="5" refreshedVersion="8" background="1" saveData="1">
    <dbPr connection="Provider=Microsoft.Mashup.OleDb.1;Data Source=$Workbook$;Location=Global_Sector_Y;Extended Properties=&quot;&quot;" command="SELECT * FROM [Global_Sector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</futureMetadata>
  <cellMetadata count="1">
    <bk>
      <rc t="1" v="0"/>
    </bk>
  </cellMetadata>
  <valueMetadata count="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</valueMetadata>
</metadata>
</file>

<file path=xl/sharedStrings.xml><?xml version="1.0" encoding="utf-8"?>
<sst xmlns="http://schemas.openxmlformats.org/spreadsheetml/2006/main" count="91" uniqueCount="56">
  <si>
    <t>Date</t>
  </si>
  <si>
    <t>In Trade</t>
  </si>
  <si>
    <t>Sell Signal</t>
  </si>
  <si>
    <t>Buy Signal</t>
  </si>
  <si>
    <t>SMA</t>
  </si>
  <si>
    <t>Symbol</t>
  </si>
  <si>
    <t>YTD Return</t>
  </si>
  <si>
    <t>Target %</t>
  </si>
  <si>
    <t>CASHX</t>
  </si>
  <si>
    <t>Ticker</t>
  </si>
  <si>
    <t>12M</t>
  </si>
  <si>
    <t>9M</t>
  </si>
  <si>
    <t>6M</t>
  </si>
  <si>
    <t>3M</t>
  </si>
  <si>
    <t>1M</t>
  </si>
  <si>
    <t>AVG</t>
  </si>
  <si>
    <t>Sell SMA</t>
  </si>
  <si>
    <t>Read</t>
  </si>
  <si>
    <t>Momentum Assets</t>
  </si>
  <si>
    <t>Momentum Assets Buy/Sell Signals</t>
  </si>
  <si>
    <t>Price</t>
  </si>
  <si>
    <t>CASH</t>
  </si>
  <si>
    <t>PDBC</t>
  </si>
  <si>
    <t>GLD</t>
  </si>
  <si>
    <t>TLT</t>
  </si>
  <si>
    <t>IEF</t>
  </si>
  <si>
    <t>PDBC_SMA</t>
  </si>
  <si>
    <t>GLD_SMA</t>
  </si>
  <si>
    <t>TLT_SMA</t>
  </si>
  <si>
    <t>IEF_SMA</t>
  </si>
  <si>
    <t>LTPZ</t>
  </si>
  <si>
    <t>TIP</t>
  </si>
  <si>
    <t>TIP_SMA</t>
  </si>
  <si>
    <t>LTPZ_SMA</t>
  </si>
  <si>
    <t>EXI</t>
  </si>
  <si>
    <t>IXC</t>
  </si>
  <si>
    <t>IXG</t>
  </si>
  <si>
    <t>IXJ</t>
  </si>
  <si>
    <t>IXN</t>
  </si>
  <si>
    <t>IXP</t>
  </si>
  <si>
    <t>JXI</t>
  </si>
  <si>
    <t>KXI</t>
  </si>
  <si>
    <t>MXI</t>
  </si>
  <si>
    <t>RXI</t>
  </si>
  <si>
    <t>USRT</t>
  </si>
  <si>
    <t>EXI_SMA</t>
  </si>
  <si>
    <t>IXC_SMA</t>
  </si>
  <si>
    <t>IXG_SMA</t>
  </si>
  <si>
    <t>IXJ_SMA</t>
  </si>
  <si>
    <t>IXN_SMA</t>
  </si>
  <si>
    <t>IXP_SMA</t>
  </si>
  <si>
    <t>JXI_SMA</t>
  </si>
  <si>
    <t>KXI_SMA</t>
  </si>
  <si>
    <t>MXI_SMA</t>
  </si>
  <si>
    <t>RXI_SMA</t>
  </si>
  <si>
    <t>USRT_SMA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</si>
</sst>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0" fontId="2" fillId="2" borderId="0" xfId="0" applyNumberFormat="1" applyFont="1" applyFill="1" applyAlignment="1">
      <alignment horizontal="center" vertical="center"/>
    </xf>
    <xf numFmtId="44" fontId="2" fillId="0" borderId="0" xfId="0" applyNumberFormat="1" applyFont="1"/>
    <xf numFmtId="0" fontId="0" fillId="3" borderId="1" xfId="0" applyFill="1" applyBorder="1"/>
    <xf numFmtId="10" fontId="7" fillId="0" borderId="0" xfId="0" applyNumberFormat="1" applyFont="1"/>
    <xf numFmtId="10" fontId="6" fillId="3" borderId="0" xfId="0" applyNumberFormat="1" applyFont="1" applyFill="1"/>
    <xf numFmtId="0" fontId="0" fillId="3" borderId="0" xfId="0" applyFill="1"/>
    <xf numFmtId="0" fontId="5" fillId="0" borderId="0" xfId="0" applyFont="1" applyAlignment="1">
      <alignment vertical="center"/>
    </xf>
    <xf numFmtId="10" fontId="6" fillId="0" borderId="0" xfId="0" applyNumberFormat="1" applyFont="1"/>
    <xf numFmtId="0" fontId="0" fillId="0" borderId="3" xfId="0" applyBorder="1"/>
    <xf numFmtId="0" fontId="1" fillId="0" borderId="4" xfId="0" applyFont="1" applyBorder="1"/>
    <xf numFmtId="0" fontId="1" fillId="0" borderId="9" xfId="0" applyFont="1" applyBorder="1"/>
    <xf numFmtId="10" fontId="9" fillId="0" borderId="10" xfId="0" applyNumberFormat="1" applyFont="1" applyBorder="1"/>
    <xf numFmtId="10" fontId="7" fillId="0" borderId="1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8" fillId="6" borderId="1" xfId="0" applyNumberFormat="1" applyFont="1" applyFill="1" applyBorder="1" applyAlignment="1">
      <alignment horizontal="center" vertical="center"/>
    </xf>
    <xf numFmtId="10" fontId="7" fillId="6" borderId="2" xfId="0" applyNumberFormat="1" applyFont="1" applyFill="1" applyBorder="1" applyAlignment="1">
      <alignment horizontal="center" vertical="center"/>
    </xf>
    <xf numFmtId="10" fontId="7" fillId="6" borderId="6" xfId="0" applyNumberFormat="1" applyFont="1" applyFill="1" applyBorder="1" applyAlignment="1">
      <alignment horizontal="center" vertical="center"/>
    </xf>
    <xf numFmtId="10" fontId="7" fillId="6" borderId="7" xfId="0" applyNumberFormat="1" applyFont="1" applyFill="1" applyBorder="1" applyAlignment="1">
      <alignment horizontal="center" vertical="center"/>
    </xf>
    <xf numFmtId="10" fontId="7" fillId="6" borderId="8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9" fillId="0" borderId="0" xfId="0" applyNumberFormat="1" applyFont="1"/>
    <xf numFmtId="10" fontId="2" fillId="0" borderId="0" xfId="1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4" fontId="5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8479E33-EC7A-481E-9AAF-D0D29AD71D01}" autoFormatId="16" applyNumberFormats="0" applyBorderFormats="0" applyFontFormats="0" applyPatternFormats="0" applyAlignmentFormats="0" applyWidthHeightFormats="0">
  <queryTableRefresh nextId="361">
    <queryTableFields count="18">
      <queryTableField id="1" name="Date" tableColumnId="1"/>
      <queryTableField id="340" name="EXI" tableColumnId="3"/>
      <queryTableField id="319" name="GLD" tableColumnId="27"/>
      <queryTableField id="323" name="IEF" tableColumnId="31"/>
      <queryTableField id="341" name="IXC" tableColumnId="5"/>
      <queryTableField id="342" name="IXG" tableColumnId="6"/>
      <queryTableField id="343" name="IXJ" tableColumnId="7"/>
      <queryTableField id="344" name="IXN" tableColumnId="8"/>
      <queryTableField id="345" name="IXP" tableColumnId="9"/>
      <queryTableField id="346" name="JXI" tableColumnId="10"/>
      <queryTableField id="347" name="KXI" tableColumnId="11"/>
      <queryTableField id="324" name="LTPZ" tableColumnId="2"/>
      <queryTableField id="348" name="MXI" tableColumnId="12"/>
      <queryTableField id="317" name="PDBC" tableColumnId="25"/>
      <queryTableField id="349" name="RXI" tableColumnId="13"/>
      <queryTableField id="325" name="TIP" tableColumnId="4"/>
      <queryTableField id="321" name="TLT" tableColumnId="29"/>
      <queryTableField id="350" name="USRT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1F3F49-5510-49B8-B0CB-6D64C46D2B9A}" autoFormatId="16" applyNumberFormats="0" applyBorderFormats="0" applyFontFormats="0" applyPatternFormats="0" applyAlignmentFormats="0" applyWidthHeightFormats="0">
  <queryTableRefresh nextId="209">
    <queryTableFields count="17">
      <queryTableField id="188" name="EXI" tableColumnId="5"/>
      <queryTableField id="167" name="GLD" tableColumnId="1"/>
      <queryTableField id="168" name="IEF" tableColumnId="2"/>
      <queryTableField id="189" name="IXC" tableColumnId="6"/>
      <queryTableField id="190" name="IXG" tableColumnId="7"/>
      <queryTableField id="191" name="IXJ" tableColumnId="8"/>
      <queryTableField id="192" name="IXN" tableColumnId="9"/>
      <queryTableField id="193" name="IXP" tableColumnId="10"/>
      <queryTableField id="194" name="JXI" tableColumnId="11"/>
      <queryTableField id="195" name="KXI" tableColumnId="12"/>
      <queryTableField id="182" name="LTPZ" tableColumnId="14"/>
      <queryTableField id="196" name="MXI" tableColumnId="13"/>
      <queryTableField id="169" name="PDBC" tableColumnId="3"/>
      <queryTableField id="197" name="RXI" tableColumnId="16"/>
      <queryTableField id="183" name="TIP" tableColumnId="15"/>
      <queryTableField id="170" name="TLT" tableColumnId="4"/>
      <queryTableField id="198" name="USRT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660B2D-1FF6-40DC-944D-79695F485C28}" autoFormatId="16" applyNumberFormats="0" applyBorderFormats="0" applyFontFormats="0" applyPatternFormats="0" applyAlignmentFormats="0" applyWidthHeightFormats="0">
  <queryTableRefresh nextId="198">
    <queryTableFields count="18">
      <queryTableField id="1" name="Date" tableColumnId="1"/>
      <queryTableField id="177" name="EXI_SMA" tableColumnId="2"/>
      <queryTableField id="158" name="GLD_SMA" tableColumnId="14"/>
      <queryTableField id="160" name="IEF_SMA" tableColumnId="16"/>
      <queryTableField id="178" name="IXC_SMA" tableColumnId="3"/>
      <queryTableField id="179" name="IXG_SMA" tableColumnId="4"/>
      <queryTableField id="180" name="IXJ_SMA" tableColumnId="5"/>
      <queryTableField id="181" name="IXN_SMA" tableColumnId="6"/>
      <queryTableField id="182" name="IXP_SMA" tableColumnId="7"/>
      <queryTableField id="183" name="JXI_SMA" tableColumnId="8"/>
      <queryTableField id="184" name="KXI_SMA" tableColumnId="9"/>
      <queryTableField id="162" name="LTPZ_SMA" tableColumnId="18"/>
      <queryTableField id="185" name="MXI_SMA" tableColumnId="10"/>
      <queryTableField id="157" name="PDBC_SMA" tableColumnId="13"/>
      <queryTableField id="186" name="RXI_SMA" tableColumnId="11"/>
      <queryTableField id="161" name="TIP_SMA" tableColumnId="17"/>
      <queryTableField id="159" name="TLT_SMA" tableColumnId="15"/>
      <queryTableField id="187" name="USRT_SMA" tableColumnId="1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51">
  <rv s="0">
    <v>https://www.bing.com/financeapi/forcetrigger?t=a1vyhw&amp;q=ARCX%3aIXN&amp;form=skydnc</v>
    <v>Learn more on Bing</v>
  </rv>
  <rv s="1">
    <v>en-US</v>
    <v>a1vyhw</v>
    <v>268435456</v>
    <v>1</v>
    <v>Powered by Refinitiv</v>
    <v>0</v>
    <v>iShares:Glbl Tech (ARCX:IXN)</v>
    <v>2</v>
    <v>3</v>
    <v>Finance</v>
    <v>4</v>
    <v>54.86</v>
    <v>40.31</v>
    <v>0.99650000000000005</v>
    <v>-0.18</v>
    <v>1.6572E-2</v>
    <v>-3.3029999999999999E-3</v>
    <v>0.9</v>
    <v>USD</v>
    <v>NYSE Arca</v>
    <v>ARCX</v>
    <v>4.0000000000000001E-3</v>
    <v>54.616700000000002</v>
    <v>ETF</v>
    <v>45058.978361596877</v>
    <v>0</v>
    <v>53.94</v>
    <v>3135324061.3299999</v>
    <v>iShares:Glbl Tech</v>
    <v>54.52</v>
    <v>54.49</v>
    <v>54.31</v>
    <v>55.21</v>
    <v>IXN</v>
    <v>iShares:Glbl Tech (ARCX:IXN)</v>
    <v>229903</v>
    <v>196103</v>
  </rv>
  <rv s="2">
    <v>1</v>
  </rv>
  <rv s="0">
    <v>https://www.bing.com/financeapi/forcetrigger?t=a1vykr&amp;q=ARCX%3aIXP&amp;form=skydnc</v>
    <v>Learn more on Bing</v>
  </rv>
  <rv s="1">
    <v>en-US</v>
    <v>a1vykr</v>
    <v>268435456</v>
    <v>1</v>
    <v>Powered by Refinitiv</v>
    <v>0</v>
    <v>iShares:Glbl Comm Svcs (ARCX:IXP)</v>
    <v>2</v>
    <v>3</v>
    <v>Finance</v>
    <v>4</v>
    <v>67.73</v>
    <v>49.81</v>
    <v>0.74819999999999998</v>
    <v>-0.22</v>
    <v>-1.9872000000000001E-2</v>
    <v>-3.3519999999999999E-3</v>
    <v>-1.3</v>
    <v>USD</v>
    <v>NYSE Arca</v>
    <v>ARCX</v>
    <v>4.3E-3</v>
    <v>65.61</v>
    <v>ETF</v>
    <v>45058.840277777781</v>
    <v>3</v>
    <v>65.150000000000006</v>
    <v>275107439.27999997</v>
    <v>iShares:Glbl Comm Svcs</v>
    <v>65.61</v>
    <v>65.64</v>
    <v>65.42</v>
    <v>64.12</v>
    <v>IXP</v>
    <v>iShares:Glbl Comm Svcs (ARCX:IXP)</v>
    <v>31515</v>
    <v>29643</v>
  </rv>
  <rv s="2">
    <v>4</v>
  </rv>
  <rv s="0">
    <v>https://www.bing.com/financeapi/forcetrigger?t=a22dec&amp;q=ARCX%3aRXI&amp;form=skydnc</v>
    <v>Learn more on Bing</v>
  </rv>
  <rv s="1">
    <v>en-US</v>
    <v>a22dec</v>
    <v>268435456</v>
    <v>1</v>
    <v>Powered by Refinitiv</v>
    <v>0</v>
    <v>iShares:Glbl Con Disc (ARCX:RXI)</v>
    <v>2</v>
    <v>3</v>
    <v>Finance</v>
    <v>4</v>
    <v>150.50899999999999</v>
    <v>116.68</v>
    <v>0.86560000000000004</v>
    <v>-0.66820000000000002</v>
    <v>-5.8939999999999999E-3</v>
    <v>-4.6020000000000002E-3</v>
    <v>-0.8518</v>
    <v>USD</v>
    <v>NYSE Arca</v>
    <v>ARCX</v>
    <v>4.0000000000000001E-3</v>
    <v>145.82</v>
    <v>ETF</v>
    <v>45058.840277777781</v>
    <v>6</v>
    <v>143.80009999999999</v>
    <v>316429892.86000001</v>
    <v>iShares:Glbl Con Disc</v>
    <v>145.82</v>
    <v>145.19999999999999</v>
    <v>144.5318</v>
    <v>143.68</v>
    <v>RXI</v>
    <v>iShares:Glbl Con Disc (ARCX:RXI)</v>
    <v>2995</v>
    <v>7232</v>
  </rv>
  <rv s="2">
    <v>7</v>
  </rv>
  <rv s="0">
    <v>https://www.bing.com/financeapi/forcetrigger?t=a1twnm&amp;q=ARCX%3aGLD&amp;form=skydnc</v>
    <v>Learn more on Bing</v>
  </rv>
  <rv s="1">
    <v>en-US</v>
    <v>a1twnm</v>
    <v>268435456</v>
    <v>1</v>
    <v>Powered by Refinitiv</v>
    <v>0</v>
    <v>SPDR Gold (ARCX:GLD)</v>
    <v>2</v>
    <v>3</v>
    <v>Finance</v>
    <v>4</v>
    <v>191.36</v>
    <v>150.5703</v>
    <v>0.81659999999999999</v>
    <v>-0.32</v>
    <v>4.818E-4</v>
    <v>-1.7100000000000001E-3</v>
    <v>0.09</v>
    <v>USD</v>
    <v>NYSE Arca</v>
    <v>ARCX</v>
    <v>4.0000000000000001E-3</v>
    <v>187.92</v>
    <v>ETF</v>
    <v>45058.99966974531</v>
    <v>9</v>
    <v>186.58</v>
    <v>59023544030.709999</v>
    <v>SPDR Gold</v>
    <v>187.43</v>
    <v>187.13</v>
    <v>186.81</v>
    <v>186.9</v>
    <v>GLD</v>
    <v>SPDR Gold (ARCX:GLD)</v>
    <v>7087462</v>
    <v>8803211</v>
  </rv>
  <rv s="2">
    <v>10</v>
  </rv>
  <rv s="0">
    <v>https://www.bing.com/financeapi/forcetrigger?t=a1wpjc&amp;q=ARCX%3aKXI&amp;form=skydnc</v>
    <v>Learn more on Bing</v>
  </rv>
  <rv s="1">
    <v>en-US</v>
    <v>a1wpjc</v>
    <v>268435456</v>
    <v>1</v>
    <v>Powered by Refinitiv</v>
    <v>0</v>
    <v>iShares:Glbl Con Staples (ARCX:KXI)</v>
    <v>2</v>
    <v>3</v>
    <v>Finance</v>
    <v>4</v>
    <v>64.739999999999995</v>
    <v>52.79</v>
    <v>0.91110000000000002</v>
    <v>-0.03</v>
    <v>-2.9900000000000003E-2</v>
    <v>-4.6940000000000003E-4</v>
    <v>-1.91</v>
    <v>USD</v>
    <v>NYSE Arca</v>
    <v>ARCX</v>
    <v>4.0000000000000001E-3</v>
    <v>63.8919</v>
    <v>ETF</v>
    <v>45058.840277777781</v>
    <v>12</v>
    <v>63.585000000000001</v>
    <v>1610003658.6099999</v>
    <v>iShares:Glbl Con Staples</v>
    <v>63.74</v>
    <v>63.91</v>
    <v>63.88</v>
    <v>61.97</v>
    <v>KXI</v>
    <v>iShares:Glbl Con Staples (ARCX:KXI)</v>
    <v>64113</v>
    <v>149397</v>
  </rv>
  <rv s="2">
    <v>13</v>
  </rv>
  <rv s="0">
    <v>https://www.bing.com/financeapi/forcetrigger?t=a1shxm&amp;q=ARCX%3aEXI&amp;form=skydnc</v>
    <v>Learn more on Bing</v>
  </rv>
  <rv s="1">
    <v>en-US</v>
    <v>a1shxm</v>
    <v>268435456</v>
    <v>1</v>
    <v>Powered by Refinitiv</v>
    <v>0</v>
    <v>iShares:Glbl Industrials (ARCX:EXI)</v>
    <v>2</v>
    <v>3</v>
    <v>Finance</v>
    <v>4</v>
    <v>115.61</v>
    <v>89.52</v>
    <v>0.96879999999999999</v>
    <v>-0.1011</v>
    <v>-3.0530000000000002E-3</v>
    <v>-8.8969999999999989E-4</v>
    <v>-0.34660000000000002</v>
    <v>USD</v>
    <v>NYSE Arca</v>
    <v>ARCX</v>
    <v>4.0999999999999995E-3</v>
    <v>114</v>
    <v>ETF</v>
    <v>45058.840277777781</v>
    <v>15</v>
    <v>113.05</v>
    <v>447786219.33999997</v>
    <v>iShares:Glbl Industrials</v>
    <v>113.75</v>
    <v>113.6277</v>
    <v>113.5266</v>
    <v>113.18</v>
    <v>EXI</v>
    <v>iShares:Glbl Industrials (ARCX:EXI)</v>
    <v>57156</v>
    <v>38338</v>
  </rv>
  <rv s="2">
    <v>16</v>
  </rv>
  <rv s="0">
    <v>https://www.bing.com/financeapi/forcetrigger?t=a1wddm&amp;q=ARCX%3aJXI&amp;form=skydnc</v>
    <v>Learn more on Bing</v>
  </rv>
  <rv s="1">
    <v>en-US</v>
    <v>a1wddm</v>
    <v>268435456</v>
    <v>1</v>
    <v>Powered by Refinitiv</v>
    <v>0</v>
    <v>iShares:Glbl Utilities (ARCX:JXI)</v>
    <v>2</v>
    <v>3</v>
    <v>Finance</v>
    <v>4</v>
    <v>66.2</v>
    <v>51.01</v>
    <v>0.87250000000000005</v>
    <v>0.39</v>
    <v>-1.9805E-2</v>
    <v>6.2680000000000001E-3</v>
    <v>-1.24</v>
    <v>USD</v>
    <v>NYSE Arca</v>
    <v>ARCX</v>
    <v>4.1999999999999997E-3</v>
    <v>62.644500000000001</v>
    <v>ETF</v>
    <v>45058.840277777781</v>
    <v>18</v>
    <v>62.509700000000002</v>
    <v>140575476.99000001</v>
    <v>iShares:Glbl Utilities</v>
    <v>62.57</v>
    <v>62.22</v>
    <v>62.61</v>
    <v>61.37</v>
    <v>JXI</v>
    <v>iShares:Glbl Utilities (ARCX:JXI)</v>
    <v>2149</v>
    <v>7500</v>
  </rv>
  <rv s="2">
    <v>19</v>
  </rv>
  <rv s="0">
    <v>https://www.bing.com/financeapi/forcetrigger?t=a1x5yc&amp;q=ARCX%3aLTPZ&amp;form=skydnc</v>
    <v>Learn more on Bing</v>
  </rv>
  <rv s="1">
    <v>en-US</v>
    <v>a1x5yc</v>
    <v>268435456</v>
    <v>1</v>
    <v>Powered by Refinitiv</v>
    <v>0</v>
    <v>PIMCO ETF:15+ Yr US TIPS (ARCX:LTPZ)</v>
    <v>2</v>
    <v>3</v>
    <v>Finance</v>
    <v>4</v>
    <v>73.466099999999997</v>
    <v>54.98</v>
    <v>2.2334999999999998</v>
    <v>-0.06</v>
    <v>-1.133E-2</v>
    <v>-9.8430000000000002E-4</v>
    <v>-0.69</v>
    <v>USD</v>
    <v>NYSE Arca</v>
    <v>ARCX</v>
    <v>2E-3</v>
    <v>61.19</v>
    <v>ETF</v>
    <v>45058.879201029689</v>
    <v>21</v>
    <v>60.85</v>
    <v>700678356.36000001</v>
    <v>PIMCO ETF:15+ Yr US TIPS</v>
    <v>61.1</v>
    <v>60.96</v>
    <v>60.9</v>
    <v>60.21</v>
    <v>LTPZ</v>
    <v>PIMCO ETF:15+ Yr US TIPS (ARCX:LTPZ)</v>
    <v>23016</v>
    <v>80599</v>
  </rv>
  <rv s="2">
    <v>22</v>
  </rv>
  <rv s="0">
    <v>https://www.bing.com/financeapi/forcetrigger?t=a1vbbh&amp;q=XNAS%3aIEF&amp;form=skydnc</v>
    <v>Learn more on Bing</v>
  </rv>
  <rv s="1">
    <v>en-US</v>
    <v>a1vbbh</v>
    <v>268435456</v>
    <v>1</v>
    <v>Powered by Refinitiv</v>
    <v>0</v>
    <v>iShares:7-10 Trs Bd ETF (XNAS:IEF)</v>
    <v>2</v>
    <v>3</v>
    <v>Finance</v>
    <v>4</v>
    <v>105.745</v>
    <v>92.48</v>
    <v>1.1583000000000001</v>
    <v>-0.6</v>
    <v>2.0110000000000002E-3</v>
    <v>-5.9960000000000005E-3</v>
    <v>0.2</v>
    <v>USD</v>
    <v>Nasdaq Stock Market</v>
    <v>XNAS</v>
    <v>1.5E-3</v>
    <v>100.07</v>
    <v>ETF</v>
    <v>45058.961442360938</v>
    <v>24</v>
    <v>99.44</v>
    <v>28445961345.5</v>
    <v>iShares:7-10 Trs Bd ETF</v>
    <v>99.99</v>
    <v>100.07</v>
    <v>99.47</v>
    <v>99.67</v>
    <v>IEF</v>
    <v>iShares:7-10 Trs Bd ETF (XNAS:IEF)</v>
    <v>5107312</v>
    <v>8765233</v>
  </rv>
  <rv s="2">
    <v>25</v>
  </rv>
  <rv s="0">
    <v>https://www.bing.com/financeapi/forcetrigger?t=a24b5r&amp;q=XNAS%3aTLT&amp;form=skydnc</v>
    <v>Learn more on Bing</v>
  </rv>
  <rv s="1">
    <v>en-US</v>
    <v>a24b5r</v>
    <v>268435456</v>
    <v>1</v>
    <v>Powered by Refinitiv</v>
    <v>0</v>
    <v>iShares:20+ Trs Bd ETF (XNAS:TLT)</v>
    <v>2</v>
    <v>3</v>
    <v>Finance</v>
    <v>4</v>
    <v>120.69</v>
    <v>91.85</v>
    <v>1.0685</v>
    <v>-0.88</v>
    <v>4.795E-4</v>
    <v>-8.3689999999999997E-3</v>
    <v>0.05</v>
    <v>USD</v>
    <v>Nasdaq Stock Market</v>
    <v>XNAS</v>
    <v>1.5E-3</v>
    <v>105.25</v>
    <v>ETF</v>
    <v>45058.997851921093</v>
    <v>27</v>
    <v>104.25</v>
    <v>36204063544.790001</v>
    <v>iShares:20+ Trs Bd ETF</v>
    <v>105.05</v>
    <v>105.15</v>
    <v>104.27</v>
    <v>104.32</v>
    <v>TLT</v>
    <v>iShares:20+ Trs Bd ETF (XNAS:TLT)</v>
    <v>14198538</v>
    <v>20367816</v>
  </rv>
  <rv s="2">
    <v>28</v>
  </rv>
  <rv s="0">
    <v>https://www.bing.com/financeapi/forcetrigger?t=a1y6vh&amp;q=ARCX%3aMXI&amp;form=skydnc</v>
    <v>Learn more on Bing</v>
  </rv>
  <rv s="1">
    <v>en-US</v>
    <v>a1y6vh</v>
    <v>268435456</v>
    <v>1</v>
    <v>Powered by Refinitiv</v>
    <v>0</v>
    <v>iShares:Glbl Materials (ARCX:MXI)</v>
    <v>2</v>
    <v>3</v>
    <v>Finance</v>
    <v>4</v>
    <v>91.441800000000001</v>
    <v>66.02</v>
    <v>0.96440000000000003</v>
    <v>-8.3500000000000005E-2</v>
    <v>-3.1838999999999999E-2</v>
    <v>-1.0269999999999999E-3</v>
    <v>-2.5865</v>
    <v>USD</v>
    <v>NYSE Arca</v>
    <v>ARCX</v>
    <v>4.0000000000000001E-3</v>
    <v>81.430000000000007</v>
    <v>ETF</v>
    <v>45058.840277777781</v>
    <v>30</v>
    <v>80.83</v>
    <v>336792904.31</v>
    <v>iShares:Glbl Materials</v>
    <v>81.38</v>
    <v>81.319999999999993</v>
    <v>81.236500000000007</v>
    <v>78.650000000000006</v>
    <v>MXI</v>
    <v>iShares:Glbl Materials (ARCX:MXI)</v>
    <v>15857</v>
    <v>15597</v>
  </rv>
  <rv s="2">
    <v>31</v>
  </rv>
  <rv s="0">
    <v>https://www.bing.com/financeapi/forcetrigger?t=a2491h&amp;q=ARCX%3aTIP&amp;form=skydnc</v>
    <v>Learn more on Bing</v>
  </rv>
  <rv s="1">
    <v>en-US</v>
    <v>a2491h</v>
    <v>268435456</v>
    <v>1</v>
    <v>Powered by Refinitiv</v>
    <v>0</v>
    <v>iShares:TIPS Bd ETF (ARCX:TIP)</v>
    <v>2</v>
    <v>3</v>
    <v>Finance</v>
    <v>4</v>
    <v>119.86</v>
    <v>104.63</v>
    <v>0.99770000000000003</v>
    <v>-0.39</v>
    <v>-9.1390000000000004E-4</v>
    <v>-3.552E-3</v>
    <v>-0.1</v>
    <v>USD</v>
    <v>NYSE Arca</v>
    <v>ARCX</v>
    <v>1.9E-3</v>
    <v>109.93</v>
    <v>ETF</v>
    <v>45058.845281747657</v>
    <v>33</v>
    <v>109.3942</v>
    <v>22645536080.23</v>
    <v>iShares:TIPS Bd ETF</v>
    <v>109.87</v>
    <v>109.81</v>
    <v>109.42</v>
    <v>109.32</v>
    <v>TIP</v>
    <v>iShares:TIPS Bd ETF (ARCX:TIP)</v>
    <v>1924293</v>
    <v>3248292</v>
  </rv>
  <rv s="2">
    <v>34</v>
  </rv>
  <rv s="0">
    <v>https://www.bing.com/financeapi/forcetrigger?t=a253w7&amp;q=ARCX%3aUSRT&amp;form=skydnc</v>
    <v>Learn more on Bing</v>
  </rv>
  <rv s="1">
    <v>en-US</v>
    <v>a253w7</v>
    <v>268435456</v>
    <v>1</v>
    <v>Powered by Refinitiv</v>
    <v>0</v>
    <v>iShares:Core US REIT (ARCX:USRT)</v>
    <v>2</v>
    <v>3</v>
    <v>Finance</v>
    <v>4</v>
    <v>60.33</v>
    <v>44.8</v>
    <v>1.0036</v>
    <v>-0.1</v>
    <v>-2.2669000000000002E-2</v>
    <v>-1.9850000000000002E-3</v>
    <v>-1.1399999999999999</v>
    <v>USD</v>
    <v>NYSE Arca</v>
    <v>ARCX</v>
    <v>8.0000000000000004E-4</v>
    <v>50.5199</v>
    <v>ETF</v>
    <v>45058.840277777781</v>
    <v>36</v>
    <v>49.918300000000002</v>
    <v>1891345285.53</v>
    <v>iShares:Core US REIT</v>
    <v>50.46</v>
    <v>50.39</v>
    <v>50.29</v>
    <v>49.15</v>
    <v>USRT</v>
    <v>iShares:Core US REIT (ARCX:USRT)</v>
    <v>262221</v>
    <v>174017</v>
  </rv>
  <rv s="2">
    <v>37</v>
  </rv>
  <rv s="0">
    <v>https://www.bing.com/financeapi/forcetrigger?t=a1vyf2&amp;q=ARCX%3aIXJ&amp;form=skydnc</v>
    <v>Learn more on Bing</v>
  </rv>
  <rv s="1">
    <v>en-US</v>
    <v>a1vyf2</v>
    <v>268435456</v>
    <v>1</v>
    <v>Powered by Refinitiv</v>
    <v>0</v>
    <v>iShares:Glbl HealthCare (ARCX:IXJ)</v>
    <v>2</v>
    <v>3</v>
    <v>Finance</v>
    <v>4</v>
    <v>88.18</v>
    <v>74.5</v>
    <v>0.97550000000000003</v>
    <v>-0.15</v>
    <v>8.8380000000000004E-3</v>
    <v>-1.7410000000000001E-3</v>
    <v>0.76</v>
    <v>USD</v>
    <v>NYSE Arca</v>
    <v>ARCX</v>
    <v>4.0000000000000001E-3</v>
    <v>86.43</v>
    <v>ETF</v>
    <v>45058.955464837498</v>
    <v>39</v>
    <v>85.714200000000005</v>
    <v>4357193214.1300001</v>
    <v>iShares:Glbl HealthCare</v>
    <v>86.25</v>
    <v>86.14</v>
    <v>85.99</v>
    <v>86.75</v>
    <v>IXJ</v>
    <v>iShares:Glbl HealthCare (ARCX:IXJ)</v>
    <v>89037</v>
    <v>267085</v>
  </rv>
  <rv s="2">
    <v>40</v>
  </rv>
  <rv s="0">
    <v>https://www.bing.com/financeapi/forcetrigger?t=a1vyc7&amp;q=ARCX%3aIXG&amp;form=skydnc</v>
    <v>Learn more on Bing</v>
  </rv>
  <rv s="1">
    <v>en-US</v>
    <v>a1vyc7</v>
    <v>268435456</v>
    <v>1</v>
    <v>Powered by Refinitiv</v>
    <v>0</v>
    <v>iShares:Glbl Financials (ARCX:IXG)</v>
    <v>2</v>
    <v>3</v>
    <v>Finance</v>
    <v>4</v>
    <v>77.22</v>
    <v>59.97</v>
    <v>0.99170000000000003</v>
    <v>-0.4</v>
    <v>-1.3836999999999999E-2</v>
    <v>-5.7320000000000001E-3</v>
    <v>-0.96</v>
    <v>USD</v>
    <v>NYSE Arca</v>
    <v>ARCX</v>
    <v>4.0000000000000001E-3</v>
    <v>70.013400000000004</v>
    <v>ETF</v>
    <v>45058.840277777781</v>
    <v>42</v>
    <v>69.150000000000006</v>
    <v>418691856.91000003</v>
    <v>iShares:Glbl Financials</v>
    <v>70</v>
    <v>69.78</v>
    <v>69.38</v>
    <v>68.42</v>
    <v>IXG</v>
    <v>iShares:Glbl Financials (ARCX:IXG)</v>
    <v>15119</v>
    <v>27983</v>
  </rv>
  <rv s="2">
    <v>43</v>
  </rv>
  <rv s="0">
    <v>https://www.bing.com/financeapi/forcetrigger?t=a1vy9c&amp;q=ARCX%3aIXC&amp;form=skydnc</v>
    <v>Learn more on Bing</v>
  </rv>
  <rv s="1">
    <v>en-US</v>
    <v>a1vy9c</v>
    <v>268435456</v>
    <v>1</v>
    <v>Powered by Refinitiv</v>
    <v>0</v>
    <v>iShares:Glbl Energy (ARCX:IXC)</v>
    <v>2</v>
    <v>3</v>
    <v>Finance</v>
    <v>4</v>
    <v>42.982500000000002</v>
    <v>30.53</v>
    <v>1.0087999999999999</v>
    <v>0</v>
    <v>-2.1740000000000002E-3</v>
    <v>0</v>
    <v>-0.08</v>
    <v>USD</v>
    <v>NYSE Arca</v>
    <v>ARCX</v>
    <v>4.0000000000000001E-3</v>
    <v>37.19</v>
    <v>ETF</v>
    <v>45058.840277777781</v>
    <v>45</v>
    <v>36.604999999999997</v>
    <v>1879984613.1900001</v>
    <v>iShares:Glbl Energy</v>
    <v>36.950000000000003</v>
    <v>36.799999999999997</v>
    <v>36.799999999999997</v>
    <v>36.72</v>
    <v>IXC</v>
    <v>iShares:Glbl Energy (ARCX:IXC)</v>
    <v>290871</v>
    <v>369182</v>
  </rv>
  <rv s="2">
    <v>46</v>
  </rv>
  <rv s="0">
    <v>https://www.bing.com/financeapi/forcetrigger?t=a1zmf2&amp;q=XNAS%3aPDBC&amp;form=skydnc</v>
    <v>Learn more on Bing</v>
  </rv>
  <rv s="1">
    <v>en-US</v>
    <v>a1zmf2</v>
    <v>268435456</v>
    <v>1</v>
    <v>Powered by Refinitiv</v>
    <v>0</v>
    <v>Invesco OYDCS No K-1 (XNAS:PDBC)</v>
    <v>2</v>
    <v>3</v>
    <v>Finance</v>
    <v>4</v>
    <v>20.759899999999998</v>
    <v>13.38</v>
    <v>0.46</v>
    <v>-0.09</v>
    <v>4.4149999999999997E-3</v>
    <v>-6.5790000000000006E-3</v>
    <v>0.06</v>
    <v>USD</v>
    <v>Nasdaq Stock Market</v>
    <v>XNAS</v>
    <v>5.5000000000000005E-3</v>
    <v>13.74</v>
    <v>ETF</v>
    <v>45058.999172430471</v>
    <v>48</v>
    <v>13.5601</v>
    <v>5179821293.1999998</v>
    <v>Invesco OYDCS No K-1</v>
    <v>13.7</v>
    <v>13.68</v>
    <v>13.59</v>
    <v>13.65</v>
    <v>PDBC</v>
    <v>Invesco OYDCS No K-1 (XNAS:PDBC)</v>
    <v>1578821</v>
    <v>3639250</v>
  </rv>
  <rv s="2">
    <v>49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10913-CBBD-416E-86DC-A179BE78C3E8}" name="Table35231227" displayName="Table35231227" ref="A10:J29" totalsRowCount="1" headerRowDxfId="25" tableBorderDxfId="24">
  <autoFilter ref="A10:J28" xr:uid="{3DA7D557-3544-4C92-960F-DABC7E3FD32C}"/>
  <sortState xmlns:xlrd2="http://schemas.microsoft.com/office/spreadsheetml/2017/richdata2" ref="A11:J28">
    <sortCondition descending="1" ref="I10:I28"/>
  </sortState>
  <tableColumns count="10">
    <tableColumn id="13" xr3:uid="{4D062C57-1807-4053-9862-FED86267DEA7}" name="In Trade" dataDxfId="23"/>
    <tableColumn id="14" xr3:uid="{E03E9963-16C3-4D83-BE7A-79A2444C6167}" name="Sell Signal" dataDxfId="22">
      <calculatedColumnFormula array="1">IF(AND(Table35231227[[#This Row],[Ticker]]&lt;&gt;$A$5:$E$5, (A11="X")),"SELL","")</calculatedColumnFormula>
    </tableColumn>
    <tableColumn id="15" xr3:uid="{D00F3EDE-47EE-41B3-85BE-59E6E6CBCCC8}" name="Sell SMA" dataDxfId="21">
      <calculatedColumnFormula>IF(AND(A11="X",Table35231227[[#This Row],[SMA]]="Below SMA"),"SELL","")</calculatedColumnFormula>
    </tableColumn>
    <tableColumn id="16" xr3:uid="{8CCD7C20-F236-498F-A737-E26996840793}" name="Buy Signal" dataDxfId="20">
      <calculatedColumnFormula array="1">IF(AND(OR(Table35231227[[#This Row],[Ticker]]=$A$5:$E$5), AND(A11="",Table35231227[[#This Row],[SMA]]="Above SMA")),"BUY","")</calculatedColumnFormula>
    </tableColumn>
    <tableColumn id="4" xr3:uid="{F7FC473A-CA98-4A61-948C-A56F56C80EF1}" name="SMA" dataDxfId="19" totalsRowDxfId="18"/>
    <tableColumn id="5" xr3:uid="{D4546283-1093-4E8C-A16C-9AFAE142EEE2}" name="Ticker" dataDxfId="17" totalsRowDxfId="16"/>
    <tableColumn id="6" xr3:uid="{DCE65EB2-0DCF-4588-8EEE-14579351721F}" name="Symbol" dataDxfId="15" totalsRowDxfId="14"/>
    <tableColumn id="8" xr3:uid="{0A731BBA-05B7-47A7-BE59-0565A331F8E5}" name="Price" dataDxfId="13" totalsRowDxfId="12">
      <calculatedColumnFormula array="1">_FV(G11,"Price")</calculatedColumnFormula>
    </tableColumn>
    <tableColumn id="9" xr3:uid="{E86CC417-EDFB-4BC0-8A66-3ADA0A331A02}" name="YTD Return" dataDxfId="11" totalsRowDxfId="10" dataCellStyle="Percent">
      <calculatedColumnFormula array="1">(H11-#REF!)/#REF!</calculatedColumnFormula>
    </tableColumn>
    <tableColumn id="11" xr3:uid="{C462CC34-296B-460E-9E19-8883850AE1BE}" name="Target %" totalsRowFunction="custom" dataDxfId="9" totalsRowDxfId="8">
      <totalsRowFormula>SUM(Table35231227[Target %])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6A9EAB-5DFC-4C74-8A16-FA94CBFEEADD}" name="Table_Global_Sector_MOM" displayName="Table_Global_Sector_MOM" ref="A1:R14" tableType="queryTable" totalsRowShown="0">
  <autoFilter ref="A1:R14" xr:uid="{926A9EAB-5DFC-4C74-8A16-FA94CBFEEADD}"/>
  <tableColumns count="18">
    <tableColumn id="1" xr3:uid="{D48BC288-8683-4715-B4E4-18868E051953}" uniqueName="1" name="Date" queryTableFieldId="1" dataDxfId="7"/>
    <tableColumn id="3" xr3:uid="{E6382FB2-C2A6-4A42-8C82-F8F001478904}" uniqueName="3" name="EXI" queryTableFieldId="340"/>
    <tableColumn id="27" xr3:uid="{CE55D864-486C-4E5C-A483-2A8378BFFF31}" uniqueName="27" name="GLD" queryTableFieldId="319"/>
    <tableColumn id="31" xr3:uid="{E0A5B815-3BAB-44F8-AD16-05C28D81875F}" uniqueName="31" name="IEF" queryTableFieldId="323"/>
    <tableColumn id="5" xr3:uid="{D76EBDC7-DC6E-4371-9369-AE95DBE7276F}" uniqueName="5" name="IXC" queryTableFieldId="341"/>
    <tableColumn id="6" xr3:uid="{993F3A51-0ABF-4C5D-9A37-13976E41BF17}" uniqueName="6" name="IXG" queryTableFieldId="342"/>
    <tableColumn id="7" xr3:uid="{2594E24F-721C-4BA5-B0BD-32CDD14C1F40}" uniqueName="7" name="IXJ" queryTableFieldId="343"/>
    <tableColumn id="8" xr3:uid="{256525C4-7720-4668-9CFF-8B1AFDECB077}" uniqueName="8" name="IXN" queryTableFieldId="344"/>
    <tableColumn id="9" xr3:uid="{817DAA1B-EB7B-4D37-9653-CE448F3841E7}" uniqueName="9" name="IXP" queryTableFieldId="345"/>
    <tableColumn id="10" xr3:uid="{39389EC1-7B3F-42C6-BF15-CBFC0E1D64AF}" uniqueName="10" name="JXI" queryTableFieldId="346"/>
    <tableColumn id="11" xr3:uid="{EE21F32F-F969-4423-9798-C98A99E4CFA4}" uniqueName="11" name="KXI" queryTableFieldId="347"/>
    <tableColumn id="2" xr3:uid="{A16B01E9-141E-424B-838F-8709C8F8A705}" uniqueName="2" name="LTPZ" queryTableFieldId="324"/>
    <tableColumn id="12" xr3:uid="{2D480B02-0310-4EEC-8BD9-70573D1B7F6F}" uniqueName="12" name="MXI" queryTableFieldId="348"/>
    <tableColumn id="25" xr3:uid="{FBD37049-DAAC-4884-82D0-513982F564CF}" uniqueName="25" name="PDBC" queryTableFieldId="317"/>
    <tableColumn id="13" xr3:uid="{95231FCE-0200-4768-8BC5-8E12D217DCD4}" uniqueName="13" name="RXI" queryTableFieldId="349"/>
    <tableColumn id="4" xr3:uid="{0EF3423B-AB69-41AD-B8EA-BC8CD0374D17}" uniqueName="4" name="TIP" queryTableFieldId="325"/>
    <tableColumn id="29" xr3:uid="{C6367E91-C80D-4976-8C76-C1873455E24B}" uniqueName="29" name="TLT" queryTableFieldId="321"/>
    <tableColumn id="14" xr3:uid="{E973A82A-B864-420A-875F-34CB0FA0405F}" uniqueName="14" name="USRT" queryTableFieldId="3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67A3F6-1BCA-4EB3-A907-6D0AEFBD3E37}" name="Table_Global_Sector_Y" displayName="Table_Global_Sector_Y" ref="A1:Q2" tableType="queryTable" totalsRowShown="0">
  <autoFilter ref="A1:Q2" xr:uid="{2167A3F6-1BCA-4EB3-A907-6D0AEFBD3E37}"/>
  <tableColumns count="17">
    <tableColumn id="5" xr3:uid="{4E465F35-EB60-48CA-8C35-7BD5FFB509DD}" uniqueName="5" name="EXI" queryTableFieldId="188"/>
    <tableColumn id="1" xr3:uid="{CDAC02FE-5BC8-4DEA-9EA6-FF9F762E71A7}" uniqueName="1" name="GLD" queryTableFieldId="167" dataDxfId="6"/>
    <tableColumn id="2" xr3:uid="{C240D4E5-BBB6-4E1B-8183-FE89952D521C}" uniqueName="2" name="IEF" queryTableFieldId="168" dataDxfId="5"/>
    <tableColumn id="6" xr3:uid="{0917F98C-1A94-40DE-B765-8A64C8947414}" uniqueName="6" name="IXC" queryTableFieldId="189"/>
    <tableColumn id="7" xr3:uid="{C85ADDA9-D927-4743-AB13-7F3B85F83002}" uniqueName="7" name="IXG" queryTableFieldId="190"/>
    <tableColumn id="8" xr3:uid="{4F9EB592-6200-449E-8B34-3C4D45096DCA}" uniqueName="8" name="IXJ" queryTableFieldId="191"/>
    <tableColumn id="9" xr3:uid="{C080BAC9-971B-4326-B3BF-CF73BC41C7FA}" uniqueName="9" name="IXN" queryTableFieldId="192"/>
    <tableColumn id="10" xr3:uid="{C24B8F2F-08ED-4626-A719-4EE671A3C7B0}" uniqueName="10" name="IXP" queryTableFieldId="193"/>
    <tableColumn id="11" xr3:uid="{456A5563-DDAB-4305-AB68-C37F931E9494}" uniqueName="11" name="JXI" queryTableFieldId="194"/>
    <tableColumn id="12" xr3:uid="{727FBF76-9A62-469B-975D-21D173F869FC}" uniqueName="12" name="KXI" queryTableFieldId="195"/>
    <tableColumn id="14" xr3:uid="{8902506B-FB20-4885-9A27-05792849A384}" uniqueName="14" name="LTPZ" queryTableFieldId="182" dataDxfId="4"/>
    <tableColumn id="13" xr3:uid="{85A59A97-DBD0-43E4-A970-485A496C6823}" uniqueName="13" name="MXI" queryTableFieldId="196"/>
    <tableColumn id="3" xr3:uid="{550B3FF6-DF60-4E1D-9F73-912BD6CF45A9}" uniqueName="3" name="PDBC" queryTableFieldId="169" dataDxfId="3"/>
    <tableColumn id="16" xr3:uid="{8413AB24-645B-421D-B7E0-B196BF1F3F5D}" uniqueName="16" name="RXI" queryTableFieldId="197"/>
    <tableColumn id="15" xr3:uid="{B383506B-1CE8-4F6A-B81A-D7E2D1D1D3DF}" uniqueName="15" name="TIP" queryTableFieldId="183" dataDxfId="2"/>
    <tableColumn id="4" xr3:uid="{91E3BF3B-CAEB-42E8-87F2-BC50120E8AC8}" uniqueName="4" name="TLT" queryTableFieldId="170" dataDxfId="1"/>
    <tableColumn id="17" xr3:uid="{3CA84237-CA1A-423B-85E0-A450C0F74FAA}" uniqueName="17" name="USRT" queryTableFieldId="19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9FC1F3-01BB-4E1F-AB25-FF4FC2C05F35}" name="Table_Global_Sector_SMA" displayName="Table_Global_Sector_SMA" ref="A1:R2" tableType="queryTable" totalsRowShown="0">
  <autoFilter ref="A1:R2" xr:uid="{AC9FC1F3-01BB-4E1F-AB25-FF4FC2C05F35}"/>
  <tableColumns count="18">
    <tableColumn id="1" xr3:uid="{4E32D702-8ECA-47F6-BA23-7F083FA5D0A2}" uniqueName="1" name="Date" queryTableFieldId="1" dataDxfId="0"/>
    <tableColumn id="2" xr3:uid="{4BED9A43-596E-41E1-AA56-786C9D642E19}" uniqueName="2" name="EXI_SMA" queryTableFieldId="177"/>
    <tableColumn id="14" xr3:uid="{B0E2544E-6440-4AB3-97EB-3A7C3B798B16}" uniqueName="14" name="GLD_SMA" queryTableFieldId="158"/>
    <tableColumn id="16" xr3:uid="{60BA662F-F792-4E17-BF2D-AFAF7C356B1D}" uniqueName="16" name="IEF_SMA" queryTableFieldId="160"/>
    <tableColumn id="3" xr3:uid="{CFD8E610-6C43-4FA0-A497-1CABF5D94EEA}" uniqueName="3" name="IXC_SMA" queryTableFieldId="178"/>
    <tableColumn id="4" xr3:uid="{9E1B4E03-CD0D-4C2A-B5E1-1418440B4F56}" uniqueName="4" name="IXG_SMA" queryTableFieldId="179"/>
    <tableColumn id="5" xr3:uid="{6D577F94-21F7-4D2D-9AD7-CA9311D11FF0}" uniqueName="5" name="IXJ_SMA" queryTableFieldId="180"/>
    <tableColumn id="6" xr3:uid="{81EB9CB1-2D9F-43F8-9B82-27F3DF056393}" uniqueName="6" name="IXN_SMA" queryTableFieldId="181"/>
    <tableColumn id="7" xr3:uid="{32391A62-2DD9-439B-BACF-7C500B14A950}" uniqueName="7" name="IXP_SMA" queryTableFieldId="182"/>
    <tableColumn id="8" xr3:uid="{F6ECD6F4-8ED4-494E-BED6-DFD206A4005D}" uniqueName="8" name="JXI_SMA" queryTableFieldId="183"/>
    <tableColumn id="9" xr3:uid="{9A6943F4-9530-49B8-A628-17415F1BCE28}" uniqueName="9" name="KXI_SMA" queryTableFieldId="184"/>
    <tableColumn id="18" xr3:uid="{E5502995-C345-436C-AD9F-4360554A6AD8}" uniqueName="18" name="LTPZ_SMA" queryTableFieldId="162"/>
    <tableColumn id="10" xr3:uid="{BD21505C-D199-4BD9-B90B-C0AD6AFF78C9}" uniqueName="10" name="MXI_SMA" queryTableFieldId="185"/>
    <tableColumn id="13" xr3:uid="{037A62ED-1AEE-423F-9CBA-D898E777EB77}" uniqueName="13" name="PDBC_SMA" queryTableFieldId="157"/>
    <tableColumn id="11" xr3:uid="{D3DD4679-1D29-47C5-A830-B23796401206}" uniqueName="11" name="RXI_SMA" queryTableFieldId="186"/>
    <tableColumn id="17" xr3:uid="{7FEE1F7E-5386-43EE-8EE4-484EB491FECE}" uniqueName="17" name="TIP_SMA" queryTableFieldId="161"/>
    <tableColumn id="15" xr3:uid="{EE6B0C16-DC1B-43E0-A91B-243DEFBD81F4}" uniqueName="15" name="TLT_SMA" queryTableFieldId="159"/>
    <tableColumn id="12" xr3:uid="{B97A02E5-60DA-4472-83E6-E67ED10D284E}" uniqueName="12" name="USRT_SMA" queryTableFieldId="1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A092-4E8A-4EB3-B3A9-C015C345172E}">
  <dimension ref="A1:X55"/>
  <sheetViews>
    <sheetView tabSelected="1" zoomScaleNormal="100" workbookViewId="0">
      <selection activeCell="G3" sqref="G3"/>
    </sheetView>
  </sheetViews>
  <sheetFormatPr defaultRowHeight="15" x14ac:dyDescent="0.25"/>
  <cols>
    <col min="1" max="3" width="14.7109375" customWidth="1"/>
    <col min="4" max="6" width="14.7109375" style="2" customWidth="1"/>
    <col min="7" max="7" width="45.7109375" style="29" customWidth="1"/>
    <col min="8" max="12" width="12.7109375" style="2" customWidth="1"/>
    <col min="13" max="22" width="12.7109375" customWidth="1"/>
  </cols>
  <sheetData>
    <row r="1" spans="1:24" ht="15" customHeight="1" thickBot="1" x14ac:dyDescent="0.3">
      <c r="A1" s="17"/>
      <c r="B1" s="17"/>
      <c r="C1" s="46"/>
      <c r="D1" s="46"/>
      <c r="N1" s="25"/>
      <c r="O1" s="25"/>
      <c r="P1" s="25"/>
      <c r="Q1" s="25"/>
    </row>
    <row r="2" spans="1:24" ht="15" customHeight="1" x14ac:dyDescent="0.25">
      <c r="A2" s="49" t="s">
        <v>18</v>
      </c>
      <c r="B2" s="50"/>
      <c r="C2" s="50"/>
      <c r="D2" s="50"/>
      <c r="E2" s="51"/>
      <c r="N2" s="25"/>
      <c r="O2" s="25"/>
      <c r="P2" s="25"/>
      <c r="Q2" s="25"/>
    </row>
    <row r="3" spans="1:24" ht="15.75" customHeight="1" x14ac:dyDescent="0.25">
      <c r="A3" s="52"/>
      <c r="B3" s="53"/>
      <c r="C3" s="53"/>
      <c r="D3" s="53"/>
      <c r="E3" s="5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5.75" customHeight="1" x14ac:dyDescent="0.25">
      <c r="A4" s="23"/>
      <c r="B4" s="41"/>
      <c r="C4" s="41"/>
      <c r="D4" s="41"/>
      <c r="E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5.75" x14ac:dyDescent="0.25">
      <c r="A5" s="33" t="str" cm="1">
        <f t="array" ref="A5:E6">_xlfn._xlws.SORT(_xlfn._xlws.FILTER('Momentum Matrix'!$B$1:$R$2, 'Momentum Matrix'!$B$2:$R$2&gt;=LARGE('Momentum Matrix'!$B$2:$R$2, 5)), 1, -1)</f>
        <v>EXI</v>
      </c>
      <c r="B5" s="42" t="str">
        <v>GLD</v>
      </c>
      <c r="C5" s="42" t="str">
        <v>IXN</v>
      </c>
      <c r="D5" s="42" t="str">
        <v>IXP</v>
      </c>
      <c r="E5" s="34" t="str">
        <v>KXI</v>
      </c>
      <c r="N5" s="41"/>
      <c r="T5" s="41"/>
      <c r="U5" s="41"/>
      <c r="V5" s="41"/>
      <c r="W5" s="41"/>
      <c r="X5" s="41"/>
    </row>
    <row r="6" spans="1:24" ht="16.5" thickBot="1" x14ac:dyDescent="0.3">
      <c r="A6" s="35">
        <v>5.259729629377112E-2</v>
      </c>
      <c r="B6" s="36">
        <v>0.10182924789148232</v>
      </c>
      <c r="C6" s="36">
        <v>8.3880077633306446E-2</v>
      </c>
      <c r="D6" s="36">
        <v>6.948667739325147E-2</v>
      </c>
      <c r="E6" s="37">
        <v>6.1315477259511586E-2</v>
      </c>
      <c r="M6" s="41"/>
      <c r="N6" s="41"/>
      <c r="O6" s="43"/>
      <c r="P6" s="43"/>
      <c r="Q6" s="43"/>
      <c r="R6" s="43"/>
      <c r="S6" s="43"/>
      <c r="T6" s="44"/>
      <c r="U6" s="41"/>
      <c r="V6" s="41"/>
      <c r="W6" s="41"/>
      <c r="X6" s="41"/>
    </row>
    <row r="7" spans="1:24" ht="15.75" customHeight="1" x14ac:dyDescent="0.25"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customHeight="1" x14ac:dyDescent="0.25">
      <c r="A8" s="47" t="s">
        <v>19</v>
      </c>
      <c r="B8" s="48"/>
      <c r="C8" s="48"/>
      <c r="D8" s="48"/>
      <c r="E8" s="25"/>
      <c r="F8" s="25"/>
      <c r="G8" s="30"/>
      <c r="H8" s="14"/>
      <c r="I8" s="14"/>
      <c r="J8" s="14"/>
      <c r="K8" s="14"/>
      <c r="L8" s="14"/>
      <c r="M8" s="25"/>
      <c r="N8" s="25"/>
      <c r="O8" s="25"/>
      <c r="P8" s="25"/>
      <c r="Q8" s="25"/>
      <c r="R8" s="25"/>
      <c r="S8" s="30"/>
      <c r="T8" s="14"/>
      <c r="U8" s="14"/>
      <c r="V8" s="14"/>
      <c r="W8" s="14"/>
    </row>
    <row r="9" spans="1:24" ht="15.75" customHeight="1" x14ac:dyDescent="0.25">
      <c r="A9" s="48"/>
      <c r="B9" s="48"/>
      <c r="C9" s="48"/>
      <c r="D9" s="48"/>
      <c r="E9" s="25"/>
      <c r="F9" s="25"/>
      <c r="G9" s="30"/>
      <c r="H9" s="14"/>
      <c r="I9" s="14"/>
      <c r="J9" s="14"/>
      <c r="K9" s="14"/>
      <c r="L9" s="14"/>
      <c r="M9" s="25"/>
      <c r="N9" s="25"/>
      <c r="O9" s="25"/>
      <c r="P9" s="25"/>
      <c r="Q9" s="25"/>
      <c r="R9" s="25"/>
      <c r="S9" s="30"/>
      <c r="T9" s="14"/>
      <c r="U9" s="14"/>
      <c r="V9" s="14"/>
      <c r="W9" s="14"/>
    </row>
    <row r="10" spans="1:24" ht="30" customHeight="1" x14ac:dyDescent="0.25">
      <c r="A10" s="32" t="s">
        <v>1</v>
      </c>
      <c r="B10" s="32" t="s">
        <v>2</v>
      </c>
      <c r="C10" s="32" t="s">
        <v>16</v>
      </c>
      <c r="D10" s="32" t="s">
        <v>3</v>
      </c>
      <c r="E10" s="32" t="s">
        <v>4</v>
      </c>
      <c r="F10" s="32" t="s">
        <v>9</v>
      </c>
      <c r="G10" s="32" t="s">
        <v>5</v>
      </c>
      <c r="H10" s="32" t="s">
        <v>20</v>
      </c>
      <c r="I10" s="32" t="s">
        <v>6</v>
      </c>
      <c r="J10" s="32" t="s">
        <v>7</v>
      </c>
      <c r="K10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4" ht="15.75" customHeight="1" x14ac:dyDescent="0.25">
      <c r="A11" s="4"/>
      <c r="B11" s="4" t="str" cm="1">
        <f t="array" ref="B11">IF(AND(Table35231227[[#This Row],[Ticker]]&lt;&gt;$A$5:$E$5, (A11="X")),"SELL","")</f>
        <v/>
      </c>
      <c r="C11" s="4" t="str">
        <f>IF(AND(A11="X",Table35231227[[#This Row],[SMA]]="Below SMA"),"SELL","")</f>
        <v/>
      </c>
      <c r="D11" s="4" t="str" cm="1">
        <f t="array" ref="D11">IF(AND(OR(Table35231227[[#This Row],[Ticker]]=$A$5:$E$5), AND(A11="",Table35231227[[#This Row],[SMA]]="Above SMA")),"BUY","")</f>
        <v>BUY</v>
      </c>
      <c r="E11" s="7" t="str" cm="1">
        <f t="array" ref="E11">IF(H11 &gt; Table_Global_Sector_SMA[IXN_SMA], "Above SMA", "Below SMA")</f>
        <v>Above SMA</v>
      </c>
      <c r="F11" s="4" t="s">
        <v>38</v>
      </c>
      <c r="G11" s="28" t="e" vm="1">
        <v>#VALUE!</v>
      </c>
      <c r="H11" s="6" cm="1">
        <f t="array" ref="H11">_FV(G11,"Price")</f>
        <v>54.31</v>
      </c>
      <c r="I11" s="8" cm="1">
        <f t="array" ref="I11">(H11-Table_Global_Sector_Y[IXN])/Table_Global_Sector_Y[IXN]</f>
        <v>0.22099821400469039</v>
      </c>
      <c r="J11" s="26" t="str">
        <f t="shared" ref="J11:J27" si="0">IF(A11="x", 20%, "0%")</f>
        <v>0%</v>
      </c>
      <c r="K11"/>
      <c r="L11" s="4"/>
      <c r="M11" s="4"/>
      <c r="N11" s="4"/>
      <c r="O11" s="4"/>
      <c r="P11" s="4"/>
      <c r="Q11" s="4"/>
      <c r="R11" s="28"/>
      <c r="S11" s="6"/>
      <c r="T11" s="45"/>
      <c r="U11" s="26"/>
      <c r="V11" s="12"/>
    </row>
    <row r="12" spans="1:24" ht="15.75" customHeight="1" x14ac:dyDescent="0.25">
      <c r="A12" s="4"/>
      <c r="B12" s="4" t="str" cm="1">
        <f t="array" ref="B12">IF(AND(Table35231227[[#This Row],[Ticker]]&lt;&gt;$A$5:$E$5, (A12="X")),"SELL","")</f>
        <v/>
      </c>
      <c r="C12" s="4" t="str">
        <f>IF(AND(A12="X",Table35231227[[#This Row],[SMA]]="Below SMA"),"SELL","")</f>
        <v/>
      </c>
      <c r="D12" s="4" t="str" cm="1">
        <f t="array" ref="D12">IF(AND(OR(Table35231227[[#This Row],[Ticker]]=$A$5:$E$5), AND(A12="",Table35231227[[#This Row],[SMA]]="Above SMA")),"BUY","")</f>
        <v>BUY</v>
      </c>
      <c r="E12" s="7" t="str" cm="1">
        <f t="array" ref="E12">IF(H12 &gt; Table_Global_Sector_SMA[IXP_SMA], "Above SMA", "Below SMA")</f>
        <v>Above SMA</v>
      </c>
      <c r="F12" s="4" t="s">
        <v>39</v>
      </c>
      <c r="G12" s="28" t="e" vm="2">
        <v>#VALUE!</v>
      </c>
      <c r="H12" s="6" cm="1">
        <f t="array" ref="H12">_FV(G12,"Price")</f>
        <v>65.42</v>
      </c>
      <c r="I12" s="8" cm="1">
        <f t="array" ref="I12">(H12-Table_Global_Sector_Y[IXP])/Table_Global_Sector_Y[IXP]</f>
        <v>0.18257412076813057</v>
      </c>
      <c r="J12" s="26" t="str">
        <f t="shared" si="0"/>
        <v>0%</v>
      </c>
      <c r="K12"/>
      <c r="L12" s="4"/>
      <c r="M12" s="4"/>
      <c r="N12" s="4"/>
      <c r="O12" s="4"/>
      <c r="P12" s="4"/>
      <c r="Q12" s="4"/>
      <c r="R12" s="28"/>
      <c r="S12" s="6"/>
      <c r="T12" s="45"/>
      <c r="U12" s="26"/>
      <c r="V12" s="12"/>
    </row>
    <row r="13" spans="1:24" ht="15.75" x14ac:dyDescent="0.25">
      <c r="A13" s="4"/>
      <c r="B13" s="4" t="str" cm="1">
        <f t="array" ref="B13">IF(AND(Table35231227[[#This Row],[Ticker]]&lt;&gt;$A$5:$E$5, (A13="X")),"SELL","")</f>
        <v/>
      </c>
      <c r="C13" s="4" t="str">
        <f>IF(AND(A13="X",Table35231227[[#This Row],[SMA]]="Below SMA"),"SELL","")</f>
        <v/>
      </c>
      <c r="D13" s="4" t="str" cm="1">
        <f t="array" ref="D13">IF(AND(OR(Table35231227[[#This Row],[Ticker]]=$A$5:$E$5), AND(A13="",Table35231227[[#This Row],[SMA]]="Above SMA")),"BUY","")</f>
        <v/>
      </c>
      <c r="E13" s="7" t="str" cm="1">
        <f t="array" ref="E13">IF(H13 &gt; Table_Global_Sector_SMA[RXI_SMA], "Above SMA", "Below SMA")</f>
        <v>Above SMA</v>
      </c>
      <c r="F13" s="4" t="s">
        <v>43</v>
      </c>
      <c r="G13" s="28" t="e" vm="3">
        <v>#VALUE!</v>
      </c>
      <c r="H13" s="6" cm="1">
        <f t="array" ref="H13">_FV(G13,"Price")</f>
        <v>144.5318</v>
      </c>
      <c r="I13" s="8" cm="1">
        <f t="array" ref="I13">(H13-Table_Global_Sector_Y[RXI])/Table_Global_Sector_Y[RXI]</f>
        <v>0.14182175627478216</v>
      </c>
      <c r="J13" s="26" t="str">
        <f t="shared" si="0"/>
        <v>0%</v>
      </c>
      <c r="K13"/>
      <c r="L13" s="4"/>
      <c r="M13" s="4"/>
      <c r="N13" s="4"/>
      <c r="O13" s="4"/>
      <c r="P13" s="4"/>
      <c r="Q13" s="4"/>
      <c r="R13" s="28"/>
      <c r="S13" s="6"/>
      <c r="T13" s="45"/>
      <c r="U13" s="26"/>
      <c r="V13" s="12"/>
    </row>
    <row r="14" spans="1:24" ht="15.75" x14ac:dyDescent="0.25">
      <c r="A14" s="4"/>
      <c r="B14" s="4" t="str" cm="1">
        <f t="array" ref="B14">IF(AND(Table35231227[[#This Row],[Ticker]]&lt;&gt;$A$5:$E$5, (A14="X")),"SELL","")</f>
        <v/>
      </c>
      <c r="C14" s="4" t="str">
        <f>IF(AND(A14="X",Table35231227[[#This Row],[SMA]]="Below SMA"),"SELL","")</f>
        <v/>
      </c>
      <c r="D14" s="4" t="str" cm="1">
        <f t="array" ref="D14">IF(AND(OR(Table35231227[[#This Row],[Ticker]]=$A$5:$E$5), AND(A14="",Table35231227[[#This Row],[SMA]]="Above SMA")),"BUY","")</f>
        <v>BUY</v>
      </c>
      <c r="E14" s="7" t="str" cm="1">
        <f t="array" ref="E14">IF(H14 &gt; Table_Global_Sector_SMA[GLD_SMA], "Above SMA", "Below SMA")</f>
        <v>Above SMA</v>
      </c>
      <c r="F14" s="4" t="s">
        <v>23</v>
      </c>
      <c r="G14" s="28" t="e" vm="4">
        <v>#VALUE!</v>
      </c>
      <c r="H14" s="6" cm="1">
        <f t="array" ref="H14">_FV(G14,"Price")</f>
        <v>186.81</v>
      </c>
      <c r="I14" s="8" cm="1">
        <f t="array" ref="I14">(H14-Table_Global_Sector_Y[GLD])/Table_Global_Sector_Y[GLD]</f>
        <v>9.2072972443550699E-2</v>
      </c>
      <c r="J14" s="26" t="str">
        <f t="shared" si="0"/>
        <v>0%</v>
      </c>
      <c r="K14"/>
      <c r="L14" s="4"/>
      <c r="M14" s="4"/>
      <c r="N14" s="4"/>
      <c r="O14" s="4"/>
      <c r="P14" s="4"/>
      <c r="Q14" s="4"/>
      <c r="R14" s="28"/>
      <c r="S14" s="6"/>
      <c r="T14" s="45"/>
      <c r="U14" s="26"/>
      <c r="V14" s="12"/>
    </row>
    <row r="15" spans="1:24" ht="15.75" x14ac:dyDescent="0.25">
      <c r="A15" s="4"/>
      <c r="B15" s="4" t="str" cm="1">
        <f t="array" ref="B15">IF(AND(Table35231227[[#This Row],[Ticker]]&lt;&gt;$A$5:$E$5, (A15="X")),"SELL","")</f>
        <v/>
      </c>
      <c r="C15" s="4" t="str">
        <f>IF(AND(A15="X",Table35231227[[#This Row],[SMA]]="Below SMA"),"SELL","")</f>
        <v/>
      </c>
      <c r="D15" s="4" t="str" cm="1">
        <f t="array" ref="D15">IF(AND(OR(Table35231227[[#This Row],[Ticker]]=$A$5:$E$5), AND(A15="",Table35231227[[#This Row],[SMA]]="Above SMA")),"BUY","")</f>
        <v>BUY</v>
      </c>
      <c r="E15" s="7" t="str" cm="1">
        <f t="array" ref="E15">IF(H15 &gt; Table_Global_Sector_SMA[KXI_SMA], "Above SMA", "Below SMA")</f>
        <v>Above SMA</v>
      </c>
      <c r="F15" s="4" t="s">
        <v>41</v>
      </c>
      <c r="G15" s="28" t="e" vm="5">
        <v>#VALUE!</v>
      </c>
      <c r="H15" s="6" cm="1">
        <f t="array" ref="H15">_FV(G15,"Price")</f>
        <v>63.88</v>
      </c>
      <c r="I15" s="8" cm="1">
        <f t="array" ref="I15">(H15-Table_Global_Sector_Y[KXI])/Table_Global_Sector_Y[KXI]</f>
        <v>7.2712020460358101E-2</v>
      </c>
      <c r="J15" s="26" t="str">
        <f t="shared" si="0"/>
        <v>0%</v>
      </c>
      <c r="K15"/>
      <c r="L15" s="4"/>
      <c r="M15" s="4"/>
      <c r="N15" s="4"/>
      <c r="O15" s="4"/>
      <c r="P15" s="4"/>
      <c r="Q15" s="4"/>
      <c r="R15" s="28"/>
      <c r="S15" s="6"/>
      <c r="T15" s="45"/>
      <c r="U15" s="26"/>
      <c r="V15" s="12"/>
    </row>
    <row r="16" spans="1:24" ht="15.75" x14ac:dyDescent="0.25">
      <c r="A16" s="4"/>
      <c r="B16" s="4" t="str" cm="1">
        <f t="array" ref="B16">IF(AND(Table35231227[[#This Row],[Ticker]]&lt;&gt;$A$5:$E$5, (A16="X")),"SELL","")</f>
        <v/>
      </c>
      <c r="C16" s="4" t="str">
        <f>IF(AND(A16="X",Table35231227[[#This Row],[SMA]]="Below SMA"),"SELL","")</f>
        <v/>
      </c>
      <c r="D16" s="4" t="str" cm="1">
        <f t="array" ref="D16">IF(AND(OR(Table35231227[[#This Row],[Ticker]]=$A$5:$E$5), AND(A16="",Table35231227[[#This Row],[SMA]]="Above SMA")),"BUY","")</f>
        <v>BUY</v>
      </c>
      <c r="E16" s="7" t="str" cm="1">
        <f t="array" ref="E16">IF(H16 &gt; Table_Global_Sector_SMA[EXI_SMA], "Above SMA", "Below SMA")</f>
        <v>Above SMA</v>
      </c>
      <c r="F16" s="4" t="s">
        <v>34</v>
      </c>
      <c r="G16" s="28" t="e" vm="6">
        <v>#VALUE!</v>
      </c>
      <c r="H16" s="6" cm="1">
        <f t="array" ref="H16">_FV(G16,"Price")</f>
        <v>113.5266</v>
      </c>
      <c r="I16" s="8" cm="1">
        <f t="array" ref="I16">(H16-Table_Global_Sector_Y[EXI])/Table_Global_Sector_Y[EXI]</f>
        <v>6.1591522425882027E-2</v>
      </c>
      <c r="J16" s="26" t="str">
        <f t="shared" si="0"/>
        <v>0%</v>
      </c>
      <c r="K16"/>
      <c r="L16" s="4"/>
      <c r="M16" s="4"/>
      <c r="N16" s="4"/>
      <c r="O16" s="4"/>
      <c r="P16" s="4"/>
      <c r="Q16" s="4"/>
      <c r="R16" s="28"/>
      <c r="S16" s="6"/>
      <c r="T16" s="45"/>
      <c r="U16" s="26"/>
      <c r="V16" s="12"/>
    </row>
    <row r="17" spans="1:22" ht="15.75" x14ac:dyDescent="0.25">
      <c r="A17" s="4"/>
      <c r="B17" s="4" t="str" cm="1">
        <f t="array" ref="B17">IF(AND(Table35231227[[#This Row],[Ticker]]&lt;&gt;$A$5:$E$5, (A17="X")),"SELL","")</f>
        <v/>
      </c>
      <c r="C17" s="4" t="str">
        <f>IF(AND(A17="X",Table35231227[[#This Row],[SMA]]="Below SMA"),"SELL","")</f>
        <v/>
      </c>
      <c r="D17" s="4" t="str" cm="1">
        <f t="array" ref="D17">IF(AND(OR(Table35231227[[#This Row],[Ticker]]=$A$5:$E$5), AND(A17="",Table35231227[[#This Row],[SMA]]="Above SMA")),"BUY","")</f>
        <v/>
      </c>
      <c r="E17" s="7" t="str" cm="1">
        <f t="array" ref="E17">IF(H17 &gt; Table_Global_Sector_SMA[JXI_SMA], "Above SMA", "Below SMA")</f>
        <v>Above SMA</v>
      </c>
      <c r="F17" s="4" t="s">
        <v>40</v>
      </c>
      <c r="G17" s="28" t="e" vm="7">
        <v>#VALUE!</v>
      </c>
      <c r="H17" s="6" cm="1">
        <f t="array" ref="H17">_FV(G17,"Price")</f>
        <v>62.61</v>
      </c>
      <c r="I17" s="8" cm="1">
        <f t="array" ref="I17">(H17-Table_Global_Sector_Y[JXI])/Table_Global_Sector_Y[JXI]</f>
        <v>4.159040699157656E-2</v>
      </c>
      <c r="J17" s="26" t="str">
        <f t="shared" si="0"/>
        <v>0%</v>
      </c>
      <c r="K17"/>
      <c r="L17" s="4"/>
      <c r="M17" s="4"/>
      <c r="N17" s="4"/>
      <c r="O17" s="4"/>
      <c r="P17" s="4"/>
      <c r="Q17" s="4"/>
      <c r="R17" s="28"/>
      <c r="S17" s="6"/>
      <c r="T17" s="45"/>
      <c r="U17" s="26"/>
      <c r="V17" s="12"/>
    </row>
    <row r="18" spans="1:22" ht="15.75" x14ac:dyDescent="0.25">
      <c r="A18" s="4"/>
      <c r="B18" s="4" t="str" cm="1">
        <f t="array" ref="B18">IF(AND(Table35231227[[#This Row],[Ticker]]&lt;&gt;$A$5:$E$5, (A18="X")),"SELL","")</f>
        <v/>
      </c>
      <c r="C18" s="4" t="str">
        <f>IF(AND(A18="X",Table35231227[[#This Row],[SMA]]="Below SMA"),"SELL","")</f>
        <v/>
      </c>
      <c r="D18" s="4" t="str" cm="1">
        <f t="array" ref="D18">IF(AND(OR(Table35231227[[#This Row],[Ticker]]=$A$5:$E$5), AND(A18="",Table35231227[[#This Row],[SMA]]="Above SMA")),"BUY","")</f>
        <v/>
      </c>
      <c r="E18" s="7" t="str" cm="1">
        <f t="array" ref="E18">IF(H18 &gt; Table_Global_Sector_SMA[LTPZ_SMA], "Above SMA", "Below SMA")</f>
        <v>Above SMA</v>
      </c>
      <c r="F18" s="4" t="s">
        <v>30</v>
      </c>
      <c r="G18" s="28" t="e" vm="8">
        <v>#VALUE!</v>
      </c>
      <c r="H18" s="6" cm="1">
        <f t="array" ref="H18">_FV(G18,"Price")</f>
        <v>60.9</v>
      </c>
      <c r="I18" s="8" cm="1">
        <f t="array" ref="I18">(H18-Table_Global_Sector_Y[LTPZ])/Table_Global_Sector_Y[LTPZ]</f>
        <v>4.1146963372094933E-2</v>
      </c>
      <c r="J18" s="26" t="str">
        <f t="shared" si="0"/>
        <v>0%</v>
      </c>
      <c r="K18"/>
      <c r="L18" s="4"/>
      <c r="M18" s="4"/>
      <c r="N18" s="4"/>
      <c r="O18" s="4"/>
      <c r="P18" s="4"/>
      <c r="Q18" s="4"/>
      <c r="R18" s="28"/>
      <c r="S18" s="6"/>
      <c r="T18" s="45"/>
      <c r="U18" s="26"/>
      <c r="V18" s="12"/>
    </row>
    <row r="19" spans="1:22" ht="15.75" x14ac:dyDescent="0.25">
      <c r="A19" s="4"/>
      <c r="B19" s="4" t="str" cm="1">
        <f t="array" ref="B19">IF(AND(Table35231227[[#This Row],[Ticker]]&lt;&gt;$A$5:$E$5, (A19="X")),"SELL","")</f>
        <v/>
      </c>
      <c r="C19" s="4" t="str">
        <f>IF(AND(A19="X",Table35231227[[#This Row],[SMA]]="Below SMA"),"SELL","")</f>
        <v/>
      </c>
      <c r="D19" s="4" t="str" cm="1">
        <f t="array" ref="D19">IF(AND(OR(Table35231227[[#This Row],[Ticker]]=$A$5:$E$5), AND(A19="",Table35231227[[#This Row],[SMA]]="Above SMA")),"BUY","")</f>
        <v/>
      </c>
      <c r="E19" s="7" t="str" cm="1">
        <f t="array" ref="E19">IF(H19 &gt; Table_Global_Sector_SMA[IEF_SMA], "Above SMA", "Below SMA")</f>
        <v>Above SMA</v>
      </c>
      <c r="F19" s="4" t="s">
        <v>25</v>
      </c>
      <c r="G19" s="28" t="e" vm="9">
        <v>#VALUE!</v>
      </c>
      <c r="H19" s="6" cm="1">
        <f t="array" ref="H19">_FV(G19,"Price")</f>
        <v>99.47</v>
      </c>
      <c r="I19" s="8" cm="1">
        <f t="array" ref="I19">(H19-Table_Global_Sector_Y[IEF])/Table_Global_Sector_Y[IEF]</f>
        <v>3.9322384218555856E-2</v>
      </c>
      <c r="J19" s="26" t="str">
        <f t="shared" si="0"/>
        <v>0%</v>
      </c>
      <c r="K19"/>
      <c r="L19" s="4"/>
      <c r="M19" s="4"/>
      <c r="N19" s="4"/>
      <c r="O19" s="4"/>
      <c r="P19" s="4"/>
      <c r="Q19" s="4"/>
      <c r="R19" s="28"/>
      <c r="S19" s="6"/>
      <c r="T19" s="45"/>
      <c r="U19" s="26"/>
      <c r="V19" s="12"/>
    </row>
    <row r="20" spans="1:22" ht="15.75" x14ac:dyDescent="0.25">
      <c r="A20" s="4"/>
      <c r="B20" s="4" t="str" cm="1">
        <f t="array" ref="B20">IF(AND(Table35231227[[#This Row],[Ticker]]&lt;&gt;$A$5:$E$5, (A20="X")),"SELL","")</f>
        <v/>
      </c>
      <c r="C20" s="4" t="str">
        <f>IF(AND(A20="X",Table35231227[[#This Row],[SMA]]="Below SMA"),"SELL","")</f>
        <v/>
      </c>
      <c r="D20" s="4" t="str" cm="1">
        <f t="array" ref="D20">IF(AND(OR(Table35231227[[#This Row],[Ticker]]=$A$5:$E$5), AND(A20="",Table35231227[[#This Row],[SMA]]="Above SMA")),"BUY","")</f>
        <v/>
      </c>
      <c r="E20" s="7" t="str" cm="1">
        <f t="array" ref="E20">IF(H20 &gt; Table_Global_Sector_SMA[TLT_SMA], "Above SMA", "Below SMA")</f>
        <v>Above SMA</v>
      </c>
      <c r="F20" s="4" t="s">
        <v>24</v>
      </c>
      <c r="G20" s="28" t="e" vm="10">
        <v>#VALUE!</v>
      </c>
      <c r="H20" s="6" cm="1">
        <f t="array" ref="H20">_FV(G20,"Price")</f>
        <v>104.27</v>
      </c>
      <c r="I20" s="8" cm="1">
        <f t="array" ref="I20">(H20-Table_Global_Sector_Y[TLT])/Table_Global_Sector_Y[TLT]</f>
        <v>3.8110350289237094E-2</v>
      </c>
      <c r="J20" s="26" t="str">
        <f t="shared" si="0"/>
        <v>0%</v>
      </c>
      <c r="K20"/>
      <c r="L20" s="4"/>
      <c r="M20" s="4"/>
      <c r="N20" s="4"/>
      <c r="O20" s="4"/>
      <c r="P20" s="4"/>
      <c r="Q20" s="4"/>
      <c r="R20" s="28"/>
      <c r="S20" s="6"/>
      <c r="T20" s="45"/>
      <c r="U20" s="26"/>
      <c r="V20" s="12"/>
    </row>
    <row r="21" spans="1:22" ht="15.75" x14ac:dyDescent="0.25">
      <c r="A21" s="4"/>
      <c r="B21" s="4" t="str" cm="1">
        <f t="array" ref="B21">IF(AND(Table35231227[[#This Row],[Ticker]]&lt;&gt;$A$5:$E$5, (A21="X")),"SELL","")</f>
        <v/>
      </c>
      <c r="C21" s="4" t="str">
        <f>IF(AND(A21="X",Table35231227[[#This Row],[SMA]]="Below SMA"),"SELL","")</f>
        <v/>
      </c>
      <c r="D21" s="4" t="str" cm="1">
        <f t="array" ref="D21">IF(AND(OR(Table35231227[[#This Row],[Ticker]]=$A$5:$E$5), AND(A21="",Table35231227[[#This Row],[SMA]]="Above SMA")),"BUY","")</f>
        <v/>
      </c>
      <c r="E21" s="7" t="str" cm="1">
        <f t="array" ref="E21">IF(H21 &gt; Table_Global_Sector_SMA[MXI_SMA], "Above SMA", "Below SMA")</f>
        <v>Above SMA</v>
      </c>
      <c r="F21" s="4" t="s">
        <v>42</v>
      </c>
      <c r="G21" s="28" t="e" vm="11">
        <v>#VALUE!</v>
      </c>
      <c r="H21" s="6" cm="1">
        <f t="array" ref="H21">_FV(G21,"Price")</f>
        <v>81.236500000000007</v>
      </c>
      <c r="I21" s="8" cm="1">
        <f t="array" ref="I21">(H21-Table_Global_Sector_Y[MXI])/Table_Global_Sector_Y[MXI]</f>
        <v>3.2623641677772548E-2</v>
      </c>
      <c r="J21" s="26" t="str">
        <f t="shared" si="0"/>
        <v>0%</v>
      </c>
      <c r="K21"/>
      <c r="L21" s="4"/>
      <c r="M21" s="4"/>
      <c r="N21" s="4"/>
      <c r="O21" s="4"/>
      <c r="P21" s="4"/>
      <c r="Q21" s="4"/>
      <c r="R21" s="28"/>
      <c r="S21" s="6"/>
      <c r="T21" s="45"/>
      <c r="U21" s="26"/>
      <c r="V21" s="12"/>
    </row>
    <row r="22" spans="1:22" ht="15.75" x14ac:dyDescent="0.25">
      <c r="A22" s="4"/>
      <c r="B22" s="4" t="str" cm="1">
        <f t="array" ref="B22">IF(AND(Table35231227[[#This Row],[Ticker]]&lt;&gt;$A$5:$E$5, (A22="X")),"SELL","")</f>
        <v/>
      </c>
      <c r="C22" s="4" t="str">
        <f>IF(AND(A22="X",Table35231227[[#This Row],[SMA]]="Below SMA"),"SELL","")</f>
        <v/>
      </c>
      <c r="D22" s="4" t="str" cm="1">
        <f t="array" ref="D22">IF(AND(OR(Table35231227[[#This Row],[Ticker]]=$A$5:$E$5), AND(A22="",Table35231227[[#This Row],[SMA]]="Above SMA")),"BUY","")</f>
        <v/>
      </c>
      <c r="E22" s="7" t="str" cm="1">
        <f t="array" ref="E22">IF(H22 &gt; Table_Global_Sector_SMA[TIP_SMA], "Above SMA", "Below SMA")</f>
        <v>Above SMA</v>
      </c>
      <c r="F22" s="4" t="s">
        <v>31</v>
      </c>
      <c r="G22" s="28" t="e" vm="12">
        <v>#VALUE!</v>
      </c>
      <c r="H22" s="6" cm="1">
        <f t="array" ref="H22">_FV(G22,"Price")</f>
        <v>109.42</v>
      </c>
      <c r="I22" s="8" cm="1">
        <f t="array" ref="I22">(H22-Table_Global_Sector_Y[TIP])/Table_Global_Sector_Y[TIP]</f>
        <v>3.0844865372157276E-2</v>
      </c>
      <c r="J22" s="26" t="str">
        <f t="shared" si="0"/>
        <v>0%</v>
      </c>
      <c r="K22"/>
      <c r="L22" s="4"/>
      <c r="M22" s="4"/>
      <c r="N22" s="4"/>
      <c r="O22" s="4"/>
      <c r="P22" s="4"/>
      <c r="Q22" s="4"/>
      <c r="R22" s="28"/>
      <c r="S22" s="6"/>
      <c r="T22" s="45"/>
      <c r="U22" s="26"/>
      <c r="V22" s="12"/>
    </row>
    <row r="23" spans="1:22" ht="15.75" x14ac:dyDescent="0.25">
      <c r="A23" s="4"/>
      <c r="B23" s="4" t="str" cm="1">
        <f t="array" ref="B23">IF(AND(Table35231227[[#This Row],[Ticker]]&lt;&gt;$A$5:$E$5, (A23="X")),"SELL","")</f>
        <v/>
      </c>
      <c r="C23" s="4" t="str">
        <f>IF(AND(A23="X",Table35231227[[#This Row],[SMA]]="Below SMA"),"SELL","")</f>
        <v/>
      </c>
      <c r="D23" s="4" t="str" cm="1">
        <f t="array" ref="D23">IF(AND(OR(Table35231227[[#This Row],[Ticker]]=$A$5:$E$5), AND(A23="",Table35231227[[#This Row],[SMA]]="Above SMA")),"BUY","")</f>
        <v/>
      </c>
      <c r="E23" s="7" t="str" cm="1">
        <f t="array" ref="E23">IF(H23 &gt; Table_Global_Sector_SMA[USRT_SMA], "Above SMA", "Below SMA")</f>
        <v>Above SMA</v>
      </c>
      <c r="F23" s="4" t="s">
        <v>44</v>
      </c>
      <c r="G23" s="28" t="e" vm="13">
        <v>#VALUE!</v>
      </c>
      <c r="H23" s="6" cm="1">
        <f t="array" ref="H23">_FV(G23,"Price")</f>
        <v>50.29</v>
      </c>
      <c r="I23" s="8" cm="1">
        <f t="array" ref="I23">(H23-Table_Global_Sector_Y[USRT])/Table_Global_Sector_Y[USRT]</f>
        <v>2.6474048154627991E-2</v>
      </c>
      <c r="J23" s="26" t="str">
        <f t="shared" si="0"/>
        <v>0%</v>
      </c>
      <c r="K23"/>
      <c r="L23" s="4"/>
      <c r="M23" s="4"/>
      <c r="N23" s="4"/>
      <c r="O23" s="4"/>
      <c r="P23" s="4"/>
      <c r="Q23" s="4"/>
      <c r="R23" s="28"/>
      <c r="S23" s="6"/>
      <c r="T23" s="45"/>
      <c r="U23" s="26"/>
      <c r="V23" s="12"/>
    </row>
    <row r="24" spans="1:22" ht="15.75" x14ac:dyDescent="0.25">
      <c r="A24" s="4"/>
      <c r="B24" s="4" t="str" cm="1">
        <f t="array" ref="B24">IF(AND(Table35231227[[#This Row],[Ticker]]&lt;&gt;$A$5:$E$5, (A24="X")),"SELL","")</f>
        <v/>
      </c>
      <c r="C24" s="4" t="str">
        <f>IF(AND(A24="X",Table35231227[[#This Row],[SMA]]="Below SMA"),"SELL","")</f>
        <v/>
      </c>
      <c r="D24" s="4" t="str" cm="1">
        <f t="array" ref="D24">IF(AND(OR(Table35231227[[#This Row],[Ticker]]=$A$5:$E$5), AND(A24="",Table35231227[[#This Row],[SMA]]="Above SMA")),"BUY","")</f>
        <v/>
      </c>
      <c r="E24" s="7" t="str" cm="1">
        <f t="array" ref="E24">IF(H24 &gt; Table_Global_Sector_SMA[IXJ_SMA], "Above SMA", "Below SMA")</f>
        <v>Above SMA</v>
      </c>
      <c r="F24" s="4" t="s">
        <v>37</v>
      </c>
      <c r="G24" s="28" t="e" vm="14">
        <v>#VALUE!</v>
      </c>
      <c r="H24" s="6" cm="1">
        <f t="array" ref="H24">_FV(G24,"Price")</f>
        <v>85.99</v>
      </c>
      <c r="I24" s="8" cm="1">
        <f t="array" ref="I24">(H24-Table_Global_Sector_Y[IXJ])/Table_Global_Sector_Y[IXJ]</f>
        <v>1.2600116040110503E-2</v>
      </c>
      <c r="J24" s="26" t="str">
        <f t="shared" si="0"/>
        <v>0%</v>
      </c>
      <c r="K24"/>
      <c r="L24" s="4"/>
      <c r="M24" s="4"/>
      <c r="N24" s="4"/>
      <c r="O24" s="4"/>
      <c r="P24" s="4"/>
      <c r="Q24" s="4"/>
      <c r="R24" s="28"/>
      <c r="S24" s="6"/>
      <c r="T24" s="45"/>
      <c r="U24" s="26"/>
      <c r="V24" s="12"/>
    </row>
    <row r="25" spans="1:22" ht="15.75" x14ac:dyDescent="0.25">
      <c r="A25" s="4"/>
      <c r="B25" s="4" t="str" cm="1">
        <f t="array" ref="B25">IF(AND(Table35231227[[#This Row],[Ticker]]&lt;&gt;$A$5:$E$5, (A25="X")),"SELL","")</f>
        <v/>
      </c>
      <c r="C25" s="4" t="str">
        <f>IF(AND(A25="X",Table35231227[[#This Row],[SMA]]="Below SMA"),"SELL","")</f>
        <v/>
      </c>
      <c r="D25" s="4" t="str" cm="1">
        <f t="array" ref="D25">IF(AND(OR(Table35231227[[#This Row],[Ticker]]=$A$5:$E$5), AND(A25="",Table35231227[[#This Row],[SMA]]="Above SMA")),"BUY","")</f>
        <v/>
      </c>
      <c r="E25" s="7" t="str" cm="1">
        <f t="array" ref="E25">IF(H25 &gt; Table_Global_Sector_SMA[IXG_SMA], "Above SMA", "Below SMA")</f>
        <v>Below SMA</v>
      </c>
      <c r="F25" s="4" t="s">
        <v>36</v>
      </c>
      <c r="G25" s="28" t="e" vm="15">
        <v>#VALUE!</v>
      </c>
      <c r="H25" s="6" cm="1">
        <f t="array" ref="H25">_FV(G25,"Price")</f>
        <v>69.38</v>
      </c>
      <c r="I25" s="8" cm="1">
        <f t="array" ref="I25">(H25-Table_Global_Sector_Y[IXG])/Table_Global_Sector_Y[IXG]</f>
        <v>-1.7419637441148054E-2</v>
      </c>
      <c r="J25" s="26" t="str">
        <f t="shared" si="0"/>
        <v>0%</v>
      </c>
      <c r="K25"/>
      <c r="L25" s="4"/>
      <c r="M25" s="4"/>
      <c r="N25" s="4"/>
      <c r="O25" s="4"/>
      <c r="P25" s="4"/>
      <c r="Q25" s="4"/>
      <c r="R25" s="28"/>
      <c r="S25" s="6"/>
      <c r="T25" s="45"/>
      <c r="U25" s="26"/>
      <c r="V25" s="12"/>
    </row>
    <row r="26" spans="1:22" ht="15.75" x14ac:dyDescent="0.25">
      <c r="A26" s="4"/>
      <c r="B26" s="4" t="str" cm="1">
        <f t="array" ref="B26">IF(AND(Table35231227[[#This Row],[Ticker]]&lt;&gt;$A$5:$E$5, (A26="X")),"SELL","")</f>
        <v/>
      </c>
      <c r="C26" s="4" t="str">
        <f>IF(AND(A26="X",Table35231227[[#This Row],[SMA]]="Below SMA"),"SELL","")</f>
        <v/>
      </c>
      <c r="D26" s="4" t="str" cm="1">
        <f t="array" ref="D26">IF(AND(OR(Table35231227[[#This Row],[Ticker]]=$A$5:$E$5), AND(A26="",Table35231227[[#This Row],[SMA]]="Above SMA")),"BUY","")</f>
        <v/>
      </c>
      <c r="E26" s="7" t="str" cm="1">
        <f t="array" ref="E26">IF(H26 &gt; Table_Global_Sector_SMA[IXC_SMA], "Above SMA", "Below SMA")</f>
        <v>Below SMA</v>
      </c>
      <c r="F26" s="4" t="s">
        <v>35</v>
      </c>
      <c r="G26" s="28" t="e" vm="16">
        <v>#VALUE!</v>
      </c>
      <c r="H26" s="6" cm="1">
        <f t="array" ref="H26">_FV(G26,"Price")</f>
        <v>36.799999999999997</v>
      </c>
      <c r="I26" s="8" cm="1">
        <f t="array" ref="I26">(H26-Table_Global_Sector_Y[IXC])/Table_Global_Sector_Y[IXC]</f>
        <v>-2.4648808733624707E-2</v>
      </c>
      <c r="J26" s="26" t="str">
        <f t="shared" si="0"/>
        <v>0%</v>
      </c>
      <c r="K26"/>
      <c r="L26" s="4"/>
      <c r="M26" s="4"/>
      <c r="N26" s="4"/>
      <c r="O26" s="4"/>
      <c r="P26" s="4"/>
      <c r="Q26" s="4"/>
      <c r="R26" s="28"/>
      <c r="S26" s="6"/>
      <c r="T26" s="45"/>
      <c r="U26" s="26"/>
      <c r="V26" s="12"/>
    </row>
    <row r="27" spans="1:22" ht="15.75" x14ac:dyDescent="0.25">
      <c r="A27" s="4"/>
      <c r="B27" s="4" t="str" cm="1">
        <f t="array" ref="B27">IF(AND(Table35231227[[#This Row],[Ticker]]&lt;&gt;$A$5:$E$5, (A27="X")),"SELL","")</f>
        <v/>
      </c>
      <c r="C27" s="4" t="str">
        <f>IF(AND(A27="X",Table35231227[[#This Row],[SMA]]="Below SMA"),"SELL","")</f>
        <v/>
      </c>
      <c r="D27" s="4" t="str" cm="1">
        <f t="array" ref="D27">IF(AND(OR(Table35231227[[#This Row],[Ticker]]=$A$5:$E$5), AND(A27="",Table35231227[[#This Row],[SMA]]="Above SMA")),"BUY","")</f>
        <v/>
      </c>
      <c r="E27" s="7" t="str" cm="1">
        <f t="array" ref="E27">IF(H27 &gt; Table_Global_Sector_SMA[PDBC_SMA], "Above SMA", "Below SMA")</f>
        <v>Below SMA</v>
      </c>
      <c r="F27" s="4" t="s">
        <v>22</v>
      </c>
      <c r="G27" s="28" t="e" vm="17">
        <v>#VALUE!</v>
      </c>
      <c r="H27" s="6" cm="1">
        <f t="array" ref="H27">_FV(G27,"Price")</f>
        <v>13.59</v>
      </c>
      <c r="I27" s="8" cm="1">
        <f t="array" ref="I27">(H27-Table_Global_Sector_Y[PDBC])/Table_Global_Sector_Y[PDBC]</f>
        <v>-5.6904917147474726E-2</v>
      </c>
      <c r="J27" s="26" t="str">
        <f t="shared" si="0"/>
        <v>0%</v>
      </c>
      <c r="K27"/>
      <c r="L27" s="4"/>
      <c r="M27" s="4"/>
      <c r="N27" s="4"/>
      <c r="O27" s="4"/>
      <c r="P27" s="4"/>
      <c r="Q27" s="4"/>
      <c r="R27" s="28"/>
      <c r="S27" s="6"/>
      <c r="T27" s="45"/>
      <c r="U27" s="26"/>
      <c r="V27" s="12"/>
    </row>
    <row r="28" spans="1:22" ht="15.75" x14ac:dyDescent="0.25">
      <c r="A28" s="4"/>
      <c r="B28" s="4" t="str" cm="1">
        <f t="array" ref="B28">IF(AND(Table35231227[[#This Row],[Ticker]]&lt;&gt;$A$5:$E$5, (A28="X")),"SELL","")</f>
        <v/>
      </c>
      <c r="C28" s="4" t="str">
        <f>IF(AND(A28="X",Table35231227[[#This Row],[SMA]]="Below SMA"),"SELL","")</f>
        <v/>
      </c>
      <c r="D28" s="4" t="str" cm="1">
        <f t="array" ref="D28">IF(AND(OR(Table35231227[[#This Row],[Ticker]]=$A$5:$E$5), AND(A28="",Table35231227[[#This Row],[SMA]]="Above SMA")),"BUY","")</f>
        <v/>
      </c>
      <c r="E28" s="38"/>
      <c r="F28" s="4" t="s">
        <v>21</v>
      </c>
      <c r="G28" s="28" t="s">
        <v>8</v>
      </c>
      <c r="H28" s="6">
        <v>1</v>
      </c>
      <c r="I28" s="8"/>
      <c r="J28" s="26">
        <f>1-(SUM(J11:J27))</f>
        <v>1</v>
      </c>
      <c r="K28"/>
      <c r="L28" s="4"/>
      <c r="M28" s="4"/>
      <c r="N28" s="4"/>
      <c r="O28" s="4"/>
      <c r="P28" s="4"/>
      <c r="Q28" s="4"/>
      <c r="R28" s="28"/>
      <c r="S28" s="6"/>
      <c r="T28" s="45"/>
      <c r="U28" s="26"/>
      <c r="V28" s="12"/>
    </row>
    <row r="29" spans="1:22" ht="15.75" x14ac:dyDescent="0.25">
      <c r="D29"/>
      <c r="E29" s="7"/>
      <c r="F29" s="4"/>
      <c r="G29" s="28"/>
      <c r="H29" s="6"/>
      <c r="I29" s="11"/>
      <c r="J29" s="5">
        <f>SUM(Table35231227[Target %])</f>
        <v>1</v>
      </c>
      <c r="K29"/>
      <c r="L29"/>
      <c r="P29" s="4"/>
      <c r="Q29" s="4"/>
      <c r="R29" s="28"/>
      <c r="S29" s="6"/>
      <c r="T29" s="26"/>
      <c r="U29" s="5"/>
    </row>
    <row r="30" spans="1:22" x14ac:dyDescent="0.25">
      <c r="G30" s="31"/>
      <c r="H30" s="3"/>
    </row>
    <row r="32" spans="1:22" x14ac:dyDescent="0.25">
      <c r="F32" s="29"/>
      <c r="Q32" s="9"/>
    </row>
    <row r="34" spans="9:19" ht="23.25" x14ac:dyDescent="0.25">
      <c r="I34" s="25"/>
      <c r="J34" s="27"/>
      <c r="K34" s="27"/>
      <c r="L34" s="27"/>
      <c r="M34" s="25"/>
      <c r="N34" s="25"/>
      <c r="O34" s="30"/>
      <c r="P34" s="14"/>
      <c r="Q34" s="14"/>
      <c r="R34" s="14"/>
      <c r="S34" s="14"/>
    </row>
    <row r="35" spans="9:19" ht="23.25" x14ac:dyDescent="0.25">
      <c r="I35" s="27"/>
      <c r="J35" s="27"/>
      <c r="K35" s="27"/>
      <c r="L35" s="27"/>
      <c r="M35" s="25"/>
      <c r="N35" s="25"/>
      <c r="O35" s="30"/>
      <c r="P35" s="14"/>
      <c r="Q35" s="14"/>
      <c r="R35" s="14"/>
      <c r="S35" s="14"/>
    </row>
    <row r="36" spans="9:19" ht="21" x14ac:dyDescent="0.25"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9:19" ht="15.75" x14ac:dyDescent="0.25">
      <c r="I37" s="4"/>
      <c r="J37" s="4"/>
      <c r="K37" s="4"/>
      <c r="L37" s="4"/>
      <c r="M37" s="4"/>
      <c r="N37" s="4"/>
      <c r="O37" s="28"/>
      <c r="P37" s="6"/>
      <c r="Q37" s="40"/>
      <c r="R37" s="26"/>
      <c r="S37" s="12"/>
    </row>
    <row r="38" spans="9:19" ht="15.75" x14ac:dyDescent="0.25">
      <c r="I38" s="4"/>
      <c r="J38" s="4"/>
      <c r="K38" s="4"/>
      <c r="L38" s="4"/>
      <c r="M38" s="4"/>
      <c r="N38" s="4"/>
      <c r="O38" s="28"/>
      <c r="P38" s="6"/>
      <c r="Q38" s="40"/>
      <c r="R38" s="26"/>
      <c r="S38" s="12"/>
    </row>
    <row r="39" spans="9:19" ht="15.75" x14ac:dyDescent="0.25">
      <c r="I39" s="4"/>
      <c r="J39" s="4"/>
      <c r="K39" s="4"/>
      <c r="L39" s="4"/>
      <c r="M39" s="4"/>
      <c r="N39" s="4"/>
      <c r="O39" s="28"/>
      <c r="P39" s="6"/>
      <c r="Q39" s="40"/>
      <c r="R39" s="26"/>
      <c r="S39" s="12"/>
    </row>
    <row r="40" spans="9:19" ht="15.75" x14ac:dyDescent="0.25">
      <c r="I40" s="4"/>
      <c r="J40" s="4"/>
      <c r="K40" s="4"/>
      <c r="L40" s="4"/>
      <c r="M40" s="4"/>
      <c r="N40" s="4"/>
      <c r="O40" s="28"/>
      <c r="P40" s="6"/>
      <c r="Q40" s="40"/>
      <c r="R40" s="26"/>
      <c r="S40" s="12"/>
    </row>
    <row r="41" spans="9:19" ht="15.75" x14ac:dyDescent="0.25">
      <c r="I41" s="4"/>
      <c r="J41" s="4"/>
      <c r="K41" s="4"/>
      <c r="L41" s="4"/>
      <c r="M41" s="4"/>
      <c r="N41" s="4"/>
      <c r="O41" s="28"/>
      <c r="P41" s="6"/>
      <c r="Q41" s="40"/>
      <c r="R41" s="26"/>
      <c r="S41" s="12"/>
    </row>
    <row r="42" spans="9:19" ht="15.75" x14ac:dyDescent="0.25">
      <c r="I42" s="4"/>
      <c r="J42" s="4"/>
      <c r="K42" s="4"/>
      <c r="L42" s="4"/>
      <c r="M42" s="4"/>
      <c r="N42" s="4"/>
      <c r="O42" s="28"/>
      <c r="P42" s="6"/>
      <c r="Q42" s="40"/>
      <c r="R42" s="26"/>
      <c r="S42" s="12"/>
    </row>
    <row r="43" spans="9:19" ht="15.75" x14ac:dyDescent="0.25">
      <c r="I43" s="4"/>
      <c r="J43" s="4"/>
      <c r="K43" s="4"/>
      <c r="L43" s="4"/>
      <c r="M43" s="4"/>
      <c r="N43" s="4"/>
      <c r="O43" s="28"/>
      <c r="P43" s="6"/>
      <c r="Q43" s="40"/>
      <c r="R43" s="26"/>
      <c r="S43" s="12"/>
    </row>
    <row r="44" spans="9:19" ht="15.75" x14ac:dyDescent="0.25">
      <c r="I44" s="4"/>
      <c r="J44" s="4"/>
      <c r="K44" s="4"/>
      <c r="L44" s="4"/>
      <c r="M44" s="4"/>
      <c r="N44" s="4"/>
      <c r="O44" s="28"/>
      <c r="P44" s="6"/>
      <c r="Q44" s="40"/>
      <c r="R44" s="26"/>
      <c r="S44" s="12"/>
    </row>
    <row r="45" spans="9:19" ht="15.75" x14ac:dyDescent="0.25">
      <c r="I45" s="4"/>
      <c r="J45" s="4"/>
      <c r="K45" s="4"/>
      <c r="L45" s="4"/>
      <c r="M45" s="4"/>
      <c r="N45" s="4"/>
      <c r="O45" s="28"/>
      <c r="P45" s="6"/>
      <c r="Q45" s="40"/>
      <c r="R45" s="26"/>
      <c r="S45" s="12"/>
    </row>
    <row r="46" spans="9:19" ht="15.75" x14ac:dyDescent="0.25">
      <c r="I46" s="4"/>
      <c r="J46" s="4"/>
      <c r="K46" s="4"/>
      <c r="L46" s="4"/>
      <c r="M46" s="4"/>
      <c r="N46" s="4"/>
      <c r="O46" s="28"/>
      <c r="P46" s="6"/>
      <c r="Q46" s="40"/>
      <c r="R46" s="26"/>
      <c r="S46" s="12"/>
    </row>
    <row r="47" spans="9:19" ht="15.75" x14ac:dyDescent="0.25">
      <c r="I47" s="4"/>
      <c r="J47" s="4"/>
      <c r="K47" s="4"/>
      <c r="L47" s="4"/>
      <c r="M47" s="4"/>
      <c r="N47" s="4"/>
      <c r="O47" s="28"/>
      <c r="P47" s="6"/>
      <c r="Q47" s="40"/>
      <c r="R47" s="26"/>
      <c r="S47" s="12"/>
    </row>
    <row r="48" spans="9:19" ht="15.75" x14ac:dyDescent="0.25">
      <c r="I48" s="4"/>
      <c r="J48" s="4"/>
      <c r="K48" s="4"/>
      <c r="L48" s="4"/>
      <c r="M48" s="4"/>
      <c r="N48" s="4"/>
      <c r="O48" s="28"/>
      <c r="P48" s="6"/>
      <c r="Q48" s="40"/>
      <c r="R48" s="26"/>
      <c r="S48" s="12"/>
    </row>
    <row r="49" spans="9:19" ht="15.75" x14ac:dyDescent="0.25">
      <c r="I49" s="4"/>
      <c r="J49" s="4"/>
      <c r="K49" s="4"/>
      <c r="L49" s="4"/>
      <c r="M49" s="4"/>
      <c r="N49" s="4"/>
      <c r="O49" s="28"/>
      <c r="P49" s="6"/>
      <c r="Q49" s="40"/>
      <c r="R49" s="26"/>
      <c r="S49" s="12"/>
    </row>
    <row r="50" spans="9:19" ht="15.75" x14ac:dyDescent="0.25">
      <c r="I50" s="4"/>
      <c r="J50" s="4"/>
      <c r="K50" s="4"/>
      <c r="L50" s="4"/>
      <c r="M50" s="4"/>
      <c r="N50" s="4"/>
      <c r="O50" s="28"/>
      <c r="P50" s="6"/>
      <c r="Q50" s="40"/>
      <c r="R50" s="26"/>
      <c r="S50" s="12"/>
    </row>
    <row r="51" spans="9:19" ht="15.75" x14ac:dyDescent="0.25">
      <c r="I51" s="4"/>
      <c r="J51" s="4"/>
      <c r="K51" s="4"/>
      <c r="L51" s="4"/>
      <c r="M51" s="4"/>
      <c r="N51" s="4"/>
      <c r="O51" s="28"/>
      <c r="P51" s="6"/>
      <c r="Q51" s="40"/>
      <c r="R51" s="26"/>
      <c r="S51" s="12"/>
    </row>
    <row r="52" spans="9:19" ht="15.75" x14ac:dyDescent="0.25">
      <c r="I52" s="4"/>
      <c r="J52" s="4"/>
      <c r="K52" s="4"/>
      <c r="L52" s="4"/>
      <c r="M52" s="4"/>
      <c r="N52" s="4"/>
      <c r="O52" s="28"/>
      <c r="P52" s="6"/>
      <c r="Q52" s="40"/>
      <c r="R52" s="26"/>
      <c r="S52" s="12"/>
    </row>
    <row r="53" spans="9:19" ht="15.75" x14ac:dyDescent="0.25">
      <c r="I53" s="4"/>
      <c r="J53" s="4"/>
      <c r="K53" s="4"/>
      <c r="L53" s="4"/>
      <c r="M53" s="4"/>
      <c r="N53" s="4"/>
      <c r="O53" s="28"/>
      <c r="P53" s="6"/>
      <c r="Q53" s="40"/>
      <c r="R53" s="26"/>
      <c r="S53" s="12"/>
    </row>
    <row r="54" spans="9:19" ht="15.75" x14ac:dyDescent="0.25">
      <c r="I54" s="4"/>
      <c r="J54" s="4"/>
      <c r="K54" s="4"/>
      <c r="L54" s="4"/>
      <c r="M54" s="4"/>
      <c r="N54" s="4"/>
      <c r="O54" s="28"/>
      <c r="P54" s="6"/>
      <c r="Q54" s="40"/>
      <c r="R54" s="26"/>
      <c r="S54" s="12"/>
    </row>
    <row r="55" spans="9:19" ht="15.75" x14ac:dyDescent="0.25">
      <c r="I55"/>
      <c r="J55"/>
      <c r="K55"/>
      <c r="L55"/>
      <c r="M55" s="4"/>
      <c r="N55" s="4"/>
      <c r="O55" s="28"/>
      <c r="P55" s="6"/>
      <c r="Q55" s="26"/>
      <c r="R55" s="5"/>
    </row>
  </sheetData>
  <mergeCells count="2">
    <mergeCell ref="A8:D9"/>
    <mergeCell ref="A2:E3"/>
  </mergeCells>
  <phoneticPr fontId="3" type="noConversion"/>
  <conditionalFormatting sqref="E11:G28">
    <cfRule type="containsText" dxfId="39" priority="13" operator="containsText" text="Below">
      <formula>NOT(ISERROR(SEARCH("Below",E11)))</formula>
    </cfRule>
    <cfRule type="containsText" dxfId="38" priority="14" operator="containsText" text="Above">
      <formula>NOT(ISERROR(SEARCH("Above",E11)))</formula>
    </cfRule>
  </conditionalFormatting>
  <conditionalFormatting sqref="G30:H30">
    <cfRule type="containsText" dxfId="37" priority="11" operator="containsText" text="Below">
      <formula>NOT(ISERROR(SEARCH("Below",G30)))</formula>
    </cfRule>
    <cfRule type="containsText" dxfId="36" priority="12" operator="containsText" text="Above">
      <formula>NOT(ISERROR(SEARCH("Above",G30)))</formula>
    </cfRule>
  </conditionalFormatting>
  <conditionalFormatting sqref="I11:I28">
    <cfRule type="cellIs" dxfId="35" priority="9" operator="between">
      <formula>-0.000001</formula>
      <formula>-100</formula>
    </cfRule>
    <cfRule type="cellIs" dxfId="34" priority="10" operator="between">
      <formula>0</formula>
      <formula>100</formula>
    </cfRule>
  </conditionalFormatting>
  <conditionalFormatting sqref="P11:R28">
    <cfRule type="containsText" dxfId="33" priority="7" operator="containsText" text="Below">
      <formula>NOT(ISERROR(SEARCH("Below",P11)))</formula>
    </cfRule>
    <cfRule type="containsText" dxfId="32" priority="8" operator="containsText" text="Above">
      <formula>NOT(ISERROR(SEARCH("Above",P11)))</formula>
    </cfRule>
  </conditionalFormatting>
  <conditionalFormatting sqref="T11:T28">
    <cfRule type="cellIs" dxfId="31" priority="5" operator="between">
      <formula>-0.000001</formula>
      <formula>-100</formula>
    </cfRule>
    <cfRule type="cellIs" dxfId="30" priority="6" operator="between">
      <formula>0</formula>
      <formula>100</formula>
    </cfRule>
  </conditionalFormatting>
  <conditionalFormatting sqref="M37:O54">
    <cfRule type="containsText" dxfId="29" priority="3" operator="containsText" text="Below">
      <formula>NOT(ISERROR(SEARCH("Below",M37)))</formula>
    </cfRule>
    <cfRule type="containsText" dxfId="28" priority="4" operator="containsText" text="Above">
      <formula>NOT(ISERROR(SEARCH("Above",M37)))</formula>
    </cfRule>
  </conditionalFormatting>
  <conditionalFormatting sqref="Q37:Q54">
    <cfRule type="cellIs" dxfId="27" priority="1" operator="between">
      <formula>-0.000001</formula>
      <formula>-100</formula>
    </cfRule>
    <cfRule type="cellIs" dxfId="26" priority="2" operator="between">
      <formula>0</formula>
      <formula>100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BE2-A028-4B3B-8F39-6C4AFC18C9A5}">
  <dimension ref="A1:CG9"/>
  <sheetViews>
    <sheetView zoomScale="60" zoomScaleNormal="60" workbookViewId="0">
      <selection activeCell="B8" sqref="B8"/>
    </sheetView>
  </sheetViews>
  <sheetFormatPr defaultRowHeight="15" x14ac:dyDescent="0.25"/>
  <cols>
    <col min="1" max="77" width="12.7109375" customWidth="1"/>
  </cols>
  <sheetData>
    <row r="1" spans="1:85" ht="15.75" thickBot="1" x14ac:dyDescent="0.3">
      <c r="A1" s="19"/>
      <c r="B1" s="20" t="str">
        <f>Table_Global_Sector_MOM[[#Headers],[EXI]]</f>
        <v>EXI</v>
      </c>
      <c r="C1" s="20" t="str">
        <f>Table_Global_Sector_MOM[[#Headers],[GLD]]</f>
        <v>GLD</v>
      </c>
      <c r="D1" s="20" t="str">
        <f>Table_Global_Sector_MOM[[#Headers],[IEF]]</f>
        <v>IEF</v>
      </c>
      <c r="E1" s="20" t="str">
        <f>Table_Global_Sector_MOM[[#Headers],[IXC]]</f>
        <v>IXC</v>
      </c>
      <c r="F1" s="20" t="str">
        <f>Table_Global_Sector_MOM[[#Headers],[IXG]]</f>
        <v>IXG</v>
      </c>
      <c r="G1" s="20" t="str">
        <f>Table_Global_Sector_MOM[[#Headers],[IXJ]]</f>
        <v>IXJ</v>
      </c>
      <c r="H1" s="20" t="str">
        <f>Table_Global_Sector_MOM[[#Headers],[IXN]]</f>
        <v>IXN</v>
      </c>
      <c r="I1" s="20" t="str">
        <f>Table_Global_Sector_MOM[[#Headers],[IXP]]</f>
        <v>IXP</v>
      </c>
      <c r="J1" s="20" t="str">
        <f>Table_Global_Sector_MOM[[#Headers],[JXI]]</f>
        <v>JXI</v>
      </c>
      <c r="K1" s="20" t="str">
        <f>Table_Global_Sector_MOM[[#Headers],[KXI]]</f>
        <v>KXI</v>
      </c>
      <c r="L1" s="20" t="str">
        <f>Table_Global_Sector_MOM[[#Headers],[LTPZ]]</f>
        <v>LTPZ</v>
      </c>
      <c r="M1" s="20" t="str">
        <f>Table_Global_Sector_MOM[[#Headers],[MXI]]</f>
        <v>MXI</v>
      </c>
      <c r="N1" s="20" t="str">
        <f>Table_Global_Sector_MOM[[#Headers],[PDBC]]</f>
        <v>PDBC</v>
      </c>
      <c r="O1" s="20" t="str">
        <f>Table_Global_Sector_MOM[[#Headers],[RXI]]</f>
        <v>RXI</v>
      </c>
      <c r="P1" s="20" t="str">
        <f>Table_Global_Sector_MOM[[#Headers],[TIP]]</f>
        <v>TIP</v>
      </c>
      <c r="Q1" s="20" t="str">
        <f>Table_Global_Sector_MOM[[#Headers],[TLT]]</f>
        <v>TLT</v>
      </c>
      <c r="R1" s="20" t="str">
        <f>Table_Global_Sector_MOM[[#Headers],[USRT]]</f>
        <v>USRT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spans="1:85" ht="19.5" thickBot="1" x14ac:dyDescent="0.35">
      <c r="A2" s="21" t="s">
        <v>17</v>
      </c>
      <c r="B2" s="22">
        <f t="shared" ref="B2:R2" si="0">IF(B3 &gt; 0, B3, 0%)</f>
        <v>5.259729629377112E-2</v>
      </c>
      <c r="C2" s="22">
        <f t="shared" si="0"/>
        <v>0.10182924789148232</v>
      </c>
      <c r="D2" s="22">
        <f t="shared" si="0"/>
        <v>1.317011611341996E-2</v>
      </c>
      <c r="E2" s="22">
        <f t="shared" si="0"/>
        <v>0</v>
      </c>
      <c r="F2" s="22">
        <f t="shared" si="0"/>
        <v>0</v>
      </c>
      <c r="G2" s="22">
        <f t="shared" si="0"/>
        <v>3.8356518245088123E-2</v>
      </c>
      <c r="H2" s="22">
        <f t="shared" si="0"/>
        <v>8.3880077633306446E-2</v>
      </c>
      <c r="I2" s="22">
        <f t="shared" si="0"/>
        <v>6.948667739325147E-2</v>
      </c>
      <c r="J2" s="22">
        <f t="shared" si="0"/>
        <v>2.8960584322968906E-2</v>
      </c>
      <c r="K2" s="22">
        <f t="shared" si="0"/>
        <v>6.1315477259511586E-2</v>
      </c>
      <c r="L2" s="22">
        <f t="shared" si="0"/>
        <v>0</v>
      </c>
      <c r="M2" s="22">
        <f t="shared" si="0"/>
        <v>7.469047045994515E-3</v>
      </c>
      <c r="N2" s="22">
        <f t="shared" si="0"/>
        <v>0</v>
      </c>
      <c r="O2" s="22">
        <f t="shared" si="0"/>
        <v>4.6126742880984305E-2</v>
      </c>
      <c r="P2" s="22">
        <f t="shared" si="0"/>
        <v>0</v>
      </c>
      <c r="Q2" s="22">
        <f t="shared" si="0"/>
        <v>0</v>
      </c>
      <c r="R2" s="22">
        <f t="shared" si="0"/>
        <v>0</v>
      </c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</row>
    <row r="3" spans="1:85" ht="15.75" x14ac:dyDescent="0.25">
      <c r="A3" s="10" t="s">
        <v>15</v>
      </c>
      <c r="B3" s="18">
        <f t="shared" ref="B3:R3" si="1">AVERAGE(B4:B8)</f>
        <v>5.259729629377112E-2</v>
      </c>
      <c r="C3" s="18">
        <f t="shared" si="1"/>
        <v>0.10182924789148232</v>
      </c>
      <c r="D3" s="18">
        <f t="shared" si="1"/>
        <v>1.317011611341996E-2</v>
      </c>
      <c r="E3" s="18">
        <f t="shared" si="1"/>
        <v>-4.1293784914682719E-2</v>
      </c>
      <c r="F3" s="18">
        <f t="shared" si="1"/>
        <v>-2.4567917337827084E-2</v>
      </c>
      <c r="G3" s="18">
        <f t="shared" si="1"/>
        <v>3.8356518245088123E-2</v>
      </c>
      <c r="H3" s="18">
        <f t="shared" si="1"/>
        <v>8.3880077633306446E-2</v>
      </c>
      <c r="I3" s="18">
        <f t="shared" si="1"/>
        <v>6.948667739325147E-2</v>
      </c>
      <c r="J3" s="18">
        <f t="shared" si="1"/>
        <v>2.8960584322968906E-2</v>
      </c>
      <c r="K3" s="18">
        <f t="shared" si="1"/>
        <v>6.1315477259511586E-2</v>
      </c>
      <c r="L3" s="18">
        <f t="shared" si="1"/>
        <v>-1.9415265485243617E-2</v>
      </c>
      <c r="M3" s="18">
        <f t="shared" si="1"/>
        <v>7.469047045994515E-3</v>
      </c>
      <c r="N3" s="18">
        <f t="shared" si="1"/>
        <v>-0.10238401695970197</v>
      </c>
      <c r="O3" s="18">
        <f t="shared" si="1"/>
        <v>4.6126742880984305E-2</v>
      </c>
      <c r="P3" s="18">
        <f t="shared" si="1"/>
        <v>-6.2630816144322306E-4</v>
      </c>
      <c r="Q3" s="18">
        <f t="shared" si="1"/>
        <v>-1.66060061610936E-2</v>
      </c>
      <c r="R3" s="18">
        <f t="shared" si="1"/>
        <v>-4.458882204927226E-2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</row>
    <row r="4" spans="1:85" ht="15.75" x14ac:dyDescent="0.25">
      <c r="A4" s="10" t="s">
        <v>10</v>
      </c>
      <c r="B4" s="18">
        <f>((1+Global_Sector_MOM!B14)*(1+Global_Sector_MOM!B13)*(1+Global_Sector_MOM!B12)*(1+Global_Sector_MOM!B11)*(1+Global_Sector_MOM!B10)*(1+Global_Sector_MOM!B9)*(1+Global_Sector_MOM!B8)*(1+Global_Sector_MOM!B7)*(1+Global_Sector_MOM!B6)*(1+Global_Sector_MOM!B5)*(1+Global_Sector_MOM!B4)*(1+Global_Sector_MOM!B3))-1</f>
        <v>8.0872885646402048E-2</v>
      </c>
      <c r="C4" s="18">
        <f>((1+Global_Sector_MOM!C14)*(1+Global_Sector_MOM!C13)*(1+Global_Sector_MOM!C12)*(1+Global_Sector_MOM!C11)*(1+Global_Sector_MOM!C10)*(1+Global_Sector_MOM!C9)*(1+Global_Sector_MOM!C8)*(1+Global_Sector_MOM!C7)*(1+Global_Sector_MOM!C6)*(1+Global_Sector_MOM!C5)*(1+Global_Sector_MOM!C4)*(1+Global_Sector_MOM!C3))-1</f>
        <v>9.1562453107578712E-2</v>
      </c>
      <c r="D4" s="18">
        <f>((1+Global_Sector_MOM!D14)*(1+Global_Sector_MOM!D13)*(1+Global_Sector_MOM!D12)*(1+Global_Sector_MOM!D11)*(1+Global_Sector_MOM!D10)*(1+Global_Sector_MOM!D9)*(1+Global_Sector_MOM!D8)*(1+Global_Sector_MOM!D7)*(1+Global_Sector_MOM!D6)*(1+Global_Sector_MOM!D5)*(1+Global_Sector_MOM!D4)*(1+Global_Sector_MOM!D3))-1</f>
        <v>-1.4967244985505945E-2</v>
      </c>
      <c r="E4" s="18">
        <f>((1+Global_Sector_MOM!E14)*(1+Global_Sector_MOM!E13)*(1+Global_Sector_MOM!E12)*(1+Global_Sector_MOM!E11)*(1+Global_Sector_MOM!E10)*(1+Global_Sector_MOM!E9)*(1+Global_Sector_MOM!E8)*(1+Global_Sector_MOM!E7)*(1+Global_Sector_MOM!E6)*(1+Global_Sector_MOM!E5)*(1+Global_Sector_MOM!E4)*(1+Global_Sector_MOM!E3))-1</f>
        <v>-4.6260649105168139E-2</v>
      </c>
      <c r="F4" s="18">
        <f>((1+Global_Sector_MOM!F14)*(1+Global_Sector_MOM!F13)*(1+Global_Sector_MOM!F12)*(1+Global_Sector_MOM!F11)*(1+Global_Sector_MOM!F10)*(1+Global_Sector_MOM!F9)*(1+Global_Sector_MOM!F8)*(1+Global_Sector_MOM!F7)*(1+Global_Sector_MOM!F6)*(1+Global_Sector_MOM!F5)*(1+Global_Sector_MOM!F4)*(1+Global_Sector_MOM!F3))-1</f>
        <v>-3.6060538252775332E-2</v>
      </c>
      <c r="G4" s="18">
        <f>((1+Global_Sector_MOM!G14)*(1+Global_Sector_MOM!G13)*(1+Global_Sector_MOM!G12)*(1+Global_Sector_MOM!G11)*(1+Global_Sector_MOM!G10)*(1+Global_Sector_MOM!G9)*(1+Global_Sector_MOM!G8)*(1+Global_Sector_MOM!G7)*(1+Global_Sector_MOM!G6)*(1+Global_Sector_MOM!G5)*(1+Global_Sector_MOM!G4)*(1+Global_Sector_MOM!G3))-1</f>
        <v>2.9865124712675328E-2</v>
      </c>
      <c r="H4" s="18">
        <f>((1+Global_Sector_MOM!H14)*(1+Global_Sector_MOM!H13)*(1+Global_Sector_MOM!H12)*(1+Global_Sector_MOM!H11)*(1+Global_Sector_MOM!H10)*(1+Global_Sector_MOM!H9)*(1+Global_Sector_MOM!H8)*(1+Global_Sector_MOM!H7)*(1+Global_Sector_MOM!H6)*(1+Global_Sector_MOM!H5)*(1+Global_Sector_MOM!H4)*(1+Global_Sector_MOM!H3))-1</f>
        <v>7.1488478879086381E-2</v>
      </c>
      <c r="I4" s="18">
        <f>((1+Global_Sector_MOM!I14)*(1+Global_Sector_MOM!I13)*(1+Global_Sector_MOM!I12)*(1+Global_Sector_MOM!I11)*(1+Global_Sector_MOM!I10)*(1+Global_Sector_MOM!I9)*(1+Global_Sector_MOM!I8)*(1+Global_Sector_MOM!I7)*(1+Global_Sector_MOM!I6)*(1+Global_Sector_MOM!I5)*(1+Global_Sector_MOM!I4)*(1+Global_Sector_MOM!I3))-1</f>
        <v>-6.8184782288935875E-3</v>
      </c>
      <c r="J4" s="18">
        <f>((1+Global_Sector_MOM!J14)*(1+Global_Sector_MOM!J13)*(1+Global_Sector_MOM!J12)*(1+Global_Sector_MOM!J11)*(1+Global_Sector_MOM!J10)*(1+Global_Sector_MOM!J9)*(1+Global_Sector_MOM!J8)*(1+Global_Sector_MOM!J7)*(1+Global_Sector_MOM!J6)*(1+Global_Sector_MOM!J5)*(1+Global_Sector_MOM!J4)*(1+Global_Sector_MOM!J3))-1</f>
        <v>-1.039347457319284E-2</v>
      </c>
      <c r="K4" s="18">
        <f>((1+Global_Sector_MOM!K14)*(1+Global_Sector_MOM!K13)*(1+Global_Sector_MOM!K12)*(1+Global_Sector_MOM!K11)*(1+Global_Sector_MOM!K10)*(1+Global_Sector_MOM!K9)*(1+Global_Sector_MOM!K8)*(1+Global_Sector_MOM!K7)*(1+Global_Sector_MOM!K6)*(1+Global_Sector_MOM!K5)*(1+Global_Sector_MOM!K4)*(1+Global_Sector_MOM!K3))-1</f>
        <v>7.4465592288274207E-2</v>
      </c>
      <c r="L4" s="18">
        <f>((1+Global_Sector_MOM!L14)*(1+Global_Sector_MOM!L13)*(1+Global_Sector_MOM!L12)*(1+Global_Sector_MOM!L11)*(1+Global_Sector_MOM!L10)*(1+Global_Sector_MOM!L9)*(1+Global_Sector_MOM!L8)*(1+Global_Sector_MOM!L7)*(1+Global_Sector_MOM!L6)*(1+Global_Sector_MOM!L5)*(1+Global_Sector_MOM!L4)*(1+Global_Sector_MOM!L3))-1</f>
        <v>-8.8292445969665012E-2</v>
      </c>
      <c r="M4" s="18">
        <f>((1+Global_Sector_MOM!M14)*(1+Global_Sector_MOM!M13)*(1+Global_Sector_MOM!M12)*(1+Global_Sector_MOM!M11)*(1+Global_Sector_MOM!M10)*(1+Global_Sector_MOM!M9)*(1+Global_Sector_MOM!M8)*(1+Global_Sector_MOM!M7)*(1+Global_Sector_MOM!M6)*(1+Global_Sector_MOM!M5)*(1+Global_Sector_MOM!M4)*(1+Global_Sector_MOM!M3))-1</f>
        <v>-4.9973363753344269E-2</v>
      </c>
      <c r="N4" s="18">
        <f>((1+Global_Sector_MOM!N14)*(1+Global_Sector_MOM!N13)*(1+Global_Sector_MOM!N12)*(1+Global_Sector_MOM!N11)*(1+Global_Sector_MOM!N10)*(1+Global_Sector_MOM!N9)*(1+Global_Sector_MOM!N8)*(1+Global_Sector_MOM!N7)*(1+Global_Sector_MOM!N6)*(1+Global_Sector_MOM!N5)*(1+Global_Sector_MOM!N4)*(1+Global_Sector_MOM!N3))-1</f>
        <v>-0.20992492535115581</v>
      </c>
      <c r="O4" s="18">
        <f>((1+Global_Sector_MOM!O14)*(1+Global_Sector_MOM!O13)*(1+Global_Sector_MOM!O12)*(1+Global_Sector_MOM!O11)*(1+Global_Sector_MOM!O10)*(1+Global_Sector_MOM!O9)*(1+Global_Sector_MOM!O8)*(1+Global_Sector_MOM!O7)*(1+Global_Sector_MOM!O6)*(1+Global_Sector_MOM!O5)*(1+Global_Sector_MOM!O4)*(1+Global_Sector_MOM!O3))-1</f>
        <v>5.0268512695140988E-2</v>
      </c>
      <c r="P4" s="18">
        <f>((1+Global_Sector_MOM!P14)*(1+Global_Sector_MOM!P13)*(1+Global_Sector_MOM!P12)*(1+Global_Sector_MOM!P11)*(1+Global_Sector_MOM!P10)*(1+Global_Sector_MOM!P9)*(1+Global_Sector_MOM!P8)*(1+Global_Sector_MOM!P7)*(1+Global_Sector_MOM!P6)*(1+Global_Sector_MOM!P5)*(1+Global_Sector_MOM!P4)*(1+Global_Sector_MOM!P3))-1</f>
        <v>-3.3059396343492864E-2</v>
      </c>
      <c r="Q4" s="18">
        <f>((1+Global_Sector_MOM!Q14)*(1+Global_Sector_MOM!Q13)*(1+Global_Sector_MOM!Q12)*(1+Global_Sector_MOM!Q11)*(1+Global_Sector_MOM!Q10)*(1+Global_Sector_MOM!Q9)*(1+Global_Sector_MOM!Q8)*(1+Global_Sector_MOM!Q7)*(1+Global_Sector_MOM!Q6)*(1+Global_Sector_MOM!Q5)*(1+Global_Sector_MOM!Q4)*(1+Global_Sector_MOM!Q3))-1</f>
        <v>-8.0586909301875287E-2</v>
      </c>
      <c r="R4" s="18">
        <f>((1+Global_Sector_MOM!R14)*(1+Global_Sector_MOM!R13)*(1+Global_Sector_MOM!R12)*(1+Global_Sector_MOM!R11)*(1+Global_Sector_MOM!R10)*(1+Global_Sector_MOM!R9)*(1+Global_Sector_MOM!R8)*(1+Global_Sector_MOM!R7)*(1+Global_Sector_MOM!R6)*(1+Global_Sector_MOM!R5)*(1+Global_Sector_MOM!R4)*(1+Global_Sector_MOM!R3))-1</f>
        <v>-0.10263020287716984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</row>
    <row r="5" spans="1:85" ht="15.75" x14ac:dyDescent="0.25">
      <c r="A5" s="10" t="s">
        <v>11</v>
      </c>
      <c r="B5" s="18">
        <f>((1+Global_Sector_MOM!B14)*(1+Global_Sector_MOM!B13)*(1+Global_Sector_MOM!B12)*(1+Global_Sector_MOM!B11)*(1+Global_Sector_MOM!B10)*(1+Global_Sector_MOM!B9)*(1+Global_Sector_MOM!B8)*(1+Global_Sector_MOM!B7)*(1+Global_Sector_MOM!B6))-1</f>
        <v>0.13923758547475962</v>
      </c>
      <c r="C5" s="18">
        <f>((1+Global_Sector_MOM!C14)*(1+Global_Sector_MOM!C13)*(1+Global_Sector_MOM!C12)*(1+Global_Sector_MOM!C11)*(1+Global_Sector_MOM!C10)*(1+Global_Sector_MOM!C9)*(1+Global_Sector_MOM!C8)*(1+Global_Sector_MOM!C7)*(1+Global_Sector_MOM!C6))-1</f>
        <v>0.17291387296644278</v>
      </c>
      <c r="D5" s="18">
        <f>((1+Global_Sector_MOM!D14)*(1+Global_Sector_MOM!D13)*(1+Global_Sector_MOM!D12)*(1+Global_Sector_MOM!D11)*(1+Global_Sector_MOM!D10)*(1+Global_Sector_MOM!D9)*(1+Global_Sector_MOM!D8)*(1+Global_Sector_MOM!D7)*(1+Global_Sector_MOM!D6))-1</f>
        <v>3.7143892705830961E-3</v>
      </c>
      <c r="E5" s="18">
        <f>((1+Global_Sector_MOM!E14)*(1+Global_Sector_MOM!E13)*(1+Global_Sector_MOM!E12)*(1+Global_Sector_MOM!E11)*(1+Global_Sector_MOM!E10)*(1+Global_Sector_MOM!E9)*(1+Global_Sector_MOM!E8)*(1+Global_Sector_MOM!E7)*(1+Global_Sector_MOM!E6))-1</f>
        <v>2.6310397302351518E-2</v>
      </c>
      <c r="F5" s="18">
        <f>((1+Global_Sector_MOM!F14)*(1+Global_Sector_MOM!F13)*(1+Global_Sector_MOM!F12)*(1+Global_Sector_MOM!F11)*(1+Global_Sector_MOM!F10)*(1+Global_Sector_MOM!F9)*(1+Global_Sector_MOM!F8)*(1+Global_Sector_MOM!F7)*(1+Global_Sector_MOM!F6))-1</f>
        <v>5.5451085932139765E-2</v>
      </c>
      <c r="G5" s="18">
        <f>((1+Global_Sector_MOM!G14)*(1+Global_Sector_MOM!G13)*(1+Global_Sector_MOM!G12)*(1+Global_Sector_MOM!G11)*(1+Global_Sector_MOM!G10)*(1+Global_Sector_MOM!G9)*(1+Global_Sector_MOM!G8)*(1+Global_Sector_MOM!G7)*(1+Global_Sector_MOM!G6))-1</f>
        <v>0.10224579450795956</v>
      </c>
      <c r="H5" s="18">
        <f>((1+Global_Sector_MOM!H14)*(1+Global_Sector_MOM!H13)*(1+Global_Sector_MOM!H12)*(1+Global_Sector_MOM!H11)*(1+Global_Sector_MOM!H10)*(1+Global_Sector_MOM!H9)*(1+Global_Sector_MOM!H8)*(1+Global_Sector_MOM!H7)*(1+Global_Sector_MOM!H6))-1</f>
        <v>0.12997715924068198</v>
      </c>
      <c r="I5" s="18">
        <f>((1+Global_Sector_MOM!I14)*(1+Global_Sector_MOM!I13)*(1+Global_Sector_MOM!I12)*(1+Global_Sector_MOM!I11)*(1+Global_Sector_MOM!I10)*(1+Global_Sector_MOM!I9)*(1+Global_Sector_MOM!I8)*(1+Global_Sector_MOM!I7)*(1+Global_Sector_MOM!I6))-1</f>
        <v>0.10104891212299871</v>
      </c>
      <c r="J5" s="18">
        <f>((1+Global_Sector_MOM!J14)*(1+Global_Sector_MOM!J13)*(1+Global_Sector_MOM!J12)*(1+Global_Sector_MOM!J11)*(1+Global_Sector_MOM!J10)*(1+Global_Sector_MOM!J9)*(1+Global_Sector_MOM!J8)*(1+Global_Sector_MOM!J7)*(1+Global_Sector_MOM!J6))-1</f>
        <v>2.649442802399804E-2</v>
      </c>
      <c r="K5" s="18">
        <f>((1+Global_Sector_MOM!K14)*(1+Global_Sector_MOM!K13)*(1+Global_Sector_MOM!K12)*(1+Global_Sector_MOM!K11)*(1+Global_Sector_MOM!K10)*(1+Global_Sector_MOM!K9)*(1+Global_Sector_MOM!K8)*(1+Global_Sector_MOM!K7)*(1+Global_Sector_MOM!K6))-1</f>
        <v>0.108806938082181</v>
      </c>
      <c r="L5" s="18">
        <f>((1+Global_Sector_MOM!L14)*(1+Global_Sector_MOM!L13)*(1+Global_Sector_MOM!L12)*(1+Global_Sector_MOM!L11)*(1+Global_Sector_MOM!L10)*(1+Global_Sector_MOM!L9)*(1+Global_Sector_MOM!L8)*(1+Global_Sector_MOM!L7)*(1+Global_Sector_MOM!L6))-1</f>
        <v>-6.1110447202227469E-2</v>
      </c>
      <c r="M5" s="18">
        <f>((1+Global_Sector_MOM!M14)*(1+Global_Sector_MOM!M13)*(1+Global_Sector_MOM!M12)*(1+Global_Sector_MOM!M11)*(1+Global_Sector_MOM!M10)*(1+Global_Sector_MOM!M9)*(1+Global_Sector_MOM!M8)*(1+Global_Sector_MOM!M7)*(1+Global_Sector_MOM!M6))-1</f>
        <v>0.12453139636438149</v>
      </c>
      <c r="N5" s="18">
        <f>((1+Global_Sector_MOM!N14)*(1+Global_Sector_MOM!N13)*(1+Global_Sector_MOM!N12)*(1+Global_Sector_MOM!N11)*(1+Global_Sector_MOM!N10)*(1+Global_Sector_MOM!N9)*(1+Global_Sector_MOM!N8)*(1+Global_Sector_MOM!N7)*(1+Global_Sector_MOM!N6))-1</f>
        <v>-0.11258700371320951</v>
      </c>
      <c r="O5" s="18">
        <f>((1+Global_Sector_MOM!O14)*(1+Global_Sector_MOM!O13)*(1+Global_Sector_MOM!O12)*(1+Global_Sector_MOM!O11)*(1+Global_Sector_MOM!O10)*(1+Global_Sector_MOM!O9)*(1+Global_Sector_MOM!O8)*(1+Global_Sector_MOM!O7)*(1+Global_Sector_MOM!O6))-1</f>
        <v>7.4003836376729915E-2</v>
      </c>
      <c r="P5" s="18">
        <f>((1+Global_Sector_MOM!P14)*(1+Global_Sector_MOM!P13)*(1+Global_Sector_MOM!P12)*(1+Global_Sector_MOM!P11)*(1+Global_Sector_MOM!P10)*(1+Global_Sector_MOM!P9)*(1+Global_Sector_MOM!P8)*(1+Global_Sector_MOM!P7)*(1+Global_Sector_MOM!P6))-1</f>
        <v>-1.660888237099456E-2</v>
      </c>
      <c r="Q5" s="18">
        <f>((1+Global_Sector_MOM!Q14)*(1+Global_Sector_MOM!Q13)*(1+Global_Sector_MOM!Q12)*(1+Global_Sector_MOM!Q11)*(1+Global_Sector_MOM!Q10)*(1+Global_Sector_MOM!Q9)*(1+Global_Sector_MOM!Q8)*(1+Global_Sector_MOM!Q7)*(1+Global_Sector_MOM!Q6))-1</f>
        <v>-4.7448862207953302E-2</v>
      </c>
      <c r="R5" s="18">
        <f>((1+Global_Sector_MOM!R14)*(1+Global_Sector_MOM!R13)*(1+Global_Sector_MOM!R12)*(1+Global_Sector_MOM!R11)*(1+Global_Sector_MOM!R10)*(1+Global_Sector_MOM!R9)*(1+Global_Sector_MOM!R8)*(1+Global_Sector_MOM!R7)*(1+Global_Sector_MOM!R6))-1</f>
        <v>-5.3943610161577338E-2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</row>
    <row r="6" spans="1:85" ht="15.75" x14ac:dyDescent="0.25">
      <c r="A6" s="10" t="s">
        <v>12</v>
      </c>
      <c r="B6" s="18">
        <f>((1+Global_Sector_MOM!B14)*(1+Global_Sector_MOM!B13)*(1+Global_Sector_MOM!B12)*(1+Global_Sector_MOM!B11)*(1+Global_Sector_MOM!B10)*(1+Global_Sector_MOM!B9))-1</f>
        <v>3.5849158918358714E-2</v>
      </c>
      <c r="C6" s="18">
        <f>((1+Global_Sector_MOM!C14)*(1+Global_Sector_MOM!C13)*(1+Global_Sector_MOM!C12)*(1+Global_Sector_MOM!C11)*(1+Global_Sector_MOM!C10)*(1+Global_Sector_MOM!C9))-1</f>
        <v>0.13348704766638186</v>
      </c>
      <c r="D6" s="18">
        <f>((1+Global_Sector_MOM!D14)*(1+Global_Sector_MOM!D13)*(1+Global_Sector_MOM!D12)*(1+Global_Sector_MOM!D11)*(1+Global_Sector_MOM!D10)*(1+Global_Sector_MOM!D9))-1</f>
        <v>3.1873827365021423E-2</v>
      </c>
      <c r="E6" s="18">
        <f>((1+Global_Sector_MOM!E14)*(1+Global_Sector_MOM!E13)*(1+Global_Sector_MOM!E12)*(1+Global_Sector_MOM!E11)*(1+Global_Sector_MOM!E10)*(1+Global_Sector_MOM!E9))-1</f>
        <v>-8.5023951150181021E-2</v>
      </c>
      <c r="F6" s="18">
        <f>((1+Global_Sector_MOM!F14)*(1+Global_Sector_MOM!F13)*(1+Global_Sector_MOM!F12)*(1+Global_Sector_MOM!F11)*(1+Global_Sector_MOM!F10)*(1+Global_Sector_MOM!F9))-1</f>
        <v>-4.2676987286574097E-2</v>
      </c>
      <c r="G6" s="18">
        <f>((1+Global_Sector_MOM!G14)*(1+Global_Sector_MOM!G13)*(1+Global_Sector_MOM!G12)*(1+Global_Sector_MOM!G11)*(1+Global_Sector_MOM!G10)*(1+Global_Sector_MOM!G9))-1</f>
        <v>-3.0326843497914258E-3</v>
      </c>
      <c r="H6" s="18">
        <f>((1+Global_Sector_MOM!H14)*(1+Global_Sector_MOM!H13)*(1+Global_Sector_MOM!H12)*(1+Global_Sector_MOM!H11)*(1+Global_Sector_MOM!H10)*(1+Global_Sector_MOM!H9))-1</f>
        <v>0.11041547529576445</v>
      </c>
      <c r="I6" s="18">
        <f>((1+Global_Sector_MOM!I14)*(1+Global_Sector_MOM!I13)*(1+Global_Sector_MOM!I12)*(1+Global_Sector_MOM!I11)*(1+Global_Sector_MOM!I10)*(1+Global_Sector_MOM!I9))-1</f>
        <v>0.15246728502683315</v>
      </c>
      <c r="J6" s="18">
        <f>((1+Global_Sector_MOM!J14)*(1+Global_Sector_MOM!J13)*(1+Global_Sector_MOM!J12)*(1+Global_Sector_MOM!J11)*(1+Global_Sector_MOM!J10)*(1+Global_Sector_MOM!J9))-1</f>
        <v>3.635172763952399E-2</v>
      </c>
      <c r="K6" s="18">
        <f>((1+Global_Sector_MOM!K14)*(1+Global_Sector_MOM!K13)*(1+Global_Sector_MOM!K12)*(1+Global_Sector_MOM!K11)*(1+Global_Sector_MOM!K10)*(1+Global_Sector_MOM!K9))-1</f>
        <v>4.8428108420270677E-2</v>
      </c>
      <c r="L6" s="18">
        <f>((1+Global_Sector_MOM!L14)*(1+Global_Sector_MOM!L13)*(1+Global_Sector_MOM!L12)*(1+Global_Sector_MOM!L11)*(1+Global_Sector_MOM!L10)*(1+Global_Sector_MOM!L9))-1</f>
        <v>2.246702030738934E-2</v>
      </c>
      <c r="M6" s="18">
        <f>((1+Global_Sector_MOM!M14)*(1+Global_Sector_MOM!M13)*(1+Global_Sector_MOM!M12)*(1+Global_Sector_MOM!M11)*(1+Global_Sector_MOM!M10)*(1+Global_Sector_MOM!M9))-1</f>
        <v>-5.5495515755372704E-3</v>
      </c>
      <c r="N6" s="18">
        <f>((1+Global_Sector_MOM!N14)*(1+Global_Sector_MOM!N13)*(1+Global_Sector_MOM!N12)*(1+Global_Sector_MOM!N11)*(1+Global_Sector_MOM!N10)*(1+Global_Sector_MOM!N9))-1</f>
        <v>-0.10485685804753941</v>
      </c>
      <c r="O6" s="18">
        <f>((1+Global_Sector_MOM!O14)*(1+Global_Sector_MOM!O13)*(1+Global_Sector_MOM!O12)*(1+Global_Sector_MOM!O11)*(1+Global_Sector_MOM!O10)*(1+Global_Sector_MOM!O9))-1</f>
        <v>6.2452966251459463E-2</v>
      </c>
      <c r="P6" s="18">
        <f>((1+Global_Sector_MOM!P14)*(1+Global_Sector_MOM!P13)*(1+Global_Sector_MOM!P12)*(1+Global_Sector_MOM!P11)*(1+Global_Sector_MOM!P10)*(1+Global_Sector_MOM!P9))-1</f>
        <v>2.0896785405072338E-2</v>
      </c>
      <c r="Q6" s="18">
        <f>((1+Global_Sector_MOM!Q14)*(1+Global_Sector_MOM!Q13)*(1+Global_Sector_MOM!Q12)*(1+Global_Sector_MOM!Q11)*(1+Global_Sector_MOM!Q10)*(1+Global_Sector_MOM!Q9))-1</f>
        <v>3.0203622893989257E-2</v>
      </c>
      <c r="R6" s="18">
        <f>((1+Global_Sector_MOM!R14)*(1+Global_Sector_MOM!R13)*(1+Global_Sector_MOM!R12)*(1+Global_Sector_MOM!R11)*(1+Global_Sector_MOM!R10)*(1+Global_Sector_MOM!R9))-1</f>
        <v>-2.8761738851889596E-2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</row>
    <row r="7" spans="1:85" ht="15.75" x14ac:dyDescent="0.25">
      <c r="A7" s="10" t="s">
        <v>13</v>
      </c>
      <c r="B7" s="18">
        <f>((1+Global_Sector_MOM!B14)*(1+Global_Sector_MOM!B13)*(1+Global_Sector_MOM!B12))-1</f>
        <v>1.7658670346137884E-2</v>
      </c>
      <c r="C7" s="18">
        <f>((1+Global_Sector_MOM!C14)*(1+Global_Sector_MOM!C13)*(1+Global_Sector_MOM!C12))-1</f>
        <v>0.10030627224491262</v>
      </c>
      <c r="D7" s="18">
        <f>((1+Global_Sector_MOM!D14)*(1+Global_Sector_MOM!D13)*(1+Global_Sector_MOM!D12))-1</f>
        <v>4.5440720696969361E-2</v>
      </c>
      <c r="E7" s="18">
        <f>((1+Global_Sector_MOM!E14)*(1+Global_Sector_MOM!E13)*(1+Global_Sector_MOM!E12))-1</f>
        <v>-3.7405187609168666E-2</v>
      </c>
      <c r="F7" s="18">
        <f>((1+Global_Sector_MOM!F14)*(1+Global_Sector_MOM!F13)*(1+Global_Sector_MOM!F12))-1</f>
        <v>-6.9224625687313135E-2</v>
      </c>
      <c r="G7" s="18">
        <f>((1+Global_Sector_MOM!G14)*(1+Global_Sector_MOM!G13)*(1+Global_Sector_MOM!G12))-1</f>
        <v>6.6873442824928464E-2</v>
      </c>
      <c r="H7" s="18">
        <f>((1+Global_Sector_MOM!H14)*(1+Global_Sector_MOM!H13)*(1+Global_Sector_MOM!H12))-1</f>
        <v>0.10363752049789388</v>
      </c>
      <c r="I7" s="18">
        <f>((1+Global_Sector_MOM!I14)*(1+Global_Sector_MOM!I13)*(1+Global_Sector_MOM!I12))-1</f>
        <v>0.10134674222935236</v>
      </c>
      <c r="J7" s="18">
        <f>((1+Global_Sector_MOM!J14)*(1+Global_Sector_MOM!J13)*(1+Global_Sector_MOM!J12))-1</f>
        <v>8.9627594986694259E-2</v>
      </c>
      <c r="K7" s="18">
        <f>((1+Global_Sector_MOM!K14)*(1+Global_Sector_MOM!K13)*(1+Global_Sector_MOM!K12))-1</f>
        <v>8.4181993437062674E-2</v>
      </c>
      <c r="L7" s="18">
        <f>((1+Global_Sector_MOM!L14)*(1+Global_Sector_MOM!L13)*(1+Global_Sector_MOM!L12))-1</f>
        <v>3.0843819887718116E-2</v>
      </c>
      <c r="M7" s="18">
        <f>((1+Global_Sector_MOM!M14)*(1+Global_Sector_MOM!M13)*(1+Global_Sector_MOM!M12))-1</f>
        <v>-9.7513778989538613E-3</v>
      </c>
      <c r="N7" s="18">
        <f>((1+Global_Sector_MOM!N14)*(1+Global_Sector_MOM!N13)*(1+Global_Sector_MOM!N12))-1</f>
        <v>-4.4975362630816695E-2</v>
      </c>
      <c r="O7" s="18">
        <f>((1+Global_Sector_MOM!O14)*(1+Global_Sector_MOM!O13)*(1+Global_Sector_MOM!O12))-1</f>
        <v>3.9111385323433501E-2</v>
      </c>
      <c r="P7" s="18">
        <f>((1+Global_Sector_MOM!P14)*(1+Global_Sector_MOM!P13)*(1+Global_Sector_MOM!P12))-1</f>
        <v>2.7382495604474144E-2</v>
      </c>
      <c r="Q7" s="18">
        <f>((1+Global_Sector_MOM!Q14)*(1+Global_Sector_MOM!Q13)*(1+Global_Sector_MOM!Q12))-1</f>
        <v>3.2901383141994422E-2</v>
      </c>
      <c r="R7" s="18">
        <f>((1+Global_Sector_MOM!R14)*(1+Global_Sector_MOM!R13)*(1+Global_Sector_MOM!R12))-1</f>
        <v>-2.7374343758025055E-2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</row>
    <row r="8" spans="1:85" ht="15.75" x14ac:dyDescent="0.25">
      <c r="A8" s="10" t="s">
        <v>14</v>
      </c>
      <c r="B8" s="18">
        <f>Global_Sector_MOM!B14</f>
        <v>-1.0631818916802649E-2</v>
      </c>
      <c r="C8" s="18">
        <f>Global_Sector_MOM!C14</f>
        <v>1.0876593472095575E-2</v>
      </c>
      <c r="D8" s="18">
        <f>Global_Sector_MOM!D14</f>
        <v>-2.1111177996813169E-4</v>
      </c>
      <c r="E8" s="18">
        <f>Global_Sector_MOM!E14</f>
        <v>-6.4089534011247284E-2</v>
      </c>
      <c r="F8" s="18">
        <f>Global_Sector_MOM!F14</f>
        <v>-3.0328521394612618E-2</v>
      </c>
      <c r="G8" s="18">
        <f>Global_Sector_MOM!G14</f>
        <v>-4.169086470331318E-3</v>
      </c>
      <c r="H8" s="18">
        <f>Global_Sector_MOM!H14</f>
        <v>3.8817542531055516E-3</v>
      </c>
      <c r="I8" s="18">
        <f>Global_Sector_MOM!I14</f>
        <v>-6.1107418403327785E-4</v>
      </c>
      <c r="J8" s="18">
        <f>Global_Sector_MOM!J14</f>
        <v>2.722645537821089E-3</v>
      </c>
      <c r="K8" s="18">
        <f>Global_Sector_MOM!K14</f>
        <v>-9.3052459302306323E-3</v>
      </c>
      <c r="L8" s="18">
        <f>Global_Sector_MOM!L14</f>
        <v>-9.8427444943305353E-4</v>
      </c>
      <c r="M8" s="18">
        <f>Global_Sector_MOM!M14</f>
        <v>-2.1911867906573512E-2</v>
      </c>
      <c r="N8" s="18">
        <f>Global_Sector_MOM!N14</f>
        <v>-3.957593505578838E-2</v>
      </c>
      <c r="O8" s="18">
        <f>Global_Sector_MOM!O14</f>
        <v>4.7970137581576644E-3</v>
      </c>
      <c r="P8" s="18">
        <f>Global_Sector_MOM!P14</f>
        <v>-1.7425431022751736E-3</v>
      </c>
      <c r="Q8" s="18">
        <f>Global_Sector_MOM!Q14</f>
        <v>-1.8099265331623093E-2</v>
      </c>
      <c r="R8" s="18">
        <f>Global_Sector_MOM!R14</f>
        <v>-1.0234214597699465E-2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</row>
    <row r="9" spans="1:85" ht="15.75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EBB2-BCCB-4C73-BC88-8DAD1D77DAE8}">
  <dimension ref="A1:R14"/>
  <sheetViews>
    <sheetView zoomScale="70" zoomScaleNormal="70" workbookViewId="0">
      <selection activeCell="H22" sqref="H22"/>
    </sheetView>
  </sheetViews>
  <sheetFormatPr defaultRowHeight="15" x14ac:dyDescent="0.25"/>
  <cols>
    <col min="1" max="1" width="11.5703125" bestFit="1" customWidth="1"/>
    <col min="2" max="7" width="15.85546875" bestFit="1" customWidth="1"/>
    <col min="8" max="18" width="15.85546875" customWidth="1"/>
    <col min="19" max="29" width="15.85546875" bestFit="1" customWidth="1"/>
    <col min="30" max="30" width="14.85546875" bestFit="1" customWidth="1"/>
    <col min="31" max="31" width="16.28515625" bestFit="1" customWidth="1"/>
    <col min="32" max="32" width="14.85546875" bestFit="1" customWidth="1"/>
    <col min="33" max="33" width="16.28515625" bestFit="1" customWidth="1"/>
    <col min="34" max="34" width="14.85546875" bestFit="1" customWidth="1"/>
    <col min="35" max="35" width="17.7109375" bestFit="1" customWidth="1"/>
    <col min="36" max="36" width="14.85546875" bestFit="1" customWidth="1"/>
    <col min="37" max="37" width="18.140625" bestFit="1" customWidth="1"/>
    <col min="38" max="38" width="14.85546875" bestFit="1" customWidth="1"/>
    <col min="39" max="39" width="16.42578125" bestFit="1" customWidth="1"/>
    <col min="40" max="40" width="14.85546875" bestFit="1" customWidth="1"/>
    <col min="41" max="41" width="15.85546875" bestFit="1" customWidth="1"/>
    <col min="42" max="42" width="14.85546875" bestFit="1" customWidth="1"/>
    <col min="43" max="43" width="15" bestFit="1" customWidth="1"/>
    <col min="44" max="44" width="14.85546875" bestFit="1" customWidth="1"/>
    <col min="45" max="45" width="15.7109375" bestFit="1" customWidth="1"/>
    <col min="46" max="46" width="14.85546875" bestFit="1" customWidth="1"/>
    <col min="47" max="47" width="15.85546875" bestFit="1" customWidth="1"/>
    <col min="48" max="48" width="14.85546875" bestFit="1" customWidth="1"/>
    <col min="49" max="49" width="16.85546875" bestFit="1" customWidth="1"/>
    <col min="50" max="50" width="14.85546875" bestFit="1" customWidth="1"/>
    <col min="51" max="51" width="16.28515625" bestFit="1" customWidth="1"/>
    <col min="52" max="52" width="14.85546875" bestFit="1" customWidth="1"/>
    <col min="53" max="53" width="16.42578125" bestFit="1" customWidth="1"/>
    <col min="54" max="54" width="14.85546875" bestFit="1" customWidth="1"/>
    <col min="55" max="55" width="16.85546875" bestFit="1" customWidth="1"/>
    <col min="56" max="56" width="14.85546875" bestFit="1" customWidth="1"/>
    <col min="57" max="57" width="16.28515625" bestFit="1" customWidth="1"/>
    <col min="58" max="58" width="14.85546875" bestFit="1" customWidth="1"/>
    <col min="59" max="59" width="16.42578125" bestFit="1" customWidth="1"/>
    <col min="60" max="60" width="14.85546875" bestFit="1" customWidth="1"/>
    <col min="61" max="61" width="15.42578125" bestFit="1" customWidth="1"/>
    <col min="62" max="62" width="14.85546875" bestFit="1" customWidth="1"/>
    <col min="63" max="63" width="16.7109375" bestFit="1" customWidth="1"/>
    <col min="64" max="64" width="14.85546875" bestFit="1" customWidth="1"/>
    <col min="65" max="65" width="16.7109375" bestFit="1" customWidth="1"/>
    <col min="66" max="66" width="14.85546875" bestFit="1" customWidth="1"/>
    <col min="67" max="67" width="16.42578125" bestFit="1" customWidth="1"/>
    <col min="68" max="68" width="14.85546875" bestFit="1" customWidth="1"/>
    <col min="69" max="69" width="16.7109375" bestFit="1" customWidth="1"/>
    <col min="70" max="70" width="14.85546875" bestFit="1" customWidth="1"/>
    <col min="71" max="71" width="16.28515625" bestFit="1" customWidth="1"/>
    <col min="72" max="72" width="14.85546875" bestFit="1" customWidth="1"/>
    <col min="73" max="73" width="16.28515625" bestFit="1" customWidth="1"/>
    <col min="74" max="74" width="14.85546875" bestFit="1" customWidth="1"/>
    <col min="75" max="75" width="22.42578125" bestFit="1" customWidth="1"/>
    <col min="76" max="76" width="20.5703125" bestFit="1" customWidth="1"/>
    <col min="77" max="77" width="16.28515625" bestFit="1" customWidth="1"/>
    <col min="78" max="78" width="14.85546875" bestFit="1" customWidth="1"/>
    <col min="79" max="79" width="16.42578125" bestFit="1" customWidth="1"/>
    <col min="80" max="80" width="14.85546875" bestFit="1" customWidth="1"/>
    <col min="81" max="81" width="18.140625" bestFit="1" customWidth="1"/>
    <col min="82" max="82" width="14.85546875" bestFit="1" customWidth="1"/>
    <col min="83" max="83" width="15.28515625" bestFit="1" customWidth="1"/>
    <col min="84" max="84" width="14.85546875" bestFit="1" customWidth="1"/>
    <col min="85" max="85" width="16.28515625" bestFit="1" customWidth="1"/>
    <col min="86" max="86" width="14.85546875" bestFit="1" customWidth="1"/>
    <col min="87" max="87" width="17.140625" bestFit="1" customWidth="1"/>
    <col min="88" max="88" width="14.85546875" bestFit="1" customWidth="1"/>
    <col min="89" max="89" width="15" bestFit="1" customWidth="1"/>
    <col min="90" max="90" width="14.85546875" bestFit="1" customWidth="1"/>
    <col min="91" max="91" width="17.140625" bestFit="1" customWidth="1"/>
    <col min="92" max="92" width="14.85546875" bestFit="1" customWidth="1"/>
    <col min="93" max="93" width="16.7109375" bestFit="1" customWidth="1"/>
    <col min="94" max="96" width="14.85546875" bestFit="1" customWidth="1"/>
    <col min="97" max="97" width="18.140625" bestFit="1" customWidth="1"/>
    <col min="98" max="98" width="14.85546875" bestFit="1" customWidth="1"/>
    <col min="99" max="99" width="16.85546875" bestFit="1" customWidth="1"/>
    <col min="100" max="100" width="14.85546875" bestFit="1" customWidth="1"/>
    <col min="101" max="101" width="18.28515625" bestFit="1" customWidth="1"/>
    <col min="102" max="102" width="14.85546875" bestFit="1" customWidth="1"/>
    <col min="103" max="103" width="17.28515625" bestFit="1" customWidth="1"/>
    <col min="104" max="104" width="14.85546875" bestFit="1" customWidth="1"/>
    <col min="105" max="105" width="15.42578125" bestFit="1" customWidth="1"/>
    <col min="106" max="106" width="14.85546875" bestFit="1" customWidth="1"/>
    <col min="107" max="107" width="15.42578125" bestFit="1" customWidth="1"/>
    <col min="108" max="108" width="14.85546875" bestFit="1" customWidth="1"/>
    <col min="109" max="109" width="15.42578125" bestFit="1" customWidth="1"/>
    <col min="110" max="110" width="14.85546875" bestFit="1" customWidth="1"/>
    <col min="111" max="111" width="15.42578125" bestFit="1" customWidth="1"/>
    <col min="112" max="112" width="8.85546875" bestFit="1" customWidth="1"/>
    <col min="113" max="113" width="15.7109375" bestFit="1" customWidth="1"/>
    <col min="114" max="114" width="14.85546875" bestFit="1" customWidth="1"/>
    <col min="115" max="115" width="15.7109375" bestFit="1" customWidth="1"/>
    <col min="116" max="116" width="14.85546875" bestFit="1" customWidth="1"/>
    <col min="117" max="117" width="15.28515625" bestFit="1" customWidth="1"/>
    <col min="118" max="118" width="14.85546875" bestFit="1" customWidth="1"/>
    <col min="119" max="119" width="15" bestFit="1" customWidth="1"/>
    <col min="120" max="120" width="14.85546875" bestFit="1" customWidth="1"/>
    <col min="121" max="121" width="15.42578125" bestFit="1" customWidth="1"/>
    <col min="122" max="122" width="14.85546875" bestFit="1" customWidth="1"/>
    <col min="123" max="123" width="15" bestFit="1" customWidth="1"/>
    <col min="124" max="124" width="14.85546875" bestFit="1" customWidth="1"/>
    <col min="125" max="125" width="17.42578125" bestFit="1" customWidth="1"/>
    <col min="126" max="126" width="14.85546875" bestFit="1" customWidth="1"/>
    <col min="127" max="127" width="16.85546875" bestFit="1" customWidth="1"/>
    <col min="128" max="128" width="14.85546875" bestFit="1" customWidth="1"/>
    <col min="129" max="129" width="16.42578125" bestFit="1" customWidth="1"/>
    <col min="130" max="130" width="14.85546875" bestFit="1" customWidth="1"/>
    <col min="131" max="131" width="18.28515625" bestFit="1" customWidth="1"/>
    <col min="132" max="132" width="14.85546875" bestFit="1" customWidth="1"/>
    <col min="133" max="133" width="17.85546875" bestFit="1" customWidth="1"/>
    <col min="134" max="134" width="14.85546875" bestFit="1" customWidth="1"/>
    <col min="135" max="135" width="16.85546875" bestFit="1" customWidth="1"/>
    <col min="136" max="136" width="14.85546875" bestFit="1" customWidth="1"/>
    <col min="137" max="137" width="17.140625" bestFit="1" customWidth="1"/>
    <col min="138" max="138" width="14.85546875" bestFit="1" customWidth="1"/>
    <col min="139" max="139" width="17.140625" bestFit="1" customWidth="1"/>
    <col min="140" max="140" width="14.85546875" bestFit="1" customWidth="1"/>
    <col min="141" max="141" width="16.42578125" bestFit="1" customWidth="1"/>
    <col min="142" max="142" width="14.85546875" bestFit="1" customWidth="1"/>
    <col min="143" max="143" width="15.28515625" bestFit="1" customWidth="1"/>
    <col min="144" max="144" width="8.7109375" bestFit="1" customWidth="1"/>
    <col min="145" max="145" width="17.42578125" bestFit="1" customWidth="1"/>
    <col min="146" max="146" width="14.85546875" bestFit="1" customWidth="1"/>
    <col min="147" max="147" width="18.7109375" bestFit="1" customWidth="1"/>
    <col min="148" max="148" width="14.85546875" bestFit="1" customWidth="1"/>
    <col min="149" max="149" width="17.42578125" bestFit="1" customWidth="1"/>
    <col min="150" max="150" width="14.85546875" bestFit="1" customWidth="1"/>
    <col min="151" max="151" width="18.140625" bestFit="1" customWidth="1"/>
    <col min="152" max="152" width="14.85546875" bestFit="1" customWidth="1"/>
    <col min="153" max="153" width="16.42578125" bestFit="1" customWidth="1"/>
    <col min="154" max="154" width="14.85546875" bestFit="1" customWidth="1"/>
    <col min="155" max="155" width="16.42578125" bestFit="1" customWidth="1"/>
    <col min="156" max="156" width="14.85546875" bestFit="1" customWidth="1"/>
    <col min="157" max="157" width="17.140625" bestFit="1" customWidth="1"/>
    <col min="158" max="158" width="14.85546875" bestFit="1" customWidth="1"/>
    <col min="159" max="159" width="17.140625" bestFit="1" customWidth="1"/>
    <col min="160" max="160" width="14.85546875" bestFit="1" customWidth="1"/>
    <col min="161" max="161" width="15.42578125" bestFit="1" customWidth="1"/>
    <col min="162" max="162" width="14.85546875" bestFit="1" customWidth="1"/>
    <col min="163" max="163" width="17.140625" bestFit="1" customWidth="1"/>
    <col min="164" max="164" width="14.85546875" bestFit="1" customWidth="1"/>
    <col min="165" max="165" width="18.140625" bestFit="1" customWidth="1"/>
    <col min="166" max="166" width="14.85546875" bestFit="1" customWidth="1"/>
    <col min="167" max="167" width="17.140625" bestFit="1" customWidth="1"/>
    <col min="168" max="168" width="14.85546875" bestFit="1" customWidth="1"/>
    <col min="169" max="169" width="18.5703125" bestFit="1" customWidth="1"/>
    <col min="170" max="170" width="14.85546875" customWidth="1"/>
    <col min="171" max="171" width="18.140625" bestFit="1" customWidth="1"/>
    <col min="172" max="172" width="14.85546875" customWidth="1"/>
    <col min="173" max="173" width="16.42578125" bestFit="1" customWidth="1"/>
    <col min="174" max="174" width="14.85546875" bestFit="1" customWidth="1"/>
    <col min="175" max="175" width="18.28515625" bestFit="1" customWidth="1"/>
    <col min="176" max="176" width="14.85546875" customWidth="1"/>
    <col min="177" max="177" width="16.42578125" bestFit="1" customWidth="1"/>
    <col min="178" max="178" width="14.85546875" customWidth="1"/>
    <col min="179" max="179" width="17.140625" bestFit="1" customWidth="1"/>
    <col min="180" max="180" width="14.85546875" customWidth="1"/>
    <col min="181" max="181" width="17.140625" bestFit="1" customWidth="1"/>
    <col min="182" max="182" width="14.85546875" customWidth="1"/>
    <col min="183" max="183" width="17.85546875" bestFit="1" customWidth="1"/>
    <col min="184" max="184" width="14.85546875" customWidth="1"/>
    <col min="185" max="185" width="17.140625" bestFit="1" customWidth="1"/>
    <col min="186" max="186" width="14.85546875" customWidth="1"/>
    <col min="187" max="187" width="18.140625" bestFit="1" customWidth="1"/>
    <col min="188" max="188" width="14.85546875" customWidth="1"/>
    <col min="189" max="189" width="15.42578125" bestFit="1" customWidth="1"/>
    <col min="190" max="190" width="14.85546875" customWidth="1"/>
    <col min="191" max="191" width="17.140625" bestFit="1" customWidth="1"/>
    <col min="192" max="192" width="14.85546875" customWidth="1"/>
    <col min="193" max="193" width="17.140625" bestFit="1" customWidth="1"/>
    <col min="194" max="194" width="14.85546875" customWidth="1"/>
    <col min="195" max="195" width="17.85546875" bestFit="1" customWidth="1"/>
    <col min="196" max="196" width="14.85546875" customWidth="1"/>
    <col min="197" max="197" width="17.140625" bestFit="1" customWidth="1"/>
    <col min="198" max="198" width="14.85546875" bestFit="1" customWidth="1"/>
    <col min="199" max="199" width="18.140625" bestFit="1" customWidth="1"/>
    <col min="200" max="200" width="14.85546875" customWidth="1"/>
    <col min="201" max="201" width="15.42578125" bestFit="1" customWidth="1"/>
    <col min="202" max="202" width="14.85546875" bestFit="1" customWidth="1"/>
    <col min="203" max="203" width="17.140625" bestFit="1" customWidth="1"/>
    <col min="204" max="204" width="14.85546875" bestFit="1" customWidth="1"/>
    <col min="205" max="205" width="18.140625" bestFit="1" customWidth="1"/>
    <col min="206" max="206" width="14.85546875" bestFit="1" customWidth="1"/>
    <col min="207" max="207" width="11.140625" bestFit="1" customWidth="1"/>
    <col min="208" max="208" width="12" bestFit="1" customWidth="1"/>
    <col min="209" max="209" width="12.42578125" bestFit="1" customWidth="1"/>
    <col min="210" max="210" width="12" bestFit="1" customWidth="1"/>
  </cols>
  <sheetData>
    <row r="1" spans="1:18" x14ac:dyDescent="0.25">
      <c r="A1" t="s">
        <v>0</v>
      </c>
      <c r="B1" t="s">
        <v>34</v>
      </c>
      <c r="C1" t="s">
        <v>23</v>
      </c>
      <c r="D1" t="s">
        <v>25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30</v>
      </c>
      <c r="M1" t="s">
        <v>42</v>
      </c>
      <c r="N1" t="s">
        <v>22</v>
      </c>
      <c r="O1" t="s">
        <v>43</v>
      </c>
      <c r="P1" t="s">
        <v>31</v>
      </c>
      <c r="Q1" t="s">
        <v>24</v>
      </c>
      <c r="R1" t="s">
        <v>44</v>
      </c>
    </row>
    <row r="2" spans="1:18" x14ac:dyDescent="0.25">
      <c r="A2" s="1">
        <v>44712</v>
      </c>
      <c r="B2">
        <v>3.5724798337273267E-3</v>
      </c>
      <c r="C2">
        <v>-3.261547766106776E-2</v>
      </c>
      <c r="D2">
        <v>6.1838196552039815E-3</v>
      </c>
      <c r="E2">
        <v>0.13951523930647292</v>
      </c>
      <c r="F2">
        <v>3.2365091194008766E-2</v>
      </c>
      <c r="G2">
        <v>1.0768099029826672E-2</v>
      </c>
      <c r="H2">
        <v>-4.4843734722704864E-3</v>
      </c>
      <c r="I2">
        <v>2.0195710866334871E-2</v>
      </c>
      <c r="J2">
        <v>3.442807904911982E-2</v>
      </c>
      <c r="K2">
        <v>-2.9759998605511817E-2</v>
      </c>
      <c r="L2">
        <v>-5.8956649708786779E-2</v>
      </c>
      <c r="M2">
        <v>1.7180628973556766E-2</v>
      </c>
      <c r="N2">
        <v>4.6112607315808241E-2</v>
      </c>
      <c r="O2">
        <v>-1.6220324842832201E-2</v>
      </c>
      <c r="P2">
        <v>-9.9224411900761256E-3</v>
      </c>
      <c r="Q2">
        <v>-2.253309314411911E-2</v>
      </c>
      <c r="R2">
        <v>-6.2075627271836686E-2</v>
      </c>
    </row>
    <row r="3" spans="1:18" x14ac:dyDescent="0.25">
      <c r="A3" s="1">
        <v>44742</v>
      </c>
      <c r="B3">
        <v>-8.9678373468553119E-2</v>
      </c>
      <c r="C3">
        <v>-1.5659651077124748E-2</v>
      </c>
      <c r="D3">
        <v>-8.6343620455856529E-3</v>
      </c>
      <c r="E3">
        <v>-0.14676637254040259</v>
      </c>
      <c r="F3">
        <v>-0.10025345641903216</v>
      </c>
      <c r="G3">
        <v>-3.3135947286722867E-2</v>
      </c>
      <c r="H3">
        <v>-0.10187510320112003</v>
      </c>
      <c r="I3">
        <v>-7.4365461537588717E-2</v>
      </c>
      <c r="J3">
        <v>-6.5776239004211701E-2</v>
      </c>
      <c r="K3">
        <v>-3.6801906526949257E-2</v>
      </c>
      <c r="L3">
        <v>-6.6991094436030019E-2</v>
      </c>
      <c r="M3">
        <v>-0.15196685774638352</v>
      </c>
      <c r="N3">
        <v>-7.5345877414444429E-2</v>
      </c>
      <c r="O3">
        <v>-8.1550696296795899E-2</v>
      </c>
      <c r="P3">
        <v>-3.1155099063574054E-2</v>
      </c>
      <c r="Q3">
        <v>-1.2745694791124973E-2</v>
      </c>
      <c r="R3">
        <v>-7.5357917434656141E-2</v>
      </c>
    </row>
    <row r="4" spans="1:18" x14ac:dyDescent="0.25">
      <c r="A4" s="1">
        <v>44773</v>
      </c>
      <c r="B4">
        <v>9.5079556187472436E-2</v>
      </c>
      <c r="C4">
        <v>-2.5881517491311956E-2</v>
      </c>
      <c r="D4">
        <v>2.9614634792086036E-2</v>
      </c>
      <c r="E4">
        <v>6.9952824362345734E-2</v>
      </c>
      <c r="F4">
        <v>4.5025901309126537E-2</v>
      </c>
      <c r="G4">
        <v>3.2043412045387187E-2</v>
      </c>
      <c r="H4">
        <v>0.12669586227244878</v>
      </c>
      <c r="I4">
        <v>1.1278153386014678E-2</v>
      </c>
      <c r="J4">
        <v>4.9076754091714303E-2</v>
      </c>
      <c r="K4">
        <v>3.8049158276118877E-2</v>
      </c>
      <c r="L4">
        <v>8.6238895992487796E-2</v>
      </c>
      <c r="M4">
        <v>3.680654099103009E-2</v>
      </c>
      <c r="N4">
        <v>-2.3281640459263508E-2</v>
      </c>
      <c r="O4">
        <v>0.11370969616136883</v>
      </c>
      <c r="P4">
        <v>4.3098527272832809E-2</v>
      </c>
      <c r="Q4">
        <v>2.4310199122036469E-2</v>
      </c>
      <c r="R4">
        <v>9.0636709193059994E-2</v>
      </c>
    </row>
    <row r="5" spans="1:18" x14ac:dyDescent="0.25">
      <c r="A5" s="1">
        <v>44804</v>
      </c>
      <c r="B5">
        <v>-4.8256792280953698E-2</v>
      </c>
      <c r="C5">
        <v>-2.9433282458306786E-2</v>
      </c>
      <c r="D5">
        <v>-3.8538378165204668E-2</v>
      </c>
      <c r="E5">
        <v>1.7931093036876122E-2</v>
      </c>
      <c r="F5">
        <v>-2.8675357248385325E-2</v>
      </c>
      <c r="G5">
        <v>-6.3649339281435013E-2</v>
      </c>
      <c r="H5">
        <v>-6.292488319477374E-2</v>
      </c>
      <c r="I5">
        <v>-3.6366604915942125E-2</v>
      </c>
      <c r="J5">
        <v>-1.6333726265572279E-2</v>
      </c>
      <c r="K5">
        <v>-3.0823125452381528E-2</v>
      </c>
      <c r="L5">
        <v>-4.1857934385274187E-2</v>
      </c>
      <c r="M5">
        <v>-3.9154317716753706E-2</v>
      </c>
      <c r="N5">
        <v>-1.4188421933873929E-2</v>
      </c>
      <c r="O5">
        <v>-4.3979240682296306E-2</v>
      </c>
      <c r="P5">
        <v>-2.7042374732937802E-2</v>
      </c>
      <c r="Q5">
        <v>-4.5530951733764757E-2</v>
      </c>
      <c r="R5">
        <v>-5.940934761320138E-2</v>
      </c>
    </row>
    <row r="6" spans="1:18" x14ac:dyDescent="0.25">
      <c r="A6" s="1">
        <v>44834</v>
      </c>
      <c r="B6">
        <v>-0.10230566050245238</v>
      </c>
      <c r="C6">
        <v>-2.8881810636775085E-2</v>
      </c>
      <c r="D6">
        <v>-4.7349609884426713E-2</v>
      </c>
      <c r="E6">
        <v>-9.674802906338964E-2</v>
      </c>
      <c r="F6">
        <v>-8.1222881872904495E-2</v>
      </c>
      <c r="G6">
        <v>-3.9025741735342678E-2</v>
      </c>
      <c r="H6">
        <v>-0.12580307357346832</v>
      </c>
      <c r="I6">
        <v>-0.12026163286778813</v>
      </c>
      <c r="J6">
        <v>-0.11720134283048711</v>
      </c>
      <c r="K6">
        <v>-7.8562810321097243E-2</v>
      </c>
      <c r="L6">
        <v>-0.14922653177501888</v>
      </c>
      <c r="M6">
        <v>-7.8239619646660929E-2</v>
      </c>
      <c r="N6">
        <v>-6.8508941822991498E-2</v>
      </c>
      <c r="O6">
        <v>-9.6960300179413927E-2</v>
      </c>
      <c r="P6">
        <v>-6.7323275638632718E-2</v>
      </c>
      <c r="Q6">
        <v>-8.2351146253356822E-2</v>
      </c>
      <c r="R6">
        <v>-0.12170774978144827</v>
      </c>
    </row>
    <row r="7" spans="1:18" x14ac:dyDescent="0.25">
      <c r="A7" s="1">
        <v>44865</v>
      </c>
      <c r="B7">
        <v>0.11396491656582697</v>
      </c>
      <c r="C7">
        <v>-1.784440770356277E-2</v>
      </c>
      <c r="D7">
        <v>-1.4540297873753771E-2</v>
      </c>
      <c r="E7">
        <v>0.20192021389366599</v>
      </c>
      <c r="F7">
        <v>9.2317757365884656E-2</v>
      </c>
      <c r="G7">
        <v>8.7193117753268101E-2</v>
      </c>
      <c r="H7">
        <v>7.6813618437454378E-2</v>
      </c>
      <c r="I7">
        <v>-9.914158977576859E-3</v>
      </c>
      <c r="J7">
        <v>3.4696860573673938E-2</v>
      </c>
      <c r="K7">
        <v>5.9701464651462421E-2</v>
      </c>
      <c r="L7">
        <v>2.15687205681796E-2</v>
      </c>
      <c r="M7">
        <v>5.6587061388835513E-2</v>
      </c>
      <c r="N7">
        <v>5.0679848859038312E-2</v>
      </c>
      <c r="O7">
        <v>2.2604383824946783E-2</v>
      </c>
      <c r="P7">
        <v>1.4204023107020625E-2</v>
      </c>
      <c r="Q7">
        <v>-5.9644112069235478E-2</v>
      </c>
      <c r="R7">
        <v>4.8000095433148315E-2</v>
      </c>
    </row>
    <row r="8" spans="1:18" x14ac:dyDescent="0.25">
      <c r="A8" s="1">
        <v>44895</v>
      </c>
      <c r="B8">
        <v>9.9810310860665163E-2</v>
      </c>
      <c r="C8">
        <v>8.4918659637304605E-2</v>
      </c>
      <c r="D8">
        <v>3.6122569592593301E-2</v>
      </c>
      <c r="E8">
        <v>3.3200114890005405E-2</v>
      </c>
      <c r="F8">
        <v>9.8551566347434116E-2</v>
      </c>
      <c r="G8">
        <v>5.8227591692833647E-2</v>
      </c>
      <c r="H8">
        <v>8.1021532551770248E-2</v>
      </c>
      <c r="I8">
        <v>9.6861072157121697E-2</v>
      </c>
      <c r="J8">
        <v>8.4362837434746707E-2</v>
      </c>
      <c r="K8">
        <v>8.3098632904615277E-2</v>
      </c>
      <c r="L8">
        <v>5.653447637927278E-2</v>
      </c>
      <c r="M8">
        <v>0.16108793439091196</v>
      </c>
      <c r="N8">
        <v>1.2941123021955159E-2</v>
      </c>
      <c r="O8">
        <v>9.4665991254721193E-2</v>
      </c>
      <c r="P8">
        <v>1.8328684467666445E-2</v>
      </c>
      <c r="Q8">
        <v>7.1510553008158784E-2</v>
      </c>
      <c r="R8">
        <v>5.8256312525319487E-2</v>
      </c>
    </row>
    <row r="9" spans="1:18" x14ac:dyDescent="0.25">
      <c r="A9" s="1">
        <v>44926</v>
      </c>
      <c r="B9">
        <v>-2.8383899352961484E-2</v>
      </c>
      <c r="C9">
        <v>2.9306485665941073E-2</v>
      </c>
      <c r="D9">
        <v>-1.4880641924506999E-2</v>
      </c>
      <c r="E9">
        <v>-3.0572869021044946E-2</v>
      </c>
      <c r="F9">
        <v>-3.0258535192176028E-2</v>
      </c>
      <c r="G9">
        <v>-1.5902022137489702E-2</v>
      </c>
      <c r="H9">
        <v>-8.3411406149922818E-2</v>
      </c>
      <c r="I9">
        <v>-4.0608849829658067E-2</v>
      </c>
      <c r="J9">
        <v>-4.0364007895621334E-3</v>
      </c>
      <c r="K9">
        <v>-2.1160759224137071E-2</v>
      </c>
      <c r="L9">
        <v>-3.1084539132912647E-2</v>
      </c>
      <c r="M9">
        <v>-3.7130994931503403E-2</v>
      </c>
      <c r="N9">
        <v>-2.6474227337739853E-2</v>
      </c>
      <c r="O9">
        <v>-7.3909711579435045E-2</v>
      </c>
      <c r="P9">
        <v>-1.3173449120262193E-2</v>
      </c>
      <c r="Q9">
        <v>-2.6200363480396671E-2</v>
      </c>
      <c r="R9">
        <v>-5.1124817596599148E-2</v>
      </c>
    </row>
    <row r="10" spans="1:18" x14ac:dyDescent="0.25">
      <c r="A10" s="1">
        <v>44957</v>
      </c>
      <c r="B10">
        <v>6.1132521991019262E-2</v>
      </c>
      <c r="C10">
        <v>5.7592574319810907E-2</v>
      </c>
      <c r="D10">
        <v>3.5811150793175317E-2</v>
      </c>
      <c r="E10">
        <v>3.1546537298962063E-2</v>
      </c>
      <c r="F10">
        <v>8.5941961019308177E-2</v>
      </c>
      <c r="G10">
        <v>-5.4194050348432832E-3</v>
      </c>
      <c r="H10">
        <v>0.10595582881974352</v>
      </c>
      <c r="I10">
        <v>0.13955200911828891</v>
      </c>
      <c r="J10">
        <v>8.3102963735193214E-4</v>
      </c>
      <c r="K10">
        <v>1.4755215914170394E-2</v>
      </c>
      <c r="L10">
        <v>4.8076905280574955E-2</v>
      </c>
      <c r="M10">
        <v>0.11009402020771009</v>
      </c>
      <c r="N10">
        <v>1.1502035139737021E-2</v>
      </c>
      <c r="O10">
        <v>0.14875374951907516</v>
      </c>
      <c r="P10">
        <v>2.0762925451631942E-2</v>
      </c>
      <c r="Q10">
        <v>7.6436236062840557E-2</v>
      </c>
      <c r="R10">
        <v>0.10697677596498134</v>
      </c>
    </row>
    <row r="11" spans="1:18" x14ac:dyDescent="0.25">
      <c r="A11" s="1">
        <v>44985</v>
      </c>
      <c r="B11">
        <v>-1.2743384437223559E-2</v>
      </c>
      <c r="C11">
        <v>-5.3675963916421821E-2</v>
      </c>
      <c r="D11">
        <v>-3.2707657726486095E-2</v>
      </c>
      <c r="E11">
        <v>-4.9477911936075314E-2</v>
      </c>
      <c r="F11">
        <v>-2.3322835251761487E-2</v>
      </c>
      <c r="G11">
        <v>-4.5249938138821721E-2</v>
      </c>
      <c r="H11">
        <v>-7.4627416885310049E-3</v>
      </c>
      <c r="I11">
        <v>-4.286174328956649E-2</v>
      </c>
      <c r="J11">
        <v>-4.5831984063155695E-2</v>
      </c>
      <c r="K11">
        <v>-2.6437578927895222E-2</v>
      </c>
      <c r="L11">
        <v>-2.3263539121060939E-2</v>
      </c>
      <c r="M11">
        <v>-6.046723313960134E-2</v>
      </c>
      <c r="N11">
        <v>-4.8160553592956568E-2</v>
      </c>
      <c r="O11">
        <v>-3.8902742090407449E-2</v>
      </c>
      <c r="P11">
        <v>-1.3529822042228745E-2</v>
      </c>
      <c r="Q11">
        <v>-4.8505468227127757E-2</v>
      </c>
      <c r="R11">
        <v>-4.9324145186743995E-2</v>
      </c>
    </row>
    <row r="12" spans="1:18" x14ac:dyDescent="0.25">
      <c r="A12" s="1">
        <v>45016</v>
      </c>
      <c r="B12">
        <v>2.3216242595602399E-2</v>
      </c>
      <c r="C12">
        <v>7.9161282471661654E-2</v>
      </c>
      <c r="D12">
        <v>3.721061252394553E-2</v>
      </c>
      <c r="E12">
        <v>-1.2294042017549245E-2</v>
      </c>
      <c r="F12">
        <v>-7.4188337957813433E-2</v>
      </c>
      <c r="G12">
        <v>3.4243203331036254E-2</v>
      </c>
      <c r="H12">
        <v>0.10465355866068116</v>
      </c>
      <c r="I12">
        <v>7.8451109646598516E-2</v>
      </c>
      <c r="J12">
        <v>5.186215784402326E-2</v>
      </c>
      <c r="K12">
        <v>5.1425707538313326E-2</v>
      </c>
      <c r="L12">
        <v>3.4552245624445588E-2</v>
      </c>
      <c r="M12">
        <v>1.9868323198780846E-2</v>
      </c>
      <c r="N12">
        <v>-7.026897771739149E-4</v>
      </c>
      <c r="O12">
        <v>4.3712718320047861E-2</v>
      </c>
      <c r="P12">
        <v>2.8643487285639813E-2</v>
      </c>
      <c r="Q12">
        <v>4.8393531788927913E-2</v>
      </c>
      <c r="R12">
        <v>-2.5246894684999299E-2</v>
      </c>
    </row>
    <row r="13" spans="1:18" x14ac:dyDescent="0.25">
      <c r="A13" s="1">
        <v>45046</v>
      </c>
      <c r="B13">
        <v>5.2562283495467543E-3</v>
      </c>
      <c r="C13">
        <v>8.6235226532476172E-3</v>
      </c>
      <c r="D13">
        <v>8.1476794834267618E-3</v>
      </c>
      <c r="E13">
        <v>4.1313597527397494E-2</v>
      </c>
      <c r="F13">
        <v>3.6806272089561887E-2</v>
      </c>
      <c r="G13">
        <v>3.5868496183746545E-2</v>
      </c>
      <c r="H13">
        <v>-4.7829678681232668E-3</v>
      </c>
      <c r="I13">
        <v>2.1854536047997364E-2</v>
      </c>
      <c r="J13">
        <v>3.3090669183374111E-2</v>
      </c>
      <c r="K13">
        <v>4.0839427971527176E-2</v>
      </c>
      <c r="L13">
        <v>-2.6028582445561943E-3</v>
      </c>
      <c r="M13">
        <v>-7.2905536476751687E-3</v>
      </c>
      <c r="N13">
        <v>-4.9226896753888916E-3</v>
      </c>
      <c r="O13">
        <v>-9.1616852506044566E-3</v>
      </c>
      <c r="P13">
        <v>5.1756673160152644E-4</v>
      </c>
      <c r="Q13">
        <v>3.3834679151223401E-3</v>
      </c>
      <c r="R13">
        <v>8.1349173610953951E-3</v>
      </c>
    </row>
    <row r="14" spans="1:18" x14ac:dyDescent="0.25">
      <c r="A14" s="1">
        <v>45077</v>
      </c>
      <c r="B14">
        <v>-1.0631818916802649E-2</v>
      </c>
      <c r="C14">
        <v>1.0876593472095575E-2</v>
      </c>
      <c r="D14">
        <v>-2.1111177996813169E-4</v>
      </c>
      <c r="E14">
        <v>-6.4089534011247284E-2</v>
      </c>
      <c r="F14">
        <v>-3.0328521394612618E-2</v>
      </c>
      <c r="G14">
        <v>-4.169086470331318E-3</v>
      </c>
      <c r="H14">
        <v>3.8817542531055516E-3</v>
      </c>
      <c r="I14">
        <v>-6.1107418403327785E-4</v>
      </c>
      <c r="J14">
        <v>2.722645537821089E-3</v>
      </c>
      <c r="K14">
        <v>-9.3052459302306323E-3</v>
      </c>
      <c r="L14">
        <v>-9.8427444943305353E-4</v>
      </c>
      <c r="M14">
        <v>-2.1911867906573512E-2</v>
      </c>
      <c r="N14">
        <v>-3.957593505578838E-2</v>
      </c>
      <c r="O14">
        <v>4.7970137581576644E-3</v>
      </c>
      <c r="P14">
        <v>-1.7425431022751736E-3</v>
      </c>
      <c r="Q14">
        <v>-1.8099265331623093E-2</v>
      </c>
      <c r="R14">
        <v>-1.0234214597699465E-2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7B54-D7FD-4D94-95BB-CE22DD98C5D6}">
  <dimension ref="A1:Q2"/>
  <sheetViews>
    <sheetView workbookViewId="0">
      <selection activeCell="H15" sqref="H15"/>
    </sheetView>
  </sheetViews>
  <sheetFormatPr defaultRowHeight="15" x14ac:dyDescent="0.25"/>
  <cols>
    <col min="1" max="6" width="12" bestFit="1" customWidth="1"/>
    <col min="7" max="17" width="12" customWidth="1"/>
    <col min="18" max="26" width="12" bestFit="1" customWidth="1"/>
    <col min="27" max="28" width="12" customWidth="1"/>
    <col min="29" max="30" width="18.85546875" bestFit="1" customWidth="1"/>
    <col min="31" max="31" width="16.7109375" bestFit="1" customWidth="1"/>
    <col min="32" max="32" width="17.85546875" bestFit="1" customWidth="1"/>
    <col min="33" max="33" width="18.85546875" bestFit="1" customWidth="1"/>
    <col min="34" max="34" width="16.7109375" bestFit="1" customWidth="1"/>
    <col min="35" max="35" width="17.85546875" bestFit="1" customWidth="1"/>
    <col min="36" max="36" width="18.85546875" bestFit="1" customWidth="1"/>
    <col min="37" max="37" width="17.85546875" bestFit="1" customWidth="1"/>
    <col min="38" max="38" width="18.85546875" bestFit="1" customWidth="1"/>
    <col min="39" max="40" width="17.85546875" bestFit="1" customWidth="1"/>
    <col min="41" max="41" width="16.7109375" bestFit="1" customWidth="1"/>
    <col min="42" max="42" width="17.85546875" bestFit="1" customWidth="1"/>
    <col min="43" max="45" width="18.85546875" bestFit="1" customWidth="1"/>
    <col min="46" max="46" width="11.140625" bestFit="1" customWidth="1"/>
    <col min="47" max="55" width="5.28515625" bestFit="1" customWidth="1"/>
    <col min="56" max="76" width="6.28515625" bestFit="1" customWidth="1"/>
    <col min="77" max="77" width="17.85546875" bestFit="1" customWidth="1"/>
    <col min="78" max="78" width="18.85546875" bestFit="1" customWidth="1"/>
    <col min="79" max="80" width="17.85546875" bestFit="1" customWidth="1"/>
    <col min="81" max="81" width="18.85546875" bestFit="1" customWidth="1"/>
    <col min="82" max="84" width="17.85546875" bestFit="1" customWidth="1"/>
    <col min="85" max="89" width="18.85546875" bestFit="1" customWidth="1"/>
    <col min="90" max="90" width="17.85546875" bestFit="1" customWidth="1"/>
    <col min="91" max="92" width="18.85546875" bestFit="1" customWidth="1"/>
    <col min="93" max="94" width="17.85546875" bestFit="1" customWidth="1"/>
    <col min="95" max="95" width="18.85546875" bestFit="1" customWidth="1"/>
    <col min="96" max="96" width="17.85546875" bestFit="1" customWidth="1"/>
    <col min="97" max="98" width="18.85546875" bestFit="1" customWidth="1"/>
    <col min="99" max="106" width="17.85546875" bestFit="1" customWidth="1"/>
    <col min="107" max="107" width="18.85546875" bestFit="1" customWidth="1"/>
    <col min="108" max="110" width="17.85546875" bestFit="1" customWidth="1"/>
    <col min="111" max="115" width="18.85546875" bestFit="1" customWidth="1"/>
    <col min="116" max="116" width="17.85546875" bestFit="1" customWidth="1"/>
    <col min="117" max="119" width="18.85546875" bestFit="1" customWidth="1"/>
    <col min="120" max="120" width="17.85546875" bestFit="1" customWidth="1"/>
    <col min="121" max="121" width="18.85546875" bestFit="1" customWidth="1"/>
    <col min="122" max="122" width="17.85546875" bestFit="1" customWidth="1"/>
    <col min="123" max="126" width="12" customWidth="1"/>
    <col min="127" max="127" width="12" bestFit="1" customWidth="1"/>
    <col min="128" max="143" width="12" customWidth="1"/>
  </cols>
  <sheetData>
    <row r="1" spans="1:17" x14ac:dyDescent="0.25">
      <c r="A1" t="s">
        <v>34</v>
      </c>
      <c r="B1" t="s">
        <v>23</v>
      </c>
      <c r="C1" t="s">
        <v>25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30</v>
      </c>
      <c r="L1" t="s">
        <v>42</v>
      </c>
      <c r="M1" t="s">
        <v>22</v>
      </c>
      <c r="N1" t="s">
        <v>43</v>
      </c>
      <c r="O1" t="s">
        <v>31</v>
      </c>
      <c r="P1" t="s">
        <v>24</v>
      </c>
      <c r="Q1" t="s">
        <v>44</v>
      </c>
    </row>
    <row r="2" spans="1:17" x14ac:dyDescent="0.25">
      <c r="A2">
        <v>106.94000244140625</v>
      </c>
      <c r="B2">
        <v>171.05999755859375</v>
      </c>
      <c r="C2">
        <v>95.706588745117188</v>
      </c>
      <c r="D2">
        <v>37.729999542236328</v>
      </c>
      <c r="E2">
        <v>70.610000610351563</v>
      </c>
      <c r="F2">
        <v>84.919998168945313</v>
      </c>
      <c r="G2">
        <v>44.479999542236328</v>
      </c>
      <c r="H2">
        <v>55.319999694824219</v>
      </c>
      <c r="I2">
        <v>60.110000610351563</v>
      </c>
      <c r="J2">
        <v>59.549999237060547</v>
      </c>
      <c r="K2">
        <v>58.493183135986328</v>
      </c>
      <c r="L2">
        <v>78.669998168945313</v>
      </c>
      <c r="M2">
        <v>14.409999847412109</v>
      </c>
      <c r="N2">
        <v>126.58000183105469</v>
      </c>
      <c r="O2">
        <v>106.14594268798828</v>
      </c>
      <c r="P2">
        <v>100.44211578369141</v>
      </c>
      <c r="Q2">
        <v>48.992958068847656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6A27-08F7-400C-B4AB-C5B8B84480E6}">
  <dimension ref="A1:R2"/>
  <sheetViews>
    <sheetView zoomScale="80" zoomScaleNormal="80" workbookViewId="0">
      <selection activeCell="J15" sqref="J15"/>
    </sheetView>
  </sheetViews>
  <sheetFormatPr defaultRowHeight="15" x14ac:dyDescent="0.25"/>
  <cols>
    <col min="1" max="1" width="10.5703125" bestFit="1" customWidth="1"/>
    <col min="2" max="7" width="13" bestFit="1" customWidth="1"/>
    <col min="8" max="11" width="13" customWidth="1"/>
    <col min="12" max="12" width="13.42578125" bestFit="1" customWidth="1"/>
    <col min="13" max="13" width="12.85546875" bestFit="1" customWidth="1"/>
    <col min="14" max="14" width="14.140625" bestFit="1" customWidth="1"/>
    <col min="15" max="15" width="13" customWidth="1"/>
    <col min="16" max="16" width="12" bestFit="1" customWidth="1"/>
    <col min="17" max="17" width="13" customWidth="1"/>
    <col min="18" max="18" width="14.140625" bestFit="1" customWidth="1"/>
    <col min="19" max="22" width="13" bestFit="1" customWidth="1"/>
    <col min="23" max="23" width="12" bestFit="1" customWidth="1"/>
    <col min="24" max="25" width="13" bestFit="1" customWidth="1"/>
    <col min="26" max="26" width="13.7109375" bestFit="1" customWidth="1"/>
    <col min="27" max="28" width="13" bestFit="1" customWidth="1"/>
    <col min="29" max="29" width="12.42578125" bestFit="1" customWidth="1"/>
    <col min="30" max="70" width="13" bestFit="1" customWidth="1"/>
    <col min="71" max="122" width="13" customWidth="1"/>
    <col min="123" max="124" width="13" bestFit="1" customWidth="1"/>
  </cols>
  <sheetData>
    <row r="1" spans="1:18" x14ac:dyDescent="0.25">
      <c r="A1" t="s">
        <v>0</v>
      </c>
      <c r="B1" t="s">
        <v>45</v>
      </c>
      <c r="C1" t="s">
        <v>27</v>
      </c>
      <c r="D1" t="s">
        <v>29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33</v>
      </c>
      <c r="M1" t="s">
        <v>53</v>
      </c>
      <c r="N1" t="s">
        <v>26</v>
      </c>
      <c r="O1" t="s">
        <v>54</v>
      </c>
      <c r="P1" t="s">
        <v>32</v>
      </c>
      <c r="Q1" t="s">
        <v>28</v>
      </c>
      <c r="R1" t="s">
        <v>55</v>
      </c>
    </row>
    <row r="2" spans="1:18" x14ac:dyDescent="0.25">
      <c r="A2" s="1">
        <v>45058</v>
      </c>
      <c r="B2">
        <v>107.13412938799176</v>
      </c>
      <c r="C2">
        <v>170.46863065447127</v>
      </c>
      <c r="D2">
        <v>96.52295848301479</v>
      </c>
      <c r="E2">
        <v>38.088093984694709</v>
      </c>
      <c r="F2">
        <v>69.690200351533434</v>
      </c>
      <c r="G2">
        <v>82.683820724487305</v>
      </c>
      <c r="H2">
        <v>48.425978547050839</v>
      </c>
      <c r="I2">
        <v>58.370583375295006</v>
      </c>
      <c r="J2">
        <v>58.97976536977859</v>
      </c>
      <c r="K2">
        <v>59.243861084892636</v>
      </c>
      <c r="L2">
        <v>59.324506827763152</v>
      </c>
      <c r="M2">
        <v>79.071193104698551</v>
      </c>
      <c r="N2">
        <v>14.574168131465004</v>
      </c>
      <c r="O2">
        <v>134.81232447851272</v>
      </c>
      <c r="P2">
        <v>107.1652710324242</v>
      </c>
      <c r="Q2">
        <v>102.37426871345157</v>
      </c>
      <c r="R2">
        <v>50.071043037232897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B6796-649E-4AF1-BBE8-41F20ACC2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Dashboard</vt:lpstr>
      <vt:lpstr>Momentum Matrix</vt:lpstr>
      <vt:lpstr>Global_Sector_MOM</vt:lpstr>
      <vt:lpstr>Global_Sector_Y</vt:lpstr>
      <vt:lpstr>Global_Sector_SMA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Whiteside</dc:creator>
  <cp:lastModifiedBy>Monica Whiteside</cp:lastModifiedBy>
  <dcterms:created xsi:type="dcterms:W3CDTF">2023-03-10T17:52:55Z</dcterms:created>
  <dcterms:modified xsi:type="dcterms:W3CDTF">2023-05-14T11:32:26Z</dcterms:modified>
</cp:coreProperties>
</file>