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ocuments\Trading Tools\"/>
    </mc:Choice>
  </mc:AlternateContent>
  <xr:revisionPtr revIDLastSave="0" documentId="13_ncr:1_{FE745E70-A5B5-4484-95FA-7853670B6446}" xr6:coauthVersionLast="47" xr6:coauthVersionMax="47" xr10:uidLastSave="{00000000-0000-0000-0000-000000000000}"/>
  <bookViews>
    <workbookView xWindow="-120" yWindow="-120" windowWidth="29040" windowHeight="15720" tabRatio="814" xr2:uid="{F68A944C-9ECB-4089-8880-A2034EB9EF0E}"/>
  </bookViews>
  <sheets>
    <sheet name="Trade Dashboard" sheetId="22" r:id="rId1"/>
    <sheet name="Momentum Matrix" sheetId="13" r:id="rId2"/>
    <sheet name="S&amp;P_Stylebox_MOM" sheetId="11" r:id="rId3"/>
    <sheet name="S&amp;P_Stylebox_Y" sheetId="10" r:id="rId4"/>
    <sheet name="S&amp;P_Stylebox_SMA" sheetId="9" r:id="rId5"/>
  </sheets>
  <definedNames>
    <definedName name="ExternalData_1" localSheetId="4" hidden="1">'S&amp;P_Stylebox_SMA'!$A$1:$U$2</definedName>
    <definedName name="ExternalData_2" localSheetId="3" hidden="1">'S&amp;P_Stylebox_Y'!$A$1:$T$2</definedName>
    <definedName name="ExternalData_3" localSheetId="2" hidden="1">'S&amp;P_Stylebox_MOM'!$A$1:$U$14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2" l="1" a="1"/>
  <c r="A5" i="22" s="1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S2" i="13" s="1"/>
  <c r="T3" i="13"/>
  <c r="U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C7" i="13"/>
  <c r="D7" i="13"/>
  <c r="E7" i="13"/>
  <c r="F7" i="13"/>
  <c r="G7" i="13"/>
  <c r="H7" i="13"/>
  <c r="I7" i="13"/>
  <c r="J7" i="13"/>
  <c r="K7" i="13"/>
  <c r="L7" i="13"/>
  <c r="M7" i="13"/>
  <c r="N7" i="13"/>
  <c r="O7" i="13"/>
  <c r="P7" i="13"/>
  <c r="Q7" i="13"/>
  <c r="R7" i="13"/>
  <c r="S7" i="13"/>
  <c r="T7" i="13"/>
  <c r="U7" i="13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T2" i="13"/>
  <c r="U2" i="13"/>
  <c r="C1" i="13"/>
  <c r="D1" i="13"/>
  <c r="E1" i="13"/>
  <c r="F1" i="13"/>
  <c r="G1" i="13"/>
  <c r="H1" i="13"/>
  <c r="I1" i="13"/>
  <c r="J1" i="13"/>
  <c r="K1" i="13"/>
  <c r="L1" i="13"/>
  <c r="M1" i="13"/>
  <c r="N1" i="13"/>
  <c r="O1" i="13"/>
  <c r="P1" i="13"/>
  <c r="Q1" i="13"/>
  <c r="R1" i="13"/>
  <c r="S1" i="13"/>
  <c r="T1" i="13"/>
  <c r="U1" i="13"/>
  <c r="B1" i="13"/>
  <c r="J31" i="22"/>
  <c r="B8" i="13"/>
  <c r="B7" i="13"/>
  <c r="B6" i="13"/>
  <c r="B5" i="13"/>
  <c r="B4" i="13"/>
  <c r="J24" i="22"/>
  <c r="J13" i="22"/>
  <c r="J11" i="22"/>
  <c r="J16" i="22"/>
  <c r="H13" i="22" a="1"/>
  <c r="H13" i="22" s="1"/>
  <c r="E13" i="22" s="1" a="1"/>
  <c r="E13" i="22" s="1"/>
  <c r="H16" i="22" a="1"/>
  <c r="H16" i="22" s="1"/>
  <c r="E16" i="22" s="1" a="1"/>
  <c r="E16" i="22" s="1"/>
  <c r="H11" i="22" a="1"/>
  <c r="H11" i="22" s="1"/>
  <c r="E11" i="22" s="1" a="1"/>
  <c r="E11" i="22" s="1"/>
  <c r="H24" i="22" a="1"/>
  <c r="H24" i="22" s="1"/>
  <c r="I24" i="22" s="1" a="1"/>
  <c r="I24" i="22" s="1"/>
  <c r="H14" i="22" a="1"/>
  <c r="H14" i="22" s="1"/>
  <c r="I14" i="22" s="1" a="1"/>
  <c r="I14" i="22" s="1"/>
  <c r="J14" i="22"/>
  <c r="H19" i="22" a="1"/>
  <c r="H19" i="22" s="1"/>
  <c r="I19" i="22" s="1" a="1"/>
  <c r="I19" i="22" s="1"/>
  <c r="J19" i="22"/>
  <c r="H17" i="22" a="1"/>
  <c r="H17" i="22" s="1"/>
  <c r="I17" i="22" s="1" a="1"/>
  <c r="I17" i="22" s="1"/>
  <c r="J17" i="22"/>
  <c r="H29" i="22" a="1"/>
  <c r="H29" i="22" s="1"/>
  <c r="I29" i="22" s="1" a="1"/>
  <c r="I29" i="22" s="1"/>
  <c r="J29" i="22"/>
  <c r="H22" i="22" a="1"/>
  <c r="H22" i="22" s="1"/>
  <c r="I22" i="22" s="1" a="1"/>
  <c r="I22" i="22" s="1"/>
  <c r="J22" i="22"/>
  <c r="H20" i="22" a="1"/>
  <c r="H20" i="22" s="1"/>
  <c r="I20" i="22" s="1" a="1"/>
  <c r="I20" i="22" s="1"/>
  <c r="J20" i="22"/>
  <c r="H15" i="22" a="1"/>
  <c r="H15" i="22" s="1"/>
  <c r="I15" i="22" s="1" a="1"/>
  <c r="I15" i="22" s="1"/>
  <c r="J15" i="22"/>
  <c r="H18" i="22" a="1"/>
  <c r="H18" i="22" s="1"/>
  <c r="I18" i="22" s="1" a="1"/>
  <c r="I18" i="22" s="1"/>
  <c r="J18" i="22"/>
  <c r="H12" i="22" a="1"/>
  <c r="H12" i="22" s="1"/>
  <c r="I12" i="22" s="1" a="1"/>
  <c r="I12" i="22" s="1"/>
  <c r="J12" i="22"/>
  <c r="H23" i="22" a="1"/>
  <c r="H23" i="22" s="1"/>
  <c r="I23" i="22" s="1" a="1"/>
  <c r="I23" i="22" s="1"/>
  <c r="J23" i="22"/>
  <c r="H21" i="22" a="1"/>
  <c r="H21" i="22" s="1"/>
  <c r="I21" i="22" s="1" a="1"/>
  <c r="I21" i="22" s="1"/>
  <c r="J21" i="22"/>
  <c r="H25" i="22" a="1"/>
  <c r="H25" i="22" s="1"/>
  <c r="I25" i="22" s="1" a="1"/>
  <c r="I25" i="22" s="1"/>
  <c r="J25" i="22"/>
  <c r="H27" i="22" a="1"/>
  <c r="H27" i="22" s="1"/>
  <c r="I27" i="22" s="1" a="1"/>
  <c r="I27" i="22" s="1"/>
  <c r="J27" i="22"/>
  <c r="E21" i="22" l="1" a="1"/>
  <c r="E21" i="22" s="1"/>
  <c r="E27" i="22" a="1"/>
  <c r="E27" i="22" s="1"/>
  <c r="E18" i="22" a="1"/>
  <c r="E18" i="22" s="1"/>
  <c r="E15" i="22" a="1"/>
  <c r="E15" i="22" s="1"/>
  <c r="E12" i="22" a="1"/>
  <c r="E12" i="22" s="1"/>
  <c r="E24" i="22" a="1"/>
  <c r="E24" i="22" s="1"/>
  <c r="C24" i="22" s="1"/>
  <c r="E14" i="22" a="1"/>
  <c r="E14" i="22" s="1"/>
  <c r="E23" i="22" a="1"/>
  <c r="E23" i="22" s="1"/>
  <c r="E25" i="22" a="1"/>
  <c r="E25" i="22" s="1"/>
  <c r="C11" i="22"/>
  <c r="C13" i="22"/>
  <c r="C16" i="22"/>
  <c r="P2" i="13"/>
  <c r="I13" i="22" a="1"/>
  <c r="I13" i="22" s="1"/>
  <c r="I11" i="22" a="1"/>
  <c r="I11" i="22" s="1"/>
  <c r="I16" i="22" a="1"/>
  <c r="I16" i="22" s="1"/>
  <c r="O2" i="13"/>
  <c r="N2" i="13"/>
  <c r="E2" i="13"/>
  <c r="D2" i="13"/>
  <c r="H2" i="13"/>
  <c r="K2" i="13"/>
  <c r="L2" i="13"/>
  <c r="M2" i="13"/>
  <c r="Q2" i="13"/>
  <c r="C2" i="13"/>
  <c r="J2" i="13"/>
  <c r="G2" i="13"/>
  <c r="I2" i="13"/>
  <c r="F2" i="13"/>
  <c r="R2" i="13"/>
  <c r="J30" i="22"/>
  <c r="J26" i="22"/>
  <c r="J28" i="22"/>
  <c r="H28" i="22" a="1"/>
  <c r="H28" i="22" s="1"/>
  <c r="E28" i="22" s="1" a="1"/>
  <c r="E28" i="22" s="1"/>
  <c r="H26" i="22" a="1"/>
  <c r="H26" i="22" s="1"/>
  <c r="E26" i="22" s="1" a="1"/>
  <c r="E26" i="22" s="1"/>
  <c r="H30" i="22" a="1"/>
  <c r="H30" i="22" s="1"/>
  <c r="C31" i="22"/>
  <c r="I30" i="22" l="1" a="1"/>
  <c r="I30" i="22" s="1"/>
  <c r="E30" i="22" a="1"/>
  <c r="E30" i="22" s="1"/>
  <c r="I26" i="22" a="1"/>
  <c r="I26" i="22" s="1"/>
  <c r="I28" i="22" a="1"/>
  <c r="I28" i="22" s="1"/>
  <c r="C27" i="22" l="1"/>
  <c r="C28" i="22"/>
  <c r="C30" i="22"/>
  <c r="C26" i="22"/>
  <c r="B3" i="13" l="1"/>
  <c r="B2" i="13" s="1"/>
  <c r="B13" i="22" l="1" a="1"/>
  <c r="B13" i="22" s="1"/>
  <c r="D13" i="22" a="1"/>
  <c r="D13" i="22" s="1"/>
  <c r="D16" i="22" a="1"/>
  <c r="D16" i="22" s="1"/>
  <c r="B16" i="22" a="1"/>
  <c r="B16" i="22" s="1"/>
  <c r="D11" i="22" a="1"/>
  <c r="D11" i="22" s="1"/>
  <c r="B11" i="22" a="1"/>
  <c r="B11" i="22" s="1"/>
  <c r="B24" i="22" a="1"/>
  <c r="B24" i="22" s="1"/>
  <c r="D24" i="22" a="1"/>
  <c r="D24" i="22" s="1"/>
  <c r="E17" i="22" a="1"/>
  <c r="E17" i="22" s="1"/>
  <c r="E29" i="22" a="1"/>
  <c r="E29" i="22" s="1"/>
  <c r="C21" i="22"/>
  <c r="E20" i="22" a="1"/>
  <c r="E20" i="22" s="1"/>
  <c r="C25" i="22"/>
  <c r="E19" i="22" a="1"/>
  <c r="E19" i="22" s="1"/>
  <c r="E22" i="22" a="1"/>
  <c r="E22" i="22" s="1"/>
  <c r="B31" i="22" a="1"/>
  <c r="B31" i="22" s="1"/>
  <c r="B29" i="22" a="1"/>
  <c r="B29" i="22" s="1"/>
  <c r="B25" i="22" a="1"/>
  <c r="B25" i="22" s="1"/>
  <c r="D26" i="22" a="1"/>
  <c r="D26" i="22" s="1"/>
  <c r="D27" i="22" a="1"/>
  <c r="D27" i="22" s="1"/>
  <c r="B20" i="22" a="1"/>
  <c r="B20" i="22" s="1"/>
  <c r="B22" i="22" a="1"/>
  <c r="B22" i="22" s="1"/>
  <c r="B27" i="22" a="1"/>
  <c r="B27" i="22" s="1"/>
  <c r="D30" i="22" a="1"/>
  <c r="D30" i="22" s="1"/>
  <c r="B15" i="22" a="1"/>
  <c r="B15" i="22" s="1"/>
  <c r="B19" i="22" a="1"/>
  <c r="B19" i="22" s="1"/>
  <c r="B14" i="22" a="1"/>
  <c r="B14" i="22" s="1"/>
  <c r="B12" i="22" a="1"/>
  <c r="B12" i="22" s="1"/>
  <c r="B23" i="22" a="1"/>
  <c r="B23" i="22" s="1"/>
  <c r="B26" i="22" a="1"/>
  <c r="B26" i="22" s="1"/>
  <c r="B30" i="22" a="1"/>
  <c r="B30" i="22" s="1"/>
  <c r="B21" i="22" a="1"/>
  <c r="B21" i="22" s="1"/>
  <c r="B28" i="22" a="1"/>
  <c r="B28" i="22" s="1"/>
  <c r="B17" i="22" a="1"/>
  <c r="B17" i="22" s="1"/>
  <c r="D28" i="22" a="1"/>
  <c r="D28" i="22" s="1"/>
  <c r="B18" i="22" a="1"/>
  <c r="B18" i="22" s="1"/>
  <c r="D31" i="22" a="1"/>
  <c r="D31" i="22" s="1"/>
  <c r="C14" i="22" l="1"/>
  <c r="D14" i="22" a="1"/>
  <c r="D14" i="22" s="1"/>
  <c r="D23" i="22" a="1"/>
  <c r="D23" i="22" s="1"/>
  <c r="C23" i="22"/>
  <c r="C29" i="22"/>
  <c r="D29" i="22" a="1"/>
  <c r="D29" i="22" s="1"/>
  <c r="C19" i="22"/>
  <c r="D19" i="22" a="1"/>
  <c r="D19" i="22" s="1"/>
  <c r="D15" i="22" a="1"/>
  <c r="D15" i="22" s="1"/>
  <c r="C15" i="22"/>
  <c r="D22" i="22" a="1"/>
  <c r="D22" i="22" s="1"/>
  <c r="C22" i="22"/>
  <c r="D20" i="22" a="1"/>
  <c r="D20" i="22" s="1"/>
  <c r="C20" i="22"/>
  <c r="D18" i="22" a="1"/>
  <c r="D18" i="22" s="1"/>
  <c r="C18" i="22"/>
  <c r="C17" i="22"/>
  <c r="D17" i="22" a="1"/>
  <c r="D17" i="22" s="1"/>
  <c r="D12" i="22" a="1"/>
  <c r="D12" i="22" s="1"/>
  <c r="C12" i="22"/>
  <c r="D21" i="22" a="1"/>
  <c r="D21" i="22" s="1"/>
  <c r="D25" i="22" a="1"/>
  <c r="D25" i="22" s="1"/>
  <c r="J32" i="2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D8879-50E4-4E77-9AB6-972E7813B745}" keepAlive="1" name="Query - S&amp;P_Stylebox_MOM" description="Connection to the 'S&amp;P_Stylebox_MOM' query in the workbook." type="5" refreshedVersion="8" background="1" saveData="1">
    <dbPr connection="Provider=Microsoft.Mashup.OleDb.1;Data Source=$Workbook$;Location=S&amp;P_Stylebox_MOM;Extended Properties=&quot;&quot;" command="SELECT * FROM [S&amp;P_Stylebox_MOM]"/>
  </connection>
  <connection id="2" xr16:uid="{90E3F43D-C5EF-4C41-B108-D6E0CAF5EC34}" keepAlive="1" name="Query - S&amp;P_Stylebox_SMA" description="Connection to the 'S&amp;P_Stylebox_SMA' query in the workbook." type="5" refreshedVersion="8" background="1" saveData="1">
    <dbPr connection="Provider=Microsoft.Mashup.OleDb.1;Data Source=$Workbook$;Location=S&amp;P_Stylebox_SMA;Extended Properties=&quot;&quot;" command="SELECT * FROM [S&amp;P_Stylebox_SMA]"/>
  </connection>
  <connection id="3" xr16:uid="{6268906F-29EA-405D-8C26-A64956589FD5}" keepAlive="1" name="Query - S&amp;P_Stylebox_Y" description="Connection to the 'S&amp;P_Stylebox_Y' query in the workbook." type="5" refreshedVersion="8" background="1" saveData="1">
    <dbPr connection="Provider=Microsoft.Mashup.OleDb.1;Data Source=$Workbook$;Location=S&amp;P_Stylebox_Y;Extended Properties=&quot;&quot;" command="SELECT * FROM [S&amp;P_Stylebox_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0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9"/>
        </ext>
      </extLst>
    </bk>
  </futureMetadata>
  <cellMetadata count="1">
    <bk>
      <rc t="1" v="0"/>
    </bk>
  </cellMetadata>
  <valueMetadata count="2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</valueMetadata>
</metadata>
</file>

<file path=xl/sharedStrings.xml><?xml version="1.0" encoding="utf-8"?>
<sst xmlns="http://schemas.openxmlformats.org/spreadsheetml/2006/main" count="103" uniqueCount="62">
  <si>
    <t>Date</t>
  </si>
  <si>
    <t>In Trade</t>
  </si>
  <si>
    <t>Sell Signal</t>
  </si>
  <si>
    <t>Buy Signal</t>
  </si>
  <si>
    <t>SMA</t>
  </si>
  <si>
    <t>Symbol</t>
  </si>
  <si>
    <t>YTD Return</t>
  </si>
  <si>
    <t>Target %</t>
  </si>
  <si>
    <t>CASHX</t>
  </si>
  <si>
    <t>Ticker</t>
  </si>
  <si>
    <t>12M</t>
  </si>
  <si>
    <t>9M</t>
  </si>
  <si>
    <t>6M</t>
  </si>
  <si>
    <t>3M</t>
  </si>
  <si>
    <t>1M</t>
  </si>
  <si>
    <t>AVG</t>
  </si>
  <si>
    <t>Sell SMA</t>
  </si>
  <si>
    <t>Read</t>
  </si>
  <si>
    <t>Momentum Assets</t>
  </si>
  <si>
    <t>Momentum Assets Buy/Sell Signals</t>
  </si>
  <si>
    <t>Price</t>
  </si>
  <si>
    <t>CASH</t>
  </si>
  <si>
    <t>PDBC</t>
  </si>
  <si>
    <t>GLD</t>
  </si>
  <si>
    <t>TLT</t>
  </si>
  <si>
    <t>IEF</t>
  </si>
  <si>
    <t>PDBC_SMA</t>
  </si>
  <si>
    <t>GLD_SMA</t>
  </si>
  <si>
    <t>TLT_SMA</t>
  </si>
  <si>
    <t>IEF_SMA</t>
  </si>
  <si>
    <t>LTPZ</t>
  </si>
  <si>
    <t>TIP</t>
  </si>
  <si>
    <t>TIP_SMA</t>
  </si>
  <si>
    <t>LTPZ_SMA</t>
  </si>
  <si>
    <t>IVV</t>
  </si>
  <si>
    <t>IVE</t>
  </si>
  <si>
    <t>IJH</t>
  </si>
  <si>
    <t>IJK</t>
  </si>
  <si>
    <t>IJJ</t>
  </si>
  <si>
    <t>IJR</t>
  </si>
  <si>
    <t>IJS</t>
  </si>
  <si>
    <t>IJT</t>
  </si>
  <si>
    <t>FDM</t>
  </si>
  <si>
    <t>EFA</t>
  </si>
  <si>
    <t>EFV</t>
  </si>
  <si>
    <t>EFG</t>
  </si>
  <si>
    <t>EEM</t>
  </si>
  <si>
    <t>IVW</t>
  </si>
  <si>
    <t>EEM_SMA</t>
  </si>
  <si>
    <t>EFA_SMA</t>
  </si>
  <si>
    <t>EFG_SMA</t>
  </si>
  <si>
    <t>EFV_SMA</t>
  </si>
  <si>
    <t>FDM_SMA</t>
  </si>
  <si>
    <t>IJH_SMA</t>
  </si>
  <si>
    <t>IJJ_SMA</t>
  </si>
  <si>
    <t>IJK_SMA</t>
  </si>
  <si>
    <t>IJR_SMA</t>
  </si>
  <si>
    <t>IJS_SMA</t>
  </si>
  <si>
    <t>IJT_SMA</t>
  </si>
  <si>
    <t>IVE_SMA</t>
  </si>
  <si>
    <t>IVV_SMA</t>
  </si>
  <si>
    <t>IVW_SMA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</si>
</sst>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1" applyNumberFormat="1" applyFont="1" applyFill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10" fontId="2" fillId="2" borderId="0" xfId="0" applyNumberFormat="1" applyFont="1" applyFill="1" applyAlignment="1">
      <alignment horizontal="center" vertical="center"/>
    </xf>
    <xf numFmtId="44" fontId="2" fillId="0" borderId="0" xfId="0" applyNumberFormat="1" applyFont="1"/>
    <xf numFmtId="0" fontId="0" fillId="3" borderId="1" xfId="0" applyFill="1" applyBorder="1"/>
    <xf numFmtId="10" fontId="7" fillId="0" borderId="0" xfId="0" applyNumberFormat="1" applyFont="1"/>
    <xf numFmtId="10" fontId="6" fillId="3" borderId="0" xfId="0" applyNumberFormat="1" applyFont="1" applyFill="1"/>
    <xf numFmtId="0" fontId="0" fillId="3" borderId="0" xfId="0" applyFill="1"/>
    <xf numFmtId="0" fontId="5" fillId="0" borderId="0" xfId="0" applyFont="1" applyAlignment="1">
      <alignment vertical="center"/>
    </xf>
    <xf numFmtId="10" fontId="6" fillId="0" borderId="0" xfId="0" applyNumberFormat="1" applyFont="1"/>
    <xf numFmtId="0" fontId="0" fillId="0" borderId="3" xfId="0" applyBorder="1"/>
    <xf numFmtId="0" fontId="1" fillId="0" borderId="4" xfId="0" applyFont="1" applyBorder="1"/>
    <xf numFmtId="0" fontId="1" fillId="0" borderId="9" xfId="0" applyFont="1" applyBorder="1"/>
    <xf numFmtId="10" fontId="9" fillId="0" borderId="10" xfId="0" applyNumberFormat="1" applyFont="1" applyBorder="1"/>
    <xf numFmtId="10" fontId="7" fillId="0" borderId="1" xfId="0" applyNumberFormat="1" applyFont="1" applyBorder="1" applyAlignment="1">
      <alignment horizontal="center" vertical="center"/>
    </xf>
    <xf numFmtId="10" fontId="7" fillId="0" borderId="2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1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10" fontId="8" fillId="6" borderId="1" xfId="0" applyNumberFormat="1" applyFont="1" applyFill="1" applyBorder="1" applyAlignment="1">
      <alignment horizontal="center" vertical="center"/>
    </xf>
    <xf numFmtId="10" fontId="7" fillId="6" borderId="2" xfId="0" applyNumberFormat="1" applyFont="1" applyFill="1" applyBorder="1" applyAlignment="1">
      <alignment horizontal="center" vertical="center"/>
    </xf>
    <xf numFmtId="10" fontId="7" fillId="6" borderId="6" xfId="0" applyNumberFormat="1" applyFont="1" applyFill="1" applyBorder="1" applyAlignment="1">
      <alignment horizontal="center" vertical="center"/>
    </xf>
    <xf numFmtId="10" fontId="7" fillId="6" borderId="7" xfId="0" applyNumberFormat="1" applyFont="1" applyFill="1" applyBorder="1" applyAlignment="1">
      <alignment horizontal="center" vertical="center"/>
    </xf>
    <xf numFmtId="10" fontId="7" fillId="6" borderId="8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9" fillId="0" borderId="0" xfId="0" applyNumberFormat="1" applyFont="1"/>
    <xf numFmtId="10" fontId="2" fillId="0" borderId="0" xfId="1" applyNumberFormat="1" applyFont="1" applyFill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7" fillId="6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44" fontId="5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[$$-409]* #,##0.00_);_([$$-409]* \(#,##0.00\);_([$$-409]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medium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color rgb="FF00B050"/>
      </font>
    </dxf>
    <dxf>
      <font>
        <color rgb="FFC00000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  <dxf>
      <font>
        <strike val="0"/>
        <color theme="9"/>
      </font>
      <fill>
        <patternFill patternType="none">
          <bgColor auto="1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A8479E33-EC7A-481E-9AAF-D0D29AD71D01}" autoFormatId="16" applyNumberFormats="0" applyBorderFormats="0" applyFontFormats="0" applyPatternFormats="0" applyAlignmentFormats="0" applyWidthHeightFormats="0">
  <queryTableRefresh nextId="370">
    <queryTableFields count="21">
      <queryTableField id="1" name="Date" tableColumnId="1"/>
      <queryTableField id="340" name="EEM" tableColumnId="3"/>
      <queryTableField id="341" name="EFA" tableColumnId="5"/>
      <queryTableField id="342" name="EFG" tableColumnId="6"/>
      <queryTableField id="343" name="EFV" tableColumnId="7"/>
      <queryTableField id="344" name="FDM" tableColumnId="8"/>
      <queryTableField id="319" name="GLD" tableColumnId="27"/>
      <queryTableField id="323" name="IEF" tableColumnId="31"/>
      <queryTableField id="345" name="IJH" tableColumnId="9"/>
      <queryTableField id="346" name="IJJ" tableColumnId="10"/>
      <queryTableField id="347" name="IJK" tableColumnId="11"/>
      <queryTableField id="348" name="IJR" tableColumnId="12"/>
      <queryTableField id="349" name="IJS" tableColumnId="13"/>
      <queryTableField id="350" name="IJT" tableColumnId="14"/>
      <queryTableField id="351" name="IVE" tableColumnId="15"/>
      <queryTableField id="352" name="IVV" tableColumnId="16"/>
      <queryTableField id="368" name="IVW" tableColumnId="18"/>
      <queryTableField id="324" name="LTPZ" tableColumnId="2"/>
      <queryTableField id="317" name="PDBC" tableColumnId="25"/>
      <queryTableField id="325" name="TIP" tableColumnId="4"/>
      <queryTableField id="321" name="TLT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3D1F3F49-5510-49B8-B0CB-6D64C46D2B9A}" autoFormatId="16" applyNumberFormats="0" applyBorderFormats="0" applyFontFormats="0" applyPatternFormats="0" applyAlignmentFormats="0" applyWidthHeightFormats="0">
  <queryTableRefresh nextId="218">
    <queryTableFields count="20">
      <queryTableField id="188" name="EEM" tableColumnId="5"/>
      <queryTableField id="189" name="EFA" tableColumnId="6"/>
      <queryTableField id="190" name="EFG" tableColumnId="7"/>
      <queryTableField id="191" name="EFV" tableColumnId="8"/>
      <queryTableField id="192" name="FDM" tableColumnId="9"/>
      <queryTableField id="167" name="GLD" tableColumnId="1"/>
      <queryTableField id="168" name="IEF" tableColumnId="2"/>
      <queryTableField id="193" name="IJH" tableColumnId="10"/>
      <queryTableField id="194" name="IJJ" tableColumnId="11"/>
      <queryTableField id="195" name="IJK" tableColumnId="12"/>
      <queryTableField id="196" name="IJR" tableColumnId="13"/>
      <queryTableField id="197" name="IJS" tableColumnId="16"/>
      <queryTableField id="198" name="IJT" tableColumnId="17"/>
      <queryTableField id="199" name="IVE" tableColumnId="18"/>
      <queryTableField id="200" name="IVV" tableColumnId="19"/>
      <queryTableField id="216" name="IVW" tableColumnId="21"/>
      <queryTableField id="182" name="LTPZ" tableColumnId="14"/>
      <queryTableField id="169" name="PDBC" tableColumnId="3"/>
      <queryTableField id="183" name="TIP" tableColumnId="15"/>
      <queryTableField id="170" name="TL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A660B2D-1FF6-40DC-944D-79695F485C28}" autoFormatId="16" applyNumberFormats="0" applyBorderFormats="0" applyFontFormats="0" applyPatternFormats="0" applyAlignmentFormats="0" applyWidthHeightFormats="0">
  <queryTableRefresh nextId="207">
    <queryTableFields count="21">
      <queryTableField id="1" name="Date" tableColumnId="1"/>
      <queryTableField id="177" name="EEM_SMA" tableColumnId="2"/>
      <queryTableField id="178" name="EFA_SMA" tableColumnId="3"/>
      <queryTableField id="179" name="EFG_SMA" tableColumnId="4"/>
      <queryTableField id="180" name="EFV_SMA" tableColumnId="5"/>
      <queryTableField id="181" name="FDM_SMA" tableColumnId="6"/>
      <queryTableField id="158" name="GLD_SMA" tableColumnId="14"/>
      <queryTableField id="160" name="IEF_SMA" tableColumnId="16"/>
      <queryTableField id="182" name="IJH_SMA" tableColumnId="7"/>
      <queryTableField id="183" name="IJJ_SMA" tableColumnId="8"/>
      <queryTableField id="184" name="IJK_SMA" tableColumnId="9"/>
      <queryTableField id="185" name="IJR_SMA" tableColumnId="10"/>
      <queryTableField id="186" name="IJS_SMA" tableColumnId="11"/>
      <queryTableField id="187" name="IJT_SMA" tableColumnId="12"/>
      <queryTableField id="188" name="IVE_SMA" tableColumnId="19"/>
      <queryTableField id="189" name="IVV_SMA" tableColumnId="20"/>
      <queryTableField id="205" name="IVW_SMA" tableColumnId="22"/>
      <queryTableField id="162" name="LTPZ_SMA" tableColumnId="18"/>
      <queryTableField id="157" name="PDBC_SMA" tableColumnId="13"/>
      <queryTableField id="161" name="TIP_SMA" tableColumnId="17"/>
      <queryTableField id="159" name="TLT_SMA" tableColumnId="1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60">
  <rv s="0">
    <v>https://www.bing.com/financeapi/forcetrigger?t=a1rqkr&amp;q=BATS%3aEFG&amp;form=skydnc</v>
    <v>Learn more on Bing</v>
  </rv>
  <rv s="1">
    <v>en-US</v>
    <v>a1rqkr</v>
    <v>268435456</v>
    <v>1</v>
    <v>Powered by Refinitiv</v>
    <v>0</v>
    <v>iShares:MSCI EAFE Gro (BATS:EFG)</v>
    <v>2</v>
    <v>3</v>
    <v>Finance</v>
    <v>4</v>
    <v>96.859899999999996</v>
    <v>70.210700000000003</v>
    <v>0.86439999999999995</v>
    <v>-0.04</v>
    <v>0</v>
    <v>-4.1740000000000001E-4</v>
    <v>0</v>
    <v>USD</v>
    <v>CBOE BZX Exchange</v>
    <v>BATS</v>
    <v>3.5999999999999999E-3</v>
    <v>96.19</v>
    <v>ETF</v>
    <v>45058.840277777781</v>
    <v>0</v>
    <v>95.43</v>
    <v>13458673568.52</v>
    <v>iShares:MSCI EAFE Gro</v>
    <v>96.06</v>
    <v>95.84</v>
    <v>95.8</v>
    <v>95.8</v>
    <v>EFG</v>
    <v>iShares:MSCI EAFE Gro (BATS:EFG)</v>
    <v>422790</v>
    <v>504831</v>
  </rv>
  <rv s="2">
    <v>1</v>
  </rv>
  <rv s="0">
    <v>https://www.bing.com/financeapi/forcetrigger?t=a1vwur&amp;q=ARCX%3aIVW&amp;form=skydnc</v>
    <v>Learn more on Bing</v>
  </rv>
  <rv s="1">
    <v>en-US</v>
    <v>a1vwur</v>
    <v>268435456</v>
    <v>1</v>
    <v>Powered by Refinitiv</v>
    <v>0</v>
    <v>iShares:S&amp;P 500 Gro (ARCX:IVW)</v>
    <v>2</v>
    <v>3</v>
    <v>Finance</v>
    <v>5</v>
    <v>71.81</v>
    <v>55.3</v>
    <v>0.99950000000000006</v>
    <v>-0.03</v>
    <v>6.6279999999999993E-3</v>
    <v>-4.6219999999999996E-4</v>
    <v>0.43</v>
    <v>USD</v>
    <v>NYSE Arca</v>
    <v>ARCX</v>
    <v>1.8E-3</v>
    <v>65.17</v>
    <v>ETF</v>
    <v>45058.97134207109</v>
    <v>3</v>
    <v>64.47</v>
    <v>30561057512.32</v>
    <v>iShares:S&amp;P 500 Gro</v>
    <v>65.06</v>
    <v>64.91</v>
    <v>64.88</v>
    <v>65.31</v>
    <v>IVW</v>
    <v>iShares:S&amp;P 500 Gro (ARCX:IVW)</v>
    <v>1416990</v>
    <v>1549317</v>
  </rv>
  <rv s="2">
    <v>4</v>
  </rv>
  <rv s="0">
    <v>https://www.bing.com/financeapi/forcetrigger?t=a1rpu2&amp;q=ARCX%3aEFA&amp;form=skydnc</v>
    <v>Learn more on Bing</v>
  </rv>
  <rv s="1">
    <v>en-US</v>
    <v>a1rpu2</v>
    <v>268435456</v>
    <v>1</v>
    <v>Powered by Refinitiv</v>
    <v>0</v>
    <v>iShares:MSCI EAFE ETF (ARCX:EFA)</v>
    <v>2</v>
    <v>3</v>
    <v>Finance</v>
    <v>5</v>
    <v>74.05</v>
    <v>54.61</v>
    <v>1.0381</v>
    <v>-0.13</v>
    <v>-6.8360000000000003E-4</v>
    <v>-1.774E-3</v>
    <v>-0.05</v>
    <v>USD</v>
    <v>NYSE Arca</v>
    <v>ARCX</v>
    <v>3.3E-3</v>
    <v>73.41</v>
    <v>ETF</v>
    <v>45058.877654027347</v>
    <v>6</v>
    <v>72.87</v>
    <v>50035091145.739998</v>
    <v>iShares:MSCI EAFE ETF</v>
    <v>73.36</v>
    <v>73.27</v>
    <v>73.14</v>
    <v>73.09</v>
    <v>EFA</v>
    <v>iShares:MSCI EAFE ETF (ARCX:EFA)</v>
    <v>15823229</v>
    <v>13950297</v>
  </rv>
  <rv s="2">
    <v>7</v>
  </rv>
  <rv s="0">
    <v>https://www.bing.com/financeapi/forcetrigger?t=a1twnm&amp;q=ARCX%3aGLD&amp;form=skydnc</v>
    <v>Learn more on Bing</v>
  </rv>
  <rv s="1">
    <v>en-US</v>
    <v>a1twnm</v>
    <v>268435456</v>
    <v>1</v>
    <v>Powered by Refinitiv</v>
    <v>0</v>
    <v>SPDR Gold (ARCX:GLD)</v>
    <v>2</v>
    <v>3</v>
    <v>Finance</v>
    <v>5</v>
    <v>191.36</v>
    <v>150.5703</v>
    <v>0.81659999999999999</v>
    <v>-0.32</v>
    <v>4.818E-4</v>
    <v>-1.7100000000000001E-3</v>
    <v>0.09</v>
    <v>USD</v>
    <v>NYSE Arca</v>
    <v>ARCX</v>
    <v>4.0000000000000001E-3</v>
    <v>187.92</v>
    <v>ETF</v>
    <v>45058.99966974531</v>
    <v>9</v>
    <v>186.58</v>
    <v>59023544030.709999</v>
    <v>SPDR Gold</v>
    <v>187.43</v>
    <v>187.13</v>
    <v>186.81</v>
    <v>186.9</v>
    <v>GLD</v>
    <v>SPDR Gold (ARCX:GLD)</v>
    <v>7087462</v>
    <v>8803211</v>
  </rv>
  <rv s="2">
    <v>10</v>
  </rv>
  <rv s="0">
    <v>https://www.bing.com/financeapi/forcetrigger?t=a1vwrw&amp;q=ARCX%3aIVV&amp;form=skydnc</v>
    <v>Learn more on Bing</v>
  </rv>
  <rv s="1">
    <v>en-US</v>
    <v>a1vwrw</v>
    <v>268435456</v>
    <v>1</v>
    <v>Powered by Refinitiv</v>
    <v>0</v>
    <v>iShares:Core S&amp;P 500 (ARCX:IVV)</v>
    <v>2</v>
    <v>3</v>
    <v>Finance</v>
    <v>5</v>
    <v>434.0299</v>
    <v>349.53</v>
    <v>1</v>
    <v>-0.54</v>
    <v>-2.9870000000000001E-3</v>
    <v>-1.305E-3</v>
    <v>-1.2350000000000001</v>
    <v>USD</v>
    <v>NYSE Arca</v>
    <v>ARCX</v>
    <v>2.9999999999999997E-4</v>
    <v>415.37</v>
    <v>ETF</v>
    <v>45058.992436631248</v>
    <v>12</v>
    <v>410.87</v>
    <v>311714381872.34998</v>
    <v>iShares:Core S&amp;P 500</v>
    <v>415.27</v>
    <v>413.95</v>
    <v>413.41</v>
    <v>412.17500000000001</v>
    <v>IVV</v>
    <v>iShares:Core S&amp;P 500 (ARCX:IVV)</v>
    <v>2281584</v>
    <v>3421608</v>
  </rv>
  <rv s="2">
    <v>13</v>
  </rv>
  <rv s="0">
    <v>https://www.bing.com/financeapi/forcetrigger?t=a1rrec&amp;q=BATS%3aEFV&amp;form=skydnc</v>
    <v>Learn more on Bing</v>
  </rv>
  <rv s="1">
    <v>en-US</v>
    <v>a1rrec</v>
    <v>268435456</v>
    <v>1</v>
    <v>Powered by Refinitiv</v>
    <v>0</v>
    <v>iShares:MSCI EAFE Val (BATS:EFV)</v>
    <v>2</v>
    <v>3</v>
    <v>Finance</v>
    <v>4</v>
    <v>50.5</v>
    <v>38.082000000000001</v>
    <v>0.8921</v>
    <v>-0.05</v>
    <v>-1.0688E-2</v>
    <v>-1.0070000000000001E-3</v>
    <v>-0.53</v>
    <v>USD</v>
    <v>CBOE BZX Exchange</v>
    <v>BATS</v>
    <v>3.4999999999999996E-3</v>
    <v>49.801699999999997</v>
    <v>ETF</v>
    <v>45058.932232464846</v>
    <v>15</v>
    <v>49.4</v>
    <v>15554114761.16</v>
    <v>iShares:MSCI EAFE Val</v>
    <v>49.72</v>
    <v>49.64</v>
    <v>49.59</v>
    <v>49.06</v>
    <v>EFV</v>
    <v>iShares:MSCI EAFE Val (BATS:EFV)</v>
    <v>936790</v>
    <v>1353983</v>
  </rv>
  <rv s="2">
    <v>16</v>
  </rv>
  <rv s="0">
    <v>https://www.bing.com/financeapi/forcetrigger?t=a1x5yc&amp;q=ARCX%3aLTPZ&amp;form=skydnc</v>
    <v>Learn more on Bing</v>
  </rv>
  <rv s="1">
    <v>en-US</v>
    <v>a1x5yc</v>
    <v>268435456</v>
    <v>1</v>
    <v>Powered by Refinitiv</v>
    <v>0</v>
    <v>PIMCO ETF:15+ Yr US TIPS (ARCX:LTPZ)</v>
    <v>2</v>
    <v>3</v>
    <v>Finance</v>
    <v>5</v>
    <v>73.466099999999997</v>
    <v>54.98</v>
    <v>2.2334999999999998</v>
    <v>-0.06</v>
    <v>-1.133E-2</v>
    <v>-9.8430000000000002E-4</v>
    <v>-0.69</v>
    <v>USD</v>
    <v>NYSE Arca</v>
    <v>ARCX</v>
    <v>2E-3</v>
    <v>61.19</v>
    <v>ETF</v>
    <v>45058.879201029689</v>
    <v>18</v>
    <v>60.85</v>
    <v>700678356.36000001</v>
    <v>PIMCO ETF:15+ Yr US TIPS</v>
    <v>61.1</v>
    <v>60.96</v>
    <v>60.9</v>
    <v>60.21</v>
    <v>LTPZ</v>
    <v>PIMCO ETF:15+ Yr US TIPS (ARCX:LTPZ)</v>
    <v>23016</v>
    <v>80599</v>
  </rv>
  <rv s="2">
    <v>19</v>
  </rv>
  <rv s="0">
    <v>https://www.bing.com/financeapi/forcetrigger?t=a1vvsm&amp;q=ARCX%3aIVE&amp;form=skydnc</v>
    <v>Learn more on Bing</v>
  </rv>
  <rv s="1">
    <v>en-US</v>
    <v>a1vvsm</v>
    <v>268435456</v>
    <v>1</v>
    <v>Powered by Refinitiv</v>
    <v>0</v>
    <v>iShares:S&amp;P 500 Val (ARCX:IVE)</v>
    <v>2</v>
    <v>3</v>
    <v>Finance</v>
    <v>5</v>
    <v>160.30000000000001</v>
    <v>127.33</v>
    <v>1.0001</v>
    <v>-0.35</v>
    <v>1.7628999999999999E-2</v>
    <v>-2.3140000000000001E-3</v>
    <v>2.66</v>
    <v>USD</v>
    <v>NYSE Arca</v>
    <v>ARCX</v>
    <v>1.8E-3</v>
    <v>151.72999999999999</v>
    <v>ETF</v>
    <v>45058.994569860937</v>
    <v>21</v>
    <v>149.9701</v>
    <v>24653027985.540001</v>
    <v>iShares:S&amp;P 500 Val</v>
    <v>151.72999999999999</v>
    <v>151.24</v>
    <v>150.88999999999999</v>
    <v>153.55000000000001</v>
    <v>IVE</v>
    <v>iShares:S&amp;P 500 Val (ARCX:IVE)</v>
    <v>285304</v>
    <v>566661</v>
  </rv>
  <rv s="2">
    <v>22</v>
  </rv>
  <rv s="0">
    <v>https://www.bing.com/financeapi/forcetrigger?t=a1vbbh&amp;q=XNAS%3aIEF&amp;form=skydnc</v>
    <v>Learn more on Bing</v>
  </rv>
  <rv s="1">
    <v>en-US</v>
    <v>a1vbbh</v>
    <v>268435456</v>
    <v>1</v>
    <v>Powered by Refinitiv</v>
    <v>0</v>
    <v>iShares:7-10 Trs Bd ETF (XNAS:IEF)</v>
    <v>2</v>
    <v>3</v>
    <v>Finance</v>
    <v>5</v>
    <v>105.745</v>
    <v>92.48</v>
    <v>1.1583000000000001</v>
    <v>-0.6</v>
    <v>2.0110000000000002E-3</v>
    <v>-5.9960000000000005E-3</v>
    <v>0.2</v>
    <v>USD</v>
    <v>Nasdaq Stock Market</v>
    <v>XNAS</v>
    <v>1.5E-3</v>
    <v>100.07</v>
    <v>ETF</v>
    <v>45058.961442360938</v>
    <v>24</v>
    <v>99.44</v>
    <v>28445961345.5</v>
    <v>iShares:7-10 Trs Bd ETF</v>
    <v>99.99</v>
    <v>100.07</v>
    <v>99.47</v>
    <v>99.67</v>
    <v>IEF</v>
    <v>iShares:7-10 Trs Bd ETF (XNAS:IEF)</v>
    <v>5107312</v>
    <v>8765233</v>
  </rv>
  <rv s="2">
    <v>25</v>
  </rv>
  <rv s="0">
    <v>https://www.bing.com/financeapi/forcetrigger?t=a24b5r&amp;q=XNAS%3aTLT&amp;form=skydnc</v>
    <v>Learn more on Bing</v>
  </rv>
  <rv s="1">
    <v>en-US</v>
    <v>a24b5r</v>
    <v>268435456</v>
    <v>1</v>
    <v>Powered by Refinitiv</v>
    <v>0</v>
    <v>iShares:20+ Trs Bd ETF (XNAS:TLT)</v>
    <v>2</v>
    <v>3</v>
    <v>Finance</v>
    <v>5</v>
    <v>120.69</v>
    <v>91.85</v>
    <v>1.0685</v>
    <v>-0.88</v>
    <v>4.795E-4</v>
    <v>-8.3689999999999997E-3</v>
    <v>0.05</v>
    <v>USD</v>
    <v>Nasdaq Stock Market</v>
    <v>XNAS</v>
    <v>1.5E-3</v>
    <v>105.25</v>
    <v>ETF</v>
    <v>45058.997851921093</v>
    <v>27</v>
    <v>104.25</v>
    <v>36204063544.790001</v>
    <v>iShares:20+ Trs Bd ETF</v>
    <v>105.05</v>
    <v>105.15</v>
    <v>104.27</v>
    <v>104.32</v>
    <v>TLT</v>
    <v>iShares:20+ Trs Bd ETF (XNAS:TLT)</v>
    <v>14198538</v>
    <v>20367816</v>
  </rv>
  <rv s="2">
    <v>28</v>
  </rv>
  <rv s="0">
    <v>https://www.bing.com/financeapi/forcetrigger?t=a1vgjc&amp;q=ARCX%3aIJK&amp;form=skydnc</v>
    <v>Learn more on Bing</v>
  </rv>
  <rv s="1">
    <v>en-US</v>
    <v>a1vgjc</v>
    <v>268435456</v>
    <v>1</v>
    <v>Powered by Refinitiv</v>
    <v>0</v>
    <v>iShares:S&amp;P MC 400 Gro (ARCX:IJK)</v>
    <v>2</v>
    <v>3</v>
    <v>Finance</v>
    <v>5</v>
    <v>76.11</v>
    <v>61.44</v>
    <v>0.99980000000000002</v>
    <v>0.12</v>
    <v>1.426E-4</v>
    <v>1.714E-3</v>
    <v>0.01</v>
    <v>USD</v>
    <v>NYSE Arca</v>
    <v>ARCX</v>
    <v>1.7000000000000001E-3</v>
    <v>70.575000000000003</v>
    <v>ETF</v>
    <v>45058.840277777781</v>
    <v>30</v>
    <v>69.66</v>
    <v>7301634176.7799997</v>
    <v>iShares:S&amp;P MC 400 Gro</v>
    <v>70.23</v>
    <v>70.010000000000005</v>
    <v>70.13</v>
    <v>70.14</v>
    <v>IJK</v>
    <v>iShares:S&amp;P MC 400 Gro (ARCX:IJK)</v>
    <v>129032</v>
    <v>308322</v>
  </rv>
  <rv s="2">
    <v>31</v>
  </rv>
  <rv s="0">
    <v>https://www.bing.com/financeapi/forcetrigger?t=a2491h&amp;q=ARCX%3aTIP&amp;form=skydnc</v>
    <v>Learn more on Bing</v>
  </rv>
  <rv s="1">
    <v>en-US</v>
    <v>a2491h</v>
    <v>268435456</v>
    <v>1</v>
    <v>Powered by Refinitiv</v>
    <v>0</v>
    <v>iShares:TIPS Bd ETF (ARCX:TIP)</v>
    <v>2</v>
    <v>3</v>
    <v>Finance</v>
    <v>5</v>
    <v>119.86</v>
    <v>104.63</v>
    <v>0.99770000000000003</v>
    <v>-0.39</v>
    <v>-9.1390000000000004E-4</v>
    <v>-3.552E-3</v>
    <v>-0.1</v>
    <v>USD</v>
    <v>NYSE Arca</v>
    <v>ARCX</v>
    <v>1.9E-3</v>
    <v>109.93</v>
    <v>ETF</v>
    <v>45058.845281747657</v>
    <v>33</v>
    <v>109.3942</v>
    <v>22645536080.23</v>
    <v>iShares:TIPS Bd ETF</v>
    <v>109.87</v>
    <v>109.81</v>
    <v>109.42</v>
    <v>109.32</v>
    <v>TIP</v>
    <v>iShares:TIPS Bd ETF (ARCX:TIP)</v>
    <v>1924293</v>
    <v>3248292</v>
  </rv>
  <rv s="2">
    <v>34</v>
  </rv>
  <rv s="0">
    <v>https://www.bing.com/financeapi/forcetrigger?t=a1vgdm&amp;q=ARCX%3aIJH&amp;form=skydnc</v>
    <v>Learn more on Bing</v>
  </rv>
  <rv s="1">
    <v>en-US</v>
    <v>a1vgdm</v>
    <v>268435456</v>
    <v>1</v>
    <v>Powered by Refinitiv</v>
    <v>0</v>
    <v>iShares:Core S&amp;P Md-Cp (ARCX:IJH)</v>
    <v>2</v>
    <v>3</v>
    <v>Finance</v>
    <v>5</v>
    <v>272.95</v>
    <v>217.39</v>
    <v>0.99990000000000001</v>
    <v>0.03</v>
    <v>-1.5249999999999999E-3</v>
    <v>1.237E-4</v>
    <v>-0.37</v>
    <v>USD</v>
    <v>NYSE Arca</v>
    <v>ARCX</v>
    <v>5.0000000000000001E-4</v>
    <v>244.17</v>
    <v>ETF</v>
    <v>45058.849085265625</v>
    <v>36</v>
    <v>240.98</v>
    <v>66284334459.599998</v>
    <v>iShares:Core S&amp;P Md-Cp</v>
    <v>243.56</v>
    <v>242.57</v>
    <v>242.6</v>
    <v>242.23</v>
    <v>IJH</v>
    <v>iShares:Core S&amp;P Md-Cp (ARCX:IJH)</v>
    <v>719059</v>
    <v>892298</v>
  </rv>
  <rv s="2">
    <v>37</v>
  </rv>
  <rv s="0">
    <v>https://www.bing.com/financeapi/forcetrigger?t=a1rour&amp;q=ARCX%3aEEM&amp;form=skydnc</v>
    <v>Learn more on Bing</v>
  </rv>
  <rv s="1">
    <v>en-US</v>
    <v>a1rour</v>
    <v>268435456</v>
    <v>1</v>
    <v>Powered by Refinitiv</v>
    <v>0</v>
    <v>iShares:MSCI Em Mkts (ARCX:EEM)</v>
    <v>2</v>
    <v>3</v>
    <v>Finance</v>
    <v>5</v>
    <v>43.23</v>
    <v>33.484999999999999</v>
    <v>1.0178</v>
    <v>-0.46</v>
    <v>2.5940000000000002E-4</v>
    <v>-1.1792E-2</v>
    <v>0.01</v>
    <v>USD</v>
    <v>NYSE Arca</v>
    <v>ARCX</v>
    <v>6.8999999999999999E-3</v>
    <v>38.75</v>
    <v>ETF</v>
    <v>45058.96743166641</v>
    <v>39</v>
    <v>38.47</v>
    <v>24506741211.189999</v>
    <v>iShares:MSCI Em Mkts</v>
    <v>38.74</v>
    <v>39.01</v>
    <v>38.549999999999997</v>
    <v>38.56</v>
    <v>EEM</v>
    <v>iShares:MSCI Em Mkts (ARCX:EEM)</v>
    <v>32789262</v>
    <v>25095285</v>
  </rv>
  <rv s="2">
    <v>40</v>
  </rv>
  <rv s="0">
    <v>https://www.bing.com/financeapi/forcetrigger?t=a1vggh&amp;q=ARCX%3aIJJ&amp;form=skydnc</v>
    <v>Learn more on Bing</v>
  </rv>
  <rv s="1">
    <v>en-US</v>
    <v>a1vggh</v>
    <v>268435456</v>
    <v>1</v>
    <v>Powered by Refinitiv</v>
    <v>0</v>
    <v>iShares:S&amp;P MC 400 Val (ARCX:IJJ)</v>
    <v>2</v>
    <v>3</v>
    <v>Finance</v>
    <v>5</v>
    <v>116.78</v>
    <v>89.618700000000004</v>
    <v>0.99960000000000004</v>
    <v>-0.28000000000000003</v>
    <v>5.0779999999999998E-4</v>
    <v>-2.8349999999999998E-3</v>
    <v>0.05</v>
    <v>USD</v>
    <v>NYSE Arca</v>
    <v>ARCX</v>
    <v>1.8E-3</v>
    <v>99.19</v>
    <v>ETF</v>
    <v>45058.840277777781</v>
    <v>42</v>
    <v>97.89</v>
    <v>7161534099.1099997</v>
    <v>iShares:S&amp;P MC 400 Val</v>
    <v>99.08</v>
    <v>98.75</v>
    <v>98.47</v>
    <v>98.52</v>
    <v>IJJ</v>
    <v>iShares:S&amp;P MC 400 Val (ARCX:IJJ)</v>
    <v>153120</v>
    <v>290138</v>
  </rv>
  <rv s="2">
    <v>43</v>
  </rv>
  <rv s="0">
    <v>https://www.bing.com/financeapi/forcetrigger?t=a1vgrw&amp;q=XNAS%3aIJT&amp;form=skydnc</v>
    <v>Learn more on Bing</v>
  </rv>
  <rv s="1">
    <v>en-US</v>
    <v>a1vgrw</v>
    <v>268435456</v>
    <v>1</v>
    <v>Powered by Refinitiv</v>
    <v>0</v>
    <v>iShares:S&amp;P SC 600 Gro (XNAS:IJT)</v>
    <v>2</v>
    <v>3</v>
    <v>Finance</v>
    <v>5</v>
    <v>123.84</v>
    <v>100.13</v>
    <v>0.99980000000000002</v>
    <v>-0.14000000000000001</v>
    <v>0</v>
    <v>-1.3259999999999999E-3</v>
    <v>0</v>
    <v>USD</v>
    <v>Nasdaq Stock Market</v>
    <v>XNAS</v>
    <v>1.8E-3</v>
    <v>106.19</v>
    <v>ETF</v>
    <v>45058.843750185159</v>
    <v>45</v>
    <v>104.77</v>
    <v>4795975920.7299995</v>
    <v>iShares:S&amp;P SC 600 Gro</v>
    <v>105.85</v>
    <v>105.58</v>
    <v>105.44</v>
    <v>105.44</v>
    <v>IJT</v>
    <v>iShares:S&amp;P SC 600 Gro (XNAS:IJT)</v>
    <v>81421</v>
    <v>96491</v>
  </rv>
  <rv s="2">
    <v>46</v>
  </rv>
  <rv s="0">
    <v>https://www.bing.com/financeapi/forcetrigger?t=a1vgm7&amp;q=ARCX%3aIJR&amp;form=skydnc</v>
    <v>Learn more on Bing</v>
  </rv>
  <rv s="1">
    <v>en-US</v>
    <v>a1vgm7</v>
    <v>268435456</v>
    <v>1</v>
    <v>Powered by Refinitiv</v>
    <v>0</v>
    <v>iShares:Core S&amp;P Sm-Cp (ARCX:IJR)</v>
    <v>2</v>
    <v>3</v>
    <v>Finance</v>
    <v>5</v>
    <v>108.24</v>
    <v>86.4</v>
    <v>1</v>
    <v>-0.27</v>
    <v>-3.3769999999999998E-3</v>
    <v>-2.9320000000000001E-3</v>
    <v>-0.31</v>
    <v>USD</v>
    <v>NYSE Arca</v>
    <v>ARCX</v>
    <v>5.9999999999999995E-4</v>
    <v>92.66</v>
    <v>ETF</v>
    <v>45058.876283483594</v>
    <v>48</v>
    <v>91.26</v>
    <v>64973803983.519997</v>
    <v>iShares:Core S&amp;P Sm-Cp</v>
    <v>92.4</v>
    <v>92.08</v>
    <v>91.81</v>
    <v>91.5</v>
    <v>IJR</v>
    <v>iShares:Core S&amp;P Sm-Cp (ARCX:IJR)</v>
    <v>3460187</v>
    <v>3989351</v>
  </rv>
  <rv s="2">
    <v>49</v>
  </rv>
  <rv s="0">
    <v>https://www.bing.com/financeapi/forcetrigger?t=a1vgp2&amp;q=ARCX%3aIJS&amp;form=skydnc</v>
    <v>Learn more on Bing</v>
  </rv>
  <rv s="1">
    <v>en-US</v>
    <v>a1vgp2</v>
    <v>268435456</v>
    <v>1</v>
    <v>Powered by Refinitiv</v>
    <v>0</v>
    <v>iShares:S&amp;P SC 600 Val (ARCX:IJS)</v>
    <v>2</v>
    <v>3</v>
    <v>Finance</v>
    <v>5</v>
    <v>106.935</v>
    <v>82.09</v>
    <v>1</v>
    <v>-0.3</v>
    <v>-6.0209999999999994E-3</v>
    <v>-3.3960000000000001E-3</v>
    <v>-0.53</v>
    <v>USD</v>
    <v>NYSE Arca</v>
    <v>ARCX</v>
    <v>1.8E-3</v>
    <v>88.81</v>
    <v>ETF</v>
    <v>45058.873648633591</v>
    <v>51</v>
    <v>87.5</v>
    <v>6764204790.4399996</v>
    <v>iShares:S&amp;P SC 600 Val</v>
    <v>88.59</v>
    <v>88.33</v>
    <v>88.03</v>
    <v>87.5</v>
    <v>IJS</v>
    <v>iShares:S&amp;P SC 600 Val (ARCX:IJS)</v>
    <v>398088</v>
    <v>291148</v>
  </rv>
  <rv s="2">
    <v>52</v>
  </rv>
  <rv s="0">
    <v>https://www.bing.com/financeapi/forcetrigger?t=a1zmf2&amp;q=XNAS%3aPDBC&amp;form=skydnc</v>
    <v>Learn more on Bing</v>
  </rv>
  <rv s="1">
    <v>en-US</v>
    <v>a1zmf2</v>
    <v>268435456</v>
    <v>1</v>
    <v>Powered by Refinitiv</v>
    <v>0</v>
    <v>Invesco OYDCS No K-1 (XNAS:PDBC)</v>
    <v>2</v>
    <v>3</v>
    <v>Finance</v>
    <v>5</v>
    <v>20.759899999999998</v>
    <v>13.38</v>
    <v>0.46</v>
    <v>-0.09</v>
    <v>4.4149999999999997E-3</v>
    <v>-6.5790000000000006E-3</v>
    <v>0.06</v>
    <v>USD</v>
    <v>Nasdaq Stock Market</v>
    <v>XNAS</v>
    <v>5.5000000000000005E-3</v>
    <v>13.74</v>
    <v>ETF</v>
    <v>45058.999172430471</v>
    <v>54</v>
    <v>13.5601</v>
    <v>5179821293.1999998</v>
    <v>Invesco OYDCS No K-1</v>
    <v>13.7</v>
    <v>13.68</v>
    <v>13.59</v>
    <v>13.65</v>
    <v>PDBC</v>
    <v>Invesco OYDCS No K-1 (XNAS:PDBC)</v>
    <v>1578821</v>
    <v>3639250</v>
  </rv>
  <rv s="2">
    <v>55</v>
  </rv>
  <rv s="0">
    <v>https://www.bing.com/financeapi/forcetrigger?t=a1spxm&amp;q=ARCX%3aFDM&amp;form=skydnc</v>
    <v>Learn more on Bing</v>
  </rv>
  <rv s="1">
    <v>en-US</v>
    <v>a1spxm</v>
    <v>268435456</v>
    <v>1</v>
    <v>Powered by Refinitiv</v>
    <v>0</v>
    <v>FT:DJ Select MicroCap (ARCX:FDM)</v>
    <v>2</v>
    <v>3</v>
    <v>Finance</v>
    <v>5</v>
    <v>61.541400000000003</v>
    <v>49.38</v>
    <v>0.9597</v>
    <v>-3.3E-3</v>
    <v>3.3370000000000001E-3</v>
    <v>-6.5510000000000001E-5</v>
    <v>0.1681</v>
    <v>USD</v>
    <v>NYSE Arca</v>
    <v>ARCX</v>
    <v>6.0000000000000001E-3</v>
    <v>50.570099999999996</v>
    <v>ETF</v>
    <v>45058.840277777781</v>
    <v>57</v>
    <v>50.14</v>
    <v>144609281.97600001</v>
    <v>FT:DJ Select MicroCap</v>
    <v>50.570099999999996</v>
    <v>50.3752</v>
    <v>50.371899999999997</v>
    <v>50.54</v>
    <v>FDM</v>
    <v>FT:DJ Select MicroCap (ARCX:FDM)</v>
    <v>23437</v>
    <v>6702</v>
  </rv>
  <rv s="2">
    <v>58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% (Extended hours)"/>
    <k n="Change (%)"/>
    <k n="Change (Extended hours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Price (Extended hours)"/>
    <k n="Ticker symbol" t="s"/>
    <k n="UniqueName" t="s"/>
    <k n="Volume"/>
    <k n="Volume average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7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Last trade time</v>
      <v t="s">Ticker symbol</v>
      <v t="s">Exchange abbreviation</v>
      <v t="s">Change</v>
      <v t="s">Change (Extended hours)</v>
      <v t="s">Expense ratio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  <v>1</v>
      <v>1</v>
      <v>5</v>
    </spb>
    <spb s="4">
      <v>at close</v>
      <v>from previous close</v>
      <v>from previous close</v>
      <v>GMT</v>
      <v>BATS BZX Real-Time Last Price</v>
      <v>from close</v>
      <v>from close</v>
    </spb>
    <spb s="5">
      <v>at close</v>
      <v>from previous close</v>
      <v>Source: Nasdaq</v>
      <v>from previous close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6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  <k n="Price (Extended hours)" t="i"/>
    <k n="Change (Extended hours)" t="i"/>
    <k n="Change % (Extended hours)" t="i"/>
  </s>
  <s>
    <k n="Price" t="s"/>
    <k n="Change" t="s"/>
    <k n="Change (%)" t="s"/>
    <k n="Last trade time" t="s"/>
    <k n="Price (Extended hours)" t="s"/>
    <k n="Change (Extended hours)" t="s"/>
    <k n="Change % (Extended hours)" t="s"/>
  </s>
  <s>
    <k n="Price" t="s"/>
    <k n="Change" t="s"/>
    <k n="Exchange" t="s"/>
    <k n="Change (%)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2" formatCode="0.00"/>
    </x:dxf>
    <x:dxf>
      <x:numFmt numFmtId="0" formatCode="General"/>
    </x:dxf>
    <x:dxf>
      <x:numFmt numFmtId="27" formatCode="m/d/yyyy\ hh:mm"/>
    </x:dxf>
    <x:dxf>
      <x:numFmt numFmtId="14" formatCode="0.00%"/>
    </x:dxf>
    <x:dxf>
      <x:numFmt numFmtId="3" formatCode="#,##0"/>
    </x:dxf>
    <x:dxf>
      <x:numFmt numFmtId="4" formatCode="#,##0.0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B10913-CBBD-416E-86DC-A179BE78C3E8}" name="Table35231227" displayName="Table35231227" ref="A10:J32" totalsRowCount="1" headerRowDxfId="25" tableBorderDxfId="24">
  <autoFilter ref="A10:J31" xr:uid="{3DA7D557-3544-4C92-960F-DABC7E3FD32C}"/>
  <sortState xmlns:xlrd2="http://schemas.microsoft.com/office/spreadsheetml/2017/richdata2" ref="A11:J31">
    <sortCondition descending="1" ref="I10:I31"/>
  </sortState>
  <tableColumns count="10">
    <tableColumn id="13" xr3:uid="{4D062C57-1807-4053-9862-FED86267DEA7}" name="In Trade" dataDxfId="23"/>
    <tableColumn id="14" xr3:uid="{E03E9963-16C3-4D83-BE7A-79A2444C6167}" name="Sell Signal" dataDxfId="22">
      <calculatedColumnFormula array="1">IF(AND(Table35231227[[#This Row],[Ticker]]&lt;&gt;$A$5:$E$5, (A11="X")),"SELL","")</calculatedColumnFormula>
    </tableColumn>
    <tableColumn id="15" xr3:uid="{D00F3EDE-47EE-41B3-85BE-59E6E6CBCCC8}" name="Sell SMA" dataDxfId="21">
      <calculatedColumnFormula>IF(AND(A11="X",Table35231227[[#This Row],[SMA]]="Below SMA"),"SELL","")</calculatedColumnFormula>
    </tableColumn>
    <tableColumn id="16" xr3:uid="{8CCD7C20-F236-498F-A737-E26996840793}" name="Buy Signal" dataDxfId="20">
      <calculatedColumnFormula array="1">IF(AND(OR(Table35231227[[#This Row],[Ticker]]=$A$5:$E$5), AND(A11="",Table35231227[[#This Row],[SMA]]="Above SMA")),"BUY","")</calculatedColumnFormula>
    </tableColumn>
    <tableColumn id="4" xr3:uid="{F7FC473A-CA98-4A61-948C-A56F56C80EF1}" name="SMA" dataDxfId="19" totalsRowDxfId="5"/>
    <tableColumn id="5" xr3:uid="{D4546283-1093-4E8C-A16C-9AFAE142EEE2}" name="Ticker" dataDxfId="18" totalsRowDxfId="4"/>
    <tableColumn id="6" xr3:uid="{DCE65EB2-0DCF-4588-8EEE-14579351721F}" name="Symbol" dataDxfId="17" totalsRowDxfId="3"/>
    <tableColumn id="8" xr3:uid="{0A731BBA-05B7-47A7-BE59-0565A331F8E5}" name="Price" dataDxfId="16" totalsRowDxfId="2">
      <calculatedColumnFormula array="1">_FV(G11,"Price")</calculatedColumnFormula>
    </tableColumn>
    <tableColumn id="9" xr3:uid="{E86CC417-EDFB-4BC0-8A66-3ADA0A331A02}" name="YTD Return" dataDxfId="15" totalsRowDxfId="1" dataCellStyle="Percent">
      <calculatedColumnFormula array="1">(H11-#REF!)/#REF!</calculatedColumnFormula>
    </tableColumn>
    <tableColumn id="11" xr3:uid="{C462CC34-296B-460E-9E19-8883850AE1BE}" name="Target %" totalsRowFunction="custom" dataDxfId="14" totalsRowDxfId="0">
      <totalsRowFormula>SUM(Table35231227[Target %])</totalsRow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6A9EAB-5DFC-4C74-8A16-FA94CBFEEADD}" name="Table_S_P_Stylebox_MOM" displayName="Table_S_P_Stylebox_MOM" ref="A1:U14" tableType="queryTable" totalsRowShown="0">
  <autoFilter ref="A1:U14" xr:uid="{926A9EAB-5DFC-4C74-8A16-FA94CBFEEADD}"/>
  <tableColumns count="21">
    <tableColumn id="1" xr3:uid="{D48BC288-8683-4715-B4E4-18868E051953}" uniqueName="1" name="Date" queryTableFieldId="1" dataDxfId="13"/>
    <tableColumn id="3" xr3:uid="{CD8EAAB7-FAB2-4FC4-91B6-90962431F844}" uniqueName="3" name="EEM" queryTableFieldId="340"/>
    <tableColumn id="5" xr3:uid="{E1EB63B0-A6F4-4D5C-9DB9-AD26EE919C30}" uniqueName="5" name="EFA" queryTableFieldId="341"/>
    <tableColumn id="6" xr3:uid="{F6E7D6C3-2DFC-4378-B7A7-3F61E352018C}" uniqueName="6" name="EFG" queryTableFieldId="342"/>
    <tableColumn id="7" xr3:uid="{ABDB7433-2CA9-43EE-82D2-3BCC6B1AA9AE}" uniqueName="7" name="EFV" queryTableFieldId="343"/>
    <tableColumn id="8" xr3:uid="{CD315F13-76C6-47E4-A6F5-C25AC6300992}" uniqueName="8" name="FDM" queryTableFieldId="344"/>
    <tableColumn id="27" xr3:uid="{CE55D864-486C-4E5C-A483-2A8378BFFF31}" uniqueName="27" name="GLD" queryTableFieldId="319"/>
    <tableColumn id="31" xr3:uid="{E0A5B815-3BAB-44F8-AD16-05C28D81875F}" uniqueName="31" name="IEF" queryTableFieldId="323"/>
    <tableColumn id="9" xr3:uid="{D5377EB2-CE98-44FF-916B-6144D21916E9}" uniqueName="9" name="IJH" queryTableFieldId="345"/>
    <tableColumn id="10" xr3:uid="{2EAA11C6-6241-44C6-B9FA-E2C6F87A0CB4}" uniqueName="10" name="IJJ" queryTableFieldId="346"/>
    <tableColumn id="11" xr3:uid="{2E3670AA-9AEA-42AE-9706-BD074F498DDA}" uniqueName="11" name="IJK" queryTableFieldId="347"/>
    <tableColumn id="12" xr3:uid="{ADD3DB2C-5859-4347-8816-D26C7FF386C5}" uniqueName="12" name="IJR" queryTableFieldId="348"/>
    <tableColumn id="13" xr3:uid="{0D16D71B-CF97-42AB-9863-826A4D229B36}" uniqueName="13" name="IJS" queryTableFieldId="349"/>
    <tableColumn id="14" xr3:uid="{FCEA6FD2-ED68-4B88-8782-73379FAA6674}" uniqueName="14" name="IJT" queryTableFieldId="350"/>
    <tableColumn id="15" xr3:uid="{8919E860-6D7D-43FC-B7DF-F9AAACF1EC19}" uniqueName="15" name="IVE" queryTableFieldId="351"/>
    <tableColumn id="16" xr3:uid="{9CDBF689-8AD9-4C1C-BC5D-9FB6C075316B}" uniqueName="16" name="IVV" queryTableFieldId="352"/>
    <tableColumn id="18" xr3:uid="{1F37BC40-B8AF-4C1D-9ACF-D7555E21E9CE}" uniqueName="18" name="IVW" queryTableFieldId="368"/>
    <tableColumn id="2" xr3:uid="{A16B01E9-141E-424B-838F-8709C8F8A705}" uniqueName="2" name="LTPZ" queryTableFieldId="324"/>
    <tableColumn id="25" xr3:uid="{FBD37049-DAAC-4884-82D0-513982F564CF}" uniqueName="25" name="PDBC" queryTableFieldId="317"/>
    <tableColumn id="4" xr3:uid="{0EF3423B-AB69-41AD-B8EA-BC8CD0374D17}" uniqueName="4" name="TIP" queryTableFieldId="325"/>
    <tableColumn id="29" xr3:uid="{C6367E91-C80D-4976-8C76-C1873455E24B}" uniqueName="29" name="TLT" queryTableFieldId="3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67A3F6-1BCA-4EB3-A907-6D0AEFBD3E37}" name="Table_S_P_Stylebox_Y" displayName="Table_S_P_Stylebox_Y" ref="A1:T2" tableType="queryTable" totalsRowShown="0">
  <autoFilter ref="A1:T2" xr:uid="{2167A3F6-1BCA-4EB3-A907-6D0AEFBD3E37}"/>
  <tableColumns count="20">
    <tableColumn id="5" xr3:uid="{2B6463CE-2F24-4289-8D76-B982C93C2D84}" uniqueName="5" name="EEM" queryTableFieldId="188"/>
    <tableColumn id="6" xr3:uid="{174A8AC5-FEB5-4D77-999E-309AD1A9C246}" uniqueName="6" name="EFA" queryTableFieldId="189"/>
    <tableColumn id="7" xr3:uid="{88109FEA-88B4-472E-BE79-5845247E1E6B}" uniqueName="7" name="EFG" queryTableFieldId="190"/>
    <tableColumn id="8" xr3:uid="{69F0D790-D105-45EC-B31E-A9EAB3D64BF3}" uniqueName="8" name="EFV" queryTableFieldId="191"/>
    <tableColumn id="9" xr3:uid="{1514D845-C44A-4285-8C2B-9E26F552855D}" uniqueName="9" name="FDM" queryTableFieldId="192"/>
    <tableColumn id="1" xr3:uid="{CDAC02FE-5BC8-4DEA-9EA6-FF9F762E71A7}" uniqueName="1" name="GLD" queryTableFieldId="167" dataDxfId="12"/>
    <tableColumn id="2" xr3:uid="{C240D4E5-BBB6-4E1B-8183-FE89952D521C}" uniqueName="2" name="IEF" queryTableFieldId="168" dataDxfId="11"/>
    <tableColumn id="10" xr3:uid="{CF1BA789-08D4-49DC-8770-A366CB8E7C15}" uniqueName="10" name="IJH" queryTableFieldId="193"/>
    <tableColumn id="11" xr3:uid="{756A1341-106B-417F-BF13-8FF8F09EAB0A}" uniqueName="11" name="IJJ" queryTableFieldId="194"/>
    <tableColumn id="12" xr3:uid="{4358A6F5-256A-4A68-9CAE-1D4FC1A70118}" uniqueName="12" name="IJK" queryTableFieldId="195"/>
    <tableColumn id="13" xr3:uid="{75639BD9-FF13-4979-BA62-92B1A77F535E}" uniqueName="13" name="IJR" queryTableFieldId="196"/>
    <tableColumn id="16" xr3:uid="{83FC38C3-7AB8-462A-B030-7E6B06D8E66D}" uniqueName="16" name="IJS" queryTableFieldId="197"/>
    <tableColumn id="17" xr3:uid="{0C2CE074-03CE-4EF5-8548-3B5B6CBC2B51}" uniqueName="17" name="IJT" queryTableFieldId="198"/>
    <tableColumn id="18" xr3:uid="{DB060FD2-E522-4B97-82D8-4C4FB2F9C124}" uniqueName="18" name="IVE" queryTableFieldId="199"/>
    <tableColumn id="19" xr3:uid="{F3526609-AC07-4343-8316-3DCFDBCB7AB4}" uniqueName="19" name="IVV" queryTableFieldId="200"/>
    <tableColumn id="21" xr3:uid="{92083003-C967-4B84-ADDB-89C2D6F74BFB}" uniqueName="21" name="IVW" queryTableFieldId="216"/>
    <tableColumn id="14" xr3:uid="{8902506B-FB20-4885-9A27-05792849A384}" uniqueName="14" name="LTPZ" queryTableFieldId="182" dataDxfId="10"/>
    <tableColumn id="3" xr3:uid="{550B3FF6-DF60-4E1D-9F73-912BD6CF45A9}" uniqueName="3" name="PDBC" queryTableFieldId="169" dataDxfId="9"/>
    <tableColumn id="15" xr3:uid="{B383506B-1CE8-4F6A-B81A-D7E2D1D1D3DF}" uniqueName="15" name="TIP" queryTableFieldId="183" dataDxfId="8"/>
    <tableColumn id="4" xr3:uid="{91E3BF3B-CAEB-42E8-87F2-BC50120E8AC8}" uniqueName="4" name="TLT" queryTableFieldId="17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9FC1F3-01BB-4E1F-AB25-FF4FC2C05F35}" name="Table_S_P_Stylebox_SMA" displayName="Table_S_P_Stylebox_SMA" ref="A1:U2" tableType="queryTable" totalsRowShown="0">
  <autoFilter ref="A1:U2" xr:uid="{AC9FC1F3-01BB-4E1F-AB25-FF4FC2C05F35}"/>
  <tableColumns count="21">
    <tableColumn id="1" xr3:uid="{4E32D702-8ECA-47F6-BA23-7F083FA5D0A2}" uniqueName="1" name="Date" queryTableFieldId="1" dataDxfId="6"/>
    <tableColumn id="2" xr3:uid="{621BF776-0C59-4659-8A73-00F318AE8FB1}" uniqueName="2" name="EEM_SMA" queryTableFieldId="177"/>
    <tableColumn id="3" xr3:uid="{E6788ECD-50D8-4359-932C-11E7309DC0A2}" uniqueName="3" name="EFA_SMA" queryTableFieldId="178"/>
    <tableColumn id="4" xr3:uid="{1A8BE8EA-43BA-4A3E-96FE-159F1A6F7E2E}" uniqueName="4" name="EFG_SMA" queryTableFieldId="179"/>
    <tableColumn id="5" xr3:uid="{18A7898B-253E-45E5-B693-B3E39125D0BC}" uniqueName="5" name="EFV_SMA" queryTableFieldId="180"/>
    <tableColumn id="6" xr3:uid="{CE564F66-1C33-489B-B155-95FFD4CCEDEF}" uniqueName="6" name="FDM_SMA" queryTableFieldId="181"/>
    <tableColumn id="14" xr3:uid="{B0E2544E-6440-4AB3-97EB-3A7C3B798B16}" uniqueName="14" name="GLD_SMA" queryTableFieldId="158"/>
    <tableColumn id="16" xr3:uid="{60BA662F-F792-4E17-BF2D-AFAF7C356B1D}" uniqueName="16" name="IEF_SMA" queryTableFieldId="160"/>
    <tableColumn id="7" xr3:uid="{E72C5666-31A6-428F-8662-1EF8945390F6}" uniqueName="7" name="IJH_SMA" queryTableFieldId="182"/>
    <tableColumn id="8" xr3:uid="{9521BB05-3000-43DA-A904-0D0F0498F815}" uniqueName="8" name="IJJ_SMA" queryTableFieldId="183"/>
    <tableColumn id="9" xr3:uid="{6F381DC4-6D7C-4B21-8FAB-135343DA0D94}" uniqueName="9" name="IJK_SMA" queryTableFieldId="184"/>
    <tableColumn id="10" xr3:uid="{E95AB21A-9DAC-4B27-8ACC-869D13896628}" uniqueName="10" name="IJR_SMA" queryTableFieldId="185"/>
    <tableColumn id="11" xr3:uid="{D4CF8624-AB3B-48D5-B957-340A9BC0D152}" uniqueName="11" name="IJS_SMA" queryTableFieldId="186"/>
    <tableColumn id="12" xr3:uid="{6AE6240C-CAFE-41B5-8AE4-F2253610228A}" uniqueName="12" name="IJT_SMA" queryTableFieldId="187"/>
    <tableColumn id="19" xr3:uid="{EF7263AB-2FB5-4335-8F10-AB43F7E7EBCA}" uniqueName="19" name="IVE_SMA" queryTableFieldId="188"/>
    <tableColumn id="20" xr3:uid="{0E5E888B-8BA8-47BA-9C25-2CA91872AA85}" uniqueName="20" name="IVV_SMA" queryTableFieldId="189"/>
    <tableColumn id="22" xr3:uid="{7E943EB9-AB2F-4688-819F-BB2839A46692}" uniqueName="22" name="IVW_SMA" queryTableFieldId="205"/>
    <tableColumn id="18" xr3:uid="{E5502995-C345-436C-AD9F-4360554A6AD8}" uniqueName="18" name="LTPZ_SMA" queryTableFieldId="162"/>
    <tableColumn id="13" xr3:uid="{037A62ED-1AEE-423F-9CBA-D898E777EB77}" uniqueName="13" name="PDBC_SMA" queryTableFieldId="157"/>
    <tableColumn id="17" xr3:uid="{7FEE1F7E-5386-43EE-8EE4-484EB491FECE}" uniqueName="17" name="TIP_SMA" queryTableFieldId="161"/>
    <tableColumn id="15" xr3:uid="{EE6B0C16-DC1B-43E0-A91B-243DEFBD81F4}" uniqueName="15" name="TLT_SMA" queryTableFieldId="1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A092-4E8A-4EB3-B3A9-C015C345172E}">
  <dimension ref="A1:X58"/>
  <sheetViews>
    <sheetView tabSelected="1" zoomScaleNormal="100" workbookViewId="0">
      <selection activeCell="G5" sqref="G5"/>
    </sheetView>
  </sheetViews>
  <sheetFormatPr defaultRowHeight="15" x14ac:dyDescent="0.25"/>
  <cols>
    <col min="1" max="3" width="14.7109375" customWidth="1"/>
    <col min="4" max="6" width="14.7109375" style="2" customWidth="1"/>
    <col min="7" max="7" width="45.7109375" style="29" customWidth="1"/>
    <col min="8" max="12" width="12.7109375" style="2" customWidth="1"/>
    <col min="13" max="22" width="12.7109375" customWidth="1"/>
  </cols>
  <sheetData>
    <row r="1" spans="1:24" ht="15" customHeight="1" thickBot="1" x14ac:dyDescent="0.3">
      <c r="A1" s="17"/>
      <c r="B1" s="17"/>
      <c r="C1" s="46"/>
      <c r="D1" s="46"/>
      <c r="N1" s="25"/>
      <c r="O1" s="25"/>
      <c r="P1" s="25"/>
      <c r="Q1" s="25"/>
    </row>
    <row r="2" spans="1:24" ht="15" customHeight="1" x14ac:dyDescent="0.25">
      <c r="A2" s="49" t="s">
        <v>18</v>
      </c>
      <c r="B2" s="50"/>
      <c r="C2" s="50"/>
      <c r="D2" s="50"/>
      <c r="E2" s="51"/>
      <c r="N2" s="25"/>
      <c r="O2" s="25"/>
      <c r="P2" s="25"/>
      <c r="Q2" s="25"/>
    </row>
    <row r="3" spans="1:24" ht="15.75" customHeight="1" x14ac:dyDescent="0.25">
      <c r="A3" s="52"/>
      <c r="B3" s="53"/>
      <c r="C3" s="53"/>
      <c r="D3" s="53"/>
      <c r="E3" s="5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4" ht="15.75" customHeight="1" x14ac:dyDescent="0.25">
      <c r="A4" s="23"/>
      <c r="B4" s="41"/>
      <c r="C4" s="41"/>
      <c r="D4" s="41"/>
      <c r="E4" s="2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</row>
    <row r="5" spans="1:24" ht="15.75" x14ac:dyDescent="0.25">
      <c r="A5" s="33" t="str" cm="1">
        <f t="array" ref="A5:E6">_xlfn._xlws.SORT(_xlfn._xlws.FILTER('Momentum Matrix'!$B$1:$U$2, 'Momentum Matrix'!$B$2:$U$2&gt;=LARGE('Momentum Matrix'!$B$2:$U$2, 5)), 1, -1)</f>
        <v>EFA</v>
      </c>
      <c r="B5" s="42" t="str">
        <v>EFG</v>
      </c>
      <c r="C5" s="42" t="str">
        <v>EFV</v>
      </c>
      <c r="D5" s="42" t="str">
        <v>GLD</v>
      </c>
      <c r="E5" s="34" t="str">
        <v>IVV</v>
      </c>
      <c r="N5" s="41"/>
      <c r="T5" s="41"/>
      <c r="U5" s="41"/>
      <c r="V5" s="41"/>
      <c r="W5" s="41"/>
      <c r="X5" s="41"/>
    </row>
    <row r="6" spans="1:24" ht="16.5" thickBot="1" x14ac:dyDescent="0.3">
      <c r="A6" s="35">
        <v>8.0891420313622758E-2</v>
      </c>
      <c r="B6" s="36">
        <v>9.5988920781198583E-2</v>
      </c>
      <c r="C6" s="36">
        <v>6.3844249368990538E-2</v>
      </c>
      <c r="D6" s="36">
        <v>0.10182924789148232</v>
      </c>
      <c r="E6" s="37">
        <v>2.4005992818684006E-2</v>
      </c>
      <c r="M6" s="41"/>
      <c r="N6" s="41"/>
      <c r="O6" s="43"/>
      <c r="P6" s="43"/>
      <c r="Q6" s="43"/>
      <c r="R6" s="43"/>
      <c r="S6" s="43"/>
      <c r="T6" s="44"/>
      <c r="U6" s="41"/>
      <c r="V6" s="41"/>
      <c r="W6" s="41"/>
      <c r="X6" s="41"/>
    </row>
    <row r="7" spans="1:24" ht="15.75" customHeight="1" x14ac:dyDescent="0.25"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 spans="1:24" ht="15.75" customHeight="1" x14ac:dyDescent="0.25">
      <c r="A8" s="47" t="s">
        <v>19</v>
      </c>
      <c r="B8" s="48"/>
      <c r="C8" s="48"/>
      <c r="D8" s="48"/>
      <c r="E8" s="25"/>
      <c r="F8" s="25"/>
      <c r="G8" s="30"/>
      <c r="H8" s="14"/>
      <c r="I8" s="14"/>
      <c r="J8" s="14"/>
      <c r="K8" s="14"/>
      <c r="L8" s="14"/>
      <c r="M8" s="25"/>
      <c r="N8" s="25"/>
      <c r="O8" s="25"/>
      <c r="P8" s="25"/>
      <c r="Q8" s="25"/>
      <c r="R8" s="25"/>
      <c r="S8" s="30"/>
      <c r="T8" s="14"/>
      <c r="U8" s="14"/>
      <c r="V8" s="14"/>
      <c r="W8" s="14"/>
    </row>
    <row r="9" spans="1:24" ht="15.75" customHeight="1" x14ac:dyDescent="0.25">
      <c r="A9" s="48"/>
      <c r="B9" s="48"/>
      <c r="C9" s="48"/>
      <c r="D9" s="48"/>
      <c r="E9" s="25"/>
      <c r="F9" s="25"/>
      <c r="G9" s="30"/>
      <c r="H9" s="14"/>
      <c r="I9" s="14"/>
      <c r="J9" s="14"/>
      <c r="K9" s="14"/>
      <c r="L9" s="14"/>
      <c r="M9" s="25"/>
      <c r="N9" s="25"/>
      <c r="O9" s="25"/>
      <c r="P9" s="25"/>
      <c r="Q9" s="25"/>
      <c r="R9" s="25"/>
      <c r="S9" s="30"/>
      <c r="T9" s="14"/>
      <c r="U9" s="14"/>
      <c r="V9" s="14"/>
      <c r="W9" s="14"/>
    </row>
    <row r="10" spans="1:24" ht="30" customHeight="1" x14ac:dyDescent="0.25">
      <c r="A10" s="32" t="s">
        <v>1</v>
      </c>
      <c r="B10" s="32" t="s">
        <v>2</v>
      </c>
      <c r="C10" s="32" t="s">
        <v>16</v>
      </c>
      <c r="D10" s="32" t="s">
        <v>3</v>
      </c>
      <c r="E10" s="32" t="s">
        <v>4</v>
      </c>
      <c r="F10" s="32" t="s">
        <v>9</v>
      </c>
      <c r="G10" s="32" t="s">
        <v>5</v>
      </c>
      <c r="H10" s="32" t="s">
        <v>20</v>
      </c>
      <c r="I10" s="32" t="s">
        <v>6</v>
      </c>
      <c r="J10" s="32" t="s">
        <v>7</v>
      </c>
      <c r="K10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spans="1:24" ht="15.75" customHeight="1" x14ac:dyDescent="0.25">
      <c r="A11" s="4"/>
      <c r="B11" s="4" t="str" cm="1">
        <f t="array" ref="B11">IF(AND(Table35231227[[#This Row],[Ticker]]&lt;&gt;$A$5:$E$5, (A11="X")),"SELL","")</f>
        <v/>
      </c>
      <c r="C11" s="4" t="str">
        <f>IF(AND(A11="X",Table35231227[[#This Row],[SMA]]="Below SMA"),"SELL","")</f>
        <v/>
      </c>
      <c r="D11" s="4" t="str" cm="1">
        <f t="array" ref="D11">IF(AND(OR(Table35231227[[#This Row],[Ticker]]=$A$5:$E$5), AND(A11="",Table35231227[[#This Row],[SMA]]="Above SMA")),"BUY","")</f>
        <v>BUY</v>
      </c>
      <c r="E11" s="7" t="str" cm="1">
        <f t="array" ref="E11">IF(H11 &gt; Table_S_P_Stylebox_SMA[EFG_SMA], "Above SMA", "Below SMA")</f>
        <v>Above SMA</v>
      </c>
      <c r="F11" s="4" t="s">
        <v>45</v>
      </c>
      <c r="G11" s="28" t="e" vm="1">
        <v>#VALUE!</v>
      </c>
      <c r="H11" s="6" cm="1">
        <f t="array" ref="H11">_FV(G11,"Price")</f>
        <v>95.8</v>
      </c>
      <c r="I11" s="8" cm="1">
        <f t="array" ref="I11">(H11-Table_S_P_Stylebox_Y[EFG])/Table_S_P_Stylebox_Y[EFG]</f>
        <v>0.13560928528780342</v>
      </c>
      <c r="J11" s="26" t="str">
        <f t="shared" ref="J11:J30" si="0">IF(A11="x", 20%, "0%")</f>
        <v>0%</v>
      </c>
      <c r="K11"/>
      <c r="L11" s="4"/>
      <c r="M11" s="4"/>
      <c r="N11" s="4"/>
      <c r="O11" s="4"/>
      <c r="P11" s="4"/>
      <c r="Q11" s="4"/>
      <c r="R11" s="28"/>
      <c r="S11" s="6"/>
      <c r="T11" s="45"/>
      <c r="U11" s="26"/>
      <c r="V11" s="12"/>
    </row>
    <row r="12" spans="1:24" ht="15.75" customHeight="1" x14ac:dyDescent="0.25">
      <c r="A12" s="4"/>
      <c r="B12" s="4" t="str" cm="1">
        <f t="array" ref="B12">IF(AND(Table35231227[[#This Row],[Ticker]]&lt;&gt;$A$5:$E$5, (A12="X")),"SELL","")</f>
        <v/>
      </c>
      <c r="C12" s="4" t="str">
        <f>IF(AND(A12="X",Table35231227[[#This Row],[SMA]]="Below SMA"),"SELL","")</f>
        <v/>
      </c>
      <c r="D12" s="4" t="str" cm="1">
        <f t="array" ref="D12">IF(AND(OR(Table35231227[[#This Row],[Ticker]]=$A$5:$E$5), AND(A12="",Table35231227[[#This Row],[SMA]]="Above SMA")),"BUY","")</f>
        <v/>
      </c>
      <c r="E12" s="7" t="str" cm="1">
        <f t="array" ref="E12">IF(H12 &gt; Table_S_P_Stylebox_SMA[IVW_SMA], "Above SMA", "Below SMA")</f>
        <v>Above SMA</v>
      </c>
      <c r="F12" s="4" t="s">
        <v>47</v>
      </c>
      <c r="G12" s="28" t="e" vm="2">
        <v>#VALUE!</v>
      </c>
      <c r="H12" s="6" cm="1">
        <f t="array" ref="H12">_FV(G12,"Price")</f>
        <v>64.88</v>
      </c>
      <c r="I12" s="8" cm="1">
        <f t="array" ref="I12">(H12-Table_S_P_Stylebox_Y[IVW])/Table_S_P_Stylebox_Y[IVW]</f>
        <v>0.12651119778273132</v>
      </c>
      <c r="J12" s="26" t="str">
        <f t="shared" si="0"/>
        <v>0%</v>
      </c>
      <c r="K12"/>
      <c r="L12" s="4"/>
      <c r="M12" s="4"/>
      <c r="N12" s="4"/>
      <c r="O12" s="4"/>
      <c r="P12" s="4"/>
      <c r="Q12" s="4"/>
      <c r="R12" s="28"/>
      <c r="S12" s="6"/>
      <c r="T12" s="45"/>
      <c r="U12" s="26"/>
      <c r="V12" s="12"/>
    </row>
    <row r="13" spans="1:24" ht="15.75" x14ac:dyDescent="0.25">
      <c r="A13" s="4"/>
      <c r="B13" s="4" t="str" cm="1">
        <f t="array" ref="B13">IF(AND(Table35231227[[#This Row],[Ticker]]&lt;&gt;$A$5:$E$5, (A13="X")),"SELL","")</f>
        <v/>
      </c>
      <c r="C13" s="4" t="str">
        <f>IF(AND(A13="X",Table35231227[[#This Row],[SMA]]="Below SMA"),"SELL","")</f>
        <v/>
      </c>
      <c r="D13" s="4" t="str" cm="1">
        <f t="array" ref="D13">IF(AND(OR(Table35231227[[#This Row],[Ticker]]=$A$5:$E$5), AND(A13="",Table35231227[[#This Row],[SMA]]="Above SMA")),"BUY","")</f>
        <v>BUY</v>
      </c>
      <c r="E13" s="7" t="str" cm="1">
        <f t="array" ref="E13">IF(H13 &gt; Table_S_P_Stylebox_SMA[EFA_SMA], "Above SMA", "Below SMA")</f>
        <v>Above SMA</v>
      </c>
      <c r="F13" s="4" t="s">
        <v>43</v>
      </c>
      <c r="G13" s="28" t="e" vm="3">
        <v>#VALUE!</v>
      </c>
      <c r="H13" s="6" cm="1">
        <f t="array" ref="H13">_FV(G13,"Price")</f>
        <v>73.14</v>
      </c>
      <c r="I13" s="8" cm="1">
        <f t="array" ref="I13">(H13-Table_S_P_Stylebox_Y[EFA])/Table_S_P_Stylebox_Y[EFA]</f>
        <v>0.10450013065136272</v>
      </c>
      <c r="J13" s="26" t="str">
        <f t="shared" si="0"/>
        <v>0%</v>
      </c>
      <c r="K13"/>
      <c r="L13" s="4"/>
      <c r="M13" s="4"/>
      <c r="N13" s="4"/>
      <c r="O13" s="4"/>
      <c r="P13" s="4"/>
      <c r="Q13" s="4"/>
      <c r="R13" s="28"/>
      <c r="S13" s="6"/>
      <c r="T13" s="45"/>
      <c r="U13" s="26"/>
      <c r="V13" s="12"/>
    </row>
    <row r="14" spans="1:24" ht="15.75" x14ac:dyDescent="0.25">
      <c r="A14" s="4"/>
      <c r="B14" s="4" t="str" cm="1">
        <f t="array" ref="B14">IF(AND(Table35231227[[#This Row],[Ticker]]&lt;&gt;$A$5:$E$5, (A14="X")),"SELL","")</f>
        <v/>
      </c>
      <c r="C14" s="4" t="str">
        <f>IF(AND(A14="X",Table35231227[[#This Row],[SMA]]="Below SMA"),"SELL","")</f>
        <v/>
      </c>
      <c r="D14" s="4" t="str" cm="1">
        <f t="array" ref="D14">IF(AND(OR(Table35231227[[#This Row],[Ticker]]=$A$5:$E$5), AND(A14="",Table35231227[[#This Row],[SMA]]="Above SMA")),"BUY","")</f>
        <v>BUY</v>
      </c>
      <c r="E14" s="7" t="str" cm="1">
        <f t="array" ref="E14">IF(H14 &gt; Table_S_P_Stylebox_SMA[GLD_SMA], "Above SMA", "Below SMA")</f>
        <v>Above SMA</v>
      </c>
      <c r="F14" s="4" t="s">
        <v>23</v>
      </c>
      <c r="G14" s="28" t="e" vm="4">
        <v>#VALUE!</v>
      </c>
      <c r="H14" s="6" cm="1">
        <f t="array" ref="H14">_FV(G14,"Price")</f>
        <v>186.81</v>
      </c>
      <c r="I14" s="8" cm="1">
        <f t="array" ref="I14">(H14-Table_S_P_Stylebox_Y[GLD])/Table_S_P_Stylebox_Y[GLD]</f>
        <v>9.2072972443550699E-2</v>
      </c>
      <c r="J14" s="26" t="str">
        <f t="shared" si="0"/>
        <v>0%</v>
      </c>
      <c r="K14"/>
      <c r="L14" s="4"/>
      <c r="M14" s="4"/>
      <c r="N14" s="4"/>
      <c r="O14" s="4"/>
      <c r="P14" s="4"/>
      <c r="Q14" s="4"/>
      <c r="R14" s="28"/>
      <c r="S14" s="6"/>
      <c r="T14" s="45"/>
      <c r="U14" s="26"/>
      <c r="V14" s="12"/>
    </row>
    <row r="15" spans="1:24" ht="15.75" x14ac:dyDescent="0.25">
      <c r="A15" s="4"/>
      <c r="B15" s="4" t="str" cm="1">
        <f t="array" ref="B15">IF(AND(Table35231227[[#This Row],[Ticker]]&lt;&gt;$A$5:$E$5, (A15="X")),"SELL","")</f>
        <v/>
      </c>
      <c r="C15" s="4" t="str">
        <f>IF(AND(A15="X",Table35231227[[#This Row],[SMA]]="Below SMA"),"SELL","")</f>
        <v/>
      </c>
      <c r="D15" s="4" t="str" cm="1">
        <f t="array" ref="D15">IF(AND(OR(Table35231227[[#This Row],[Ticker]]=$A$5:$E$5), AND(A15="",Table35231227[[#This Row],[SMA]]="Above SMA")),"BUY","")</f>
        <v>BUY</v>
      </c>
      <c r="E15" s="7" t="str" cm="1">
        <f t="array" ref="E15">IF(H15 &gt; Table_S_P_Stylebox_SMA[IVV_SMA], "Above SMA", "Below SMA")</f>
        <v>Above SMA</v>
      </c>
      <c r="F15" s="4" t="s">
        <v>34</v>
      </c>
      <c r="G15" s="28" t="e" vm="5">
        <v>#VALUE!</v>
      </c>
      <c r="H15" s="6" cm="1">
        <f t="array" ref="H15">_FV(G15,"Price")</f>
        <v>413.41</v>
      </c>
      <c r="I15" s="8" cm="1">
        <f t="array" ref="I15">(H15-Table_S_P_Stylebox_Y[IVV])/Table_S_P_Stylebox_Y[IVV]</f>
        <v>8.5247902445269294E-2</v>
      </c>
      <c r="J15" s="26" t="str">
        <f t="shared" si="0"/>
        <v>0%</v>
      </c>
      <c r="K15"/>
      <c r="L15" s="4"/>
      <c r="M15" s="4"/>
      <c r="N15" s="4"/>
      <c r="O15" s="4"/>
      <c r="P15" s="4"/>
      <c r="Q15" s="4"/>
      <c r="R15" s="28"/>
      <c r="S15" s="6"/>
      <c r="T15" s="45"/>
      <c r="U15" s="26"/>
      <c r="V15" s="12"/>
    </row>
    <row r="16" spans="1:24" ht="15.75" x14ac:dyDescent="0.25">
      <c r="A16" s="4"/>
      <c r="B16" s="4" t="str" cm="1">
        <f t="array" ref="B16">IF(AND(Table35231227[[#This Row],[Ticker]]&lt;&gt;$A$5:$E$5, (A16="X")),"SELL","")</f>
        <v/>
      </c>
      <c r="C16" s="4" t="str">
        <f>IF(AND(A16="X",Table35231227[[#This Row],[SMA]]="Below SMA"),"SELL","")</f>
        <v/>
      </c>
      <c r="D16" s="4" t="str" cm="1">
        <f t="array" ref="D16">IF(AND(OR(Table35231227[[#This Row],[Ticker]]=$A$5:$E$5), AND(A16="",Table35231227[[#This Row],[SMA]]="Above SMA")),"BUY","")</f>
        <v>BUY</v>
      </c>
      <c r="E16" s="7" t="str" cm="1">
        <f t="array" ref="E16">IF(H16 &gt; Table_S_P_Stylebox_SMA[EFV_SMA], "Above SMA", "Below SMA")</f>
        <v>Above SMA</v>
      </c>
      <c r="F16" s="4" t="s">
        <v>44</v>
      </c>
      <c r="G16" s="28" t="e" vm="6">
        <v>#VALUE!</v>
      </c>
      <c r="H16" s="6" cm="1">
        <f t="array" ref="H16">_FV(G16,"Price")</f>
        <v>49.59</v>
      </c>
      <c r="I16" s="8" cm="1">
        <f t="array" ref="I16">(H16-Table_S_P_Stylebox_Y[EFV])/Table_S_P_Stylebox_Y[EFV]</f>
        <v>7.2216216216216295E-2</v>
      </c>
      <c r="J16" s="26" t="str">
        <f t="shared" si="0"/>
        <v>0%</v>
      </c>
      <c r="K16"/>
      <c r="L16" s="4"/>
      <c r="M16" s="4"/>
      <c r="N16" s="4"/>
      <c r="O16" s="4"/>
      <c r="P16" s="4"/>
      <c r="Q16" s="4"/>
      <c r="R16" s="28"/>
      <c r="S16" s="6"/>
      <c r="T16" s="45"/>
      <c r="U16" s="26"/>
      <c r="V16" s="12"/>
    </row>
    <row r="17" spans="1:22" ht="15.75" x14ac:dyDescent="0.25">
      <c r="A17" s="4"/>
      <c r="B17" s="4" t="str" cm="1">
        <f t="array" ref="B17">IF(AND(Table35231227[[#This Row],[Ticker]]&lt;&gt;$A$5:$E$5, (A17="X")),"SELL","")</f>
        <v/>
      </c>
      <c r="C17" s="4" t="str">
        <f>IF(AND(A17="X",Table35231227[[#This Row],[SMA]]="Below SMA"),"SELL","")</f>
        <v/>
      </c>
      <c r="D17" s="4" t="str" cm="1">
        <f t="array" ref="D17">IF(AND(OR(Table35231227[[#This Row],[Ticker]]=$A$5:$E$5), AND(A17="",Table35231227[[#This Row],[SMA]]="Above SMA")),"BUY","")</f>
        <v/>
      </c>
      <c r="E17" s="7" t="str" cm="1">
        <f t="array" ref="E17">IF(H17 &gt; Table_S_P_Stylebox_SMA[LTPZ_SMA], "Above SMA", "Below SMA")</f>
        <v>Above SMA</v>
      </c>
      <c r="F17" s="4" t="s">
        <v>30</v>
      </c>
      <c r="G17" s="28" t="e" vm="7">
        <v>#VALUE!</v>
      </c>
      <c r="H17" s="6" cm="1">
        <f t="array" ref="H17">_FV(G17,"Price")</f>
        <v>60.9</v>
      </c>
      <c r="I17" s="8" cm="1">
        <f t="array" ref="I17">(H17-Table_S_P_Stylebox_Y[LTPZ])/Table_S_P_Stylebox_Y[LTPZ]</f>
        <v>4.1146963372094933E-2</v>
      </c>
      <c r="J17" s="26" t="str">
        <f t="shared" si="0"/>
        <v>0%</v>
      </c>
      <c r="K17"/>
      <c r="L17" s="4"/>
      <c r="M17" s="4"/>
      <c r="N17" s="4"/>
      <c r="O17" s="4"/>
      <c r="P17" s="4"/>
      <c r="Q17" s="4"/>
      <c r="R17" s="28"/>
      <c r="S17" s="6"/>
      <c r="T17" s="45"/>
      <c r="U17" s="26"/>
      <c r="V17" s="12"/>
    </row>
    <row r="18" spans="1:22" ht="15.75" x14ac:dyDescent="0.25">
      <c r="A18" s="4"/>
      <c r="B18" s="4" t="str" cm="1">
        <f t="array" ref="B18">IF(AND(Table35231227[[#This Row],[Ticker]]&lt;&gt;$A$5:$E$5, (A18="X")),"SELL","")</f>
        <v/>
      </c>
      <c r="C18" s="4" t="str">
        <f>IF(AND(A18="X",Table35231227[[#This Row],[SMA]]="Below SMA"),"SELL","")</f>
        <v/>
      </c>
      <c r="D18" s="4" t="str" cm="1">
        <f t="array" ref="D18">IF(AND(OR(Table35231227[[#This Row],[Ticker]]=$A$5:$E$5), AND(A18="",Table35231227[[#This Row],[SMA]]="Above SMA")),"BUY","")</f>
        <v/>
      </c>
      <c r="E18" s="7" t="str" cm="1">
        <f t="array" ref="E18">IF(H18 &gt; Table_S_P_Stylebox_SMA[IVE_SMA], "Above SMA", "Below SMA")</f>
        <v>Above SMA</v>
      </c>
      <c r="F18" s="4" t="s">
        <v>35</v>
      </c>
      <c r="G18" s="28" t="e" vm="8">
        <v>#VALUE!</v>
      </c>
      <c r="H18" s="6" cm="1">
        <f t="array" ref="H18">_FV(G18,"Price")</f>
        <v>150.88999999999999</v>
      </c>
      <c r="I18" s="8" cm="1">
        <f t="array" ref="I18">(H18-Table_S_P_Stylebox_Y[IVE])/Table_S_P_Stylebox_Y[IVE]</f>
        <v>4.0378843440071893E-2</v>
      </c>
      <c r="J18" s="26" t="str">
        <f t="shared" si="0"/>
        <v>0%</v>
      </c>
      <c r="K18"/>
      <c r="L18" s="4"/>
      <c r="M18" s="4"/>
      <c r="N18" s="4"/>
      <c r="O18" s="4"/>
      <c r="P18" s="4"/>
      <c r="Q18" s="4"/>
      <c r="R18" s="28"/>
      <c r="S18" s="6"/>
      <c r="T18" s="45"/>
      <c r="U18" s="26"/>
      <c r="V18" s="12"/>
    </row>
    <row r="19" spans="1:22" ht="15.75" x14ac:dyDescent="0.25">
      <c r="A19" s="4"/>
      <c r="B19" s="4" t="str" cm="1">
        <f t="array" ref="B19">IF(AND(Table35231227[[#This Row],[Ticker]]&lt;&gt;$A$5:$E$5, (A19="X")),"SELL","")</f>
        <v/>
      </c>
      <c r="C19" s="4" t="str">
        <f>IF(AND(A19="X",Table35231227[[#This Row],[SMA]]="Below SMA"),"SELL","")</f>
        <v/>
      </c>
      <c r="D19" s="4" t="str" cm="1">
        <f t="array" ref="D19">IF(AND(OR(Table35231227[[#This Row],[Ticker]]=$A$5:$E$5), AND(A19="",Table35231227[[#This Row],[SMA]]="Above SMA")),"BUY","")</f>
        <v/>
      </c>
      <c r="E19" s="7" t="str" cm="1">
        <f t="array" ref="E19">IF(H19 &gt; Table_S_P_Stylebox_SMA[IEF_SMA], "Above SMA", "Below SMA")</f>
        <v>Above SMA</v>
      </c>
      <c r="F19" s="4" t="s">
        <v>25</v>
      </c>
      <c r="G19" s="28" t="e" vm="9">
        <v>#VALUE!</v>
      </c>
      <c r="H19" s="6" cm="1">
        <f t="array" ref="H19">_FV(G19,"Price")</f>
        <v>99.47</v>
      </c>
      <c r="I19" s="8" cm="1">
        <f t="array" ref="I19">(H19-Table_S_P_Stylebox_Y[IEF])/Table_S_P_Stylebox_Y[IEF]</f>
        <v>3.9322384218555856E-2</v>
      </c>
      <c r="J19" s="26" t="str">
        <f t="shared" si="0"/>
        <v>0%</v>
      </c>
      <c r="K19"/>
      <c r="L19" s="4"/>
      <c r="M19" s="4"/>
      <c r="N19" s="4"/>
      <c r="O19" s="4"/>
      <c r="P19" s="4"/>
      <c r="Q19" s="4"/>
      <c r="R19" s="28"/>
      <c r="S19" s="6"/>
      <c r="T19" s="45"/>
      <c r="U19" s="26"/>
      <c r="V19" s="12"/>
    </row>
    <row r="20" spans="1:22" ht="15.75" x14ac:dyDescent="0.25">
      <c r="A20" s="4"/>
      <c r="B20" s="4" t="str" cm="1">
        <f t="array" ref="B20">IF(AND(Table35231227[[#This Row],[Ticker]]&lt;&gt;$A$5:$E$5, (A20="X")),"SELL","")</f>
        <v/>
      </c>
      <c r="C20" s="4" t="str">
        <f>IF(AND(A20="X",Table35231227[[#This Row],[SMA]]="Below SMA"),"SELL","")</f>
        <v/>
      </c>
      <c r="D20" s="4" t="str" cm="1">
        <f t="array" ref="D20">IF(AND(OR(Table35231227[[#This Row],[Ticker]]=$A$5:$E$5), AND(A20="",Table35231227[[#This Row],[SMA]]="Above SMA")),"BUY","")</f>
        <v/>
      </c>
      <c r="E20" s="7" t="str" cm="1">
        <f t="array" ref="E20">IF(H20 &gt; Table_S_P_Stylebox_SMA[TLT_SMA], "Above SMA", "Below SMA")</f>
        <v>Above SMA</v>
      </c>
      <c r="F20" s="4" t="s">
        <v>24</v>
      </c>
      <c r="G20" s="28" t="e" vm="10">
        <v>#VALUE!</v>
      </c>
      <c r="H20" s="6" cm="1">
        <f t="array" ref="H20">_FV(G20,"Price")</f>
        <v>104.27</v>
      </c>
      <c r="I20" s="8" cm="1">
        <f t="array" ref="I20">(H20-Table_S_P_Stylebox_Y[TLT])/Table_S_P_Stylebox_Y[TLT]</f>
        <v>3.8110350289237094E-2</v>
      </c>
      <c r="J20" s="26" t="str">
        <f t="shared" si="0"/>
        <v>0%</v>
      </c>
      <c r="K20"/>
      <c r="L20" s="4"/>
      <c r="M20" s="4"/>
      <c r="N20" s="4"/>
      <c r="O20" s="4"/>
      <c r="P20" s="4"/>
      <c r="Q20" s="4"/>
      <c r="R20" s="28"/>
      <c r="S20" s="6"/>
      <c r="T20" s="45"/>
      <c r="U20" s="26"/>
      <c r="V20" s="12"/>
    </row>
    <row r="21" spans="1:22" ht="15.75" x14ac:dyDescent="0.25">
      <c r="A21" s="4"/>
      <c r="B21" s="4" t="str" cm="1">
        <f t="array" ref="B21">IF(AND(Table35231227[[#This Row],[Ticker]]&lt;&gt;$A$5:$E$5, (A21="X")),"SELL","")</f>
        <v/>
      </c>
      <c r="C21" s="4" t="str">
        <f>IF(AND(A21="X",Table35231227[[#This Row],[SMA]]="Below SMA"),"SELL","")</f>
        <v/>
      </c>
      <c r="D21" s="4" t="str" cm="1">
        <f t="array" ref="D21">IF(AND(OR(Table35231227[[#This Row],[Ticker]]=$A$5:$E$5), AND(A21="",Table35231227[[#This Row],[SMA]]="Above SMA")),"BUY","")</f>
        <v/>
      </c>
      <c r="E21" s="7" t="str" cm="1">
        <f t="array" ref="E21">IF(H21 &gt; Table_S_P_Stylebox_SMA[IJK_SMA], "Above SMA", "Below SMA")</f>
        <v>Above SMA</v>
      </c>
      <c r="F21" s="4" t="s">
        <v>37</v>
      </c>
      <c r="G21" s="28" t="e" vm="11">
        <v>#VALUE!</v>
      </c>
      <c r="H21" s="6" cm="1">
        <f t="array" ref="H21">_FV(G21,"Price")</f>
        <v>70.13</v>
      </c>
      <c r="I21" s="8" cm="1">
        <f t="array" ref="I21">(H21-Table_S_P_Stylebox_Y[IJK])/Table_S_P_Stylebox_Y[IJK]</f>
        <v>3.7781415902327392E-2</v>
      </c>
      <c r="J21" s="26" t="str">
        <f t="shared" si="0"/>
        <v>0%</v>
      </c>
      <c r="K21"/>
      <c r="L21" s="4"/>
      <c r="M21" s="4"/>
      <c r="N21" s="4"/>
      <c r="O21" s="4"/>
      <c r="P21" s="4"/>
      <c r="Q21" s="4"/>
      <c r="R21" s="28"/>
      <c r="S21" s="6"/>
      <c r="T21" s="45"/>
      <c r="U21" s="26"/>
      <c r="V21" s="12"/>
    </row>
    <row r="22" spans="1:22" ht="15.75" x14ac:dyDescent="0.25">
      <c r="A22" s="4"/>
      <c r="B22" s="4" t="str" cm="1">
        <f t="array" ref="B22">IF(AND(Table35231227[[#This Row],[Ticker]]&lt;&gt;$A$5:$E$5, (A22="X")),"SELL","")</f>
        <v/>
      </c>
      <c r="C22" s="4" t="str">
        <f>IF(AND(A22="X",Table35231227[[#This Row],[SMA]]="Below SMA"),"SELL","")</f>
        <v/>
      </c>
      <c r="D22" s="4" t="str" cm="1">
        <f t="array" ref="D22">IF(AND(OR(Table35231227[[#This Row],[Ticker]]=$A$5:$E$5), AND(A22="",Table35231227[[#This Row],[SMA]]="Above SMA")),"BUY","")</f>
        <v/>
      </c>
      <c r="E22" s="7" t="str" cm="1">
        <f t="array" ref="E22">IF(H22 &gt; Table_S_P_Stylebox_SMA[TIP_SMA], "Above SMA", "Below SMA")</f>
        <v>Above SMA</v>
      </c>
      <c r="F22" s="4" t="s">
        <v>31</v>
      </c>
      <c r="G22" s="28" t="e" vm="12">
        <v>#VALUE!</v>
      </c>
      <c r="H22" s="6" cm="1">
        <f t="array" ref="H22">_FV(G22,"Price")</f>
        <v>109.42</v>
      </c>
      <c r="I22" s="8" cm="1">
        <f t="array" ref="I22">(H22-Table_S_P_Stylebox_Y[TIP])/Table_S_P_Stylebox_Y[TIP]</f>
        <v>3.0844865372157276E-2</v>
      </c>
      <c r="J22" s="26" t="str">
        <f t="shared" si="0"/>
        <v>0%</v>
      </c>
      <c r="K22"/>
      <c r="L22" s="4"/>
      <c r="M22" s="4"/>
      <c r="N22" s="4"/>
      <c r="O22" s="4"/>
      <c r="P22" s="4"/>
      <c r="Q22" s="4"/>
      <c r="R22" s="28"/>
      <c r="S22" s="6"/>
      <c r="T22" s="45"/>
      <c r="U22" s="26"/>
      <c r="V22" s="12"/>
    </row>
    <row r="23" spans="1:22" ht="15.75" x14ac:dyDescent="0.25">
      <c r="A23" s="4"/>
      <c r="B23" s="4" t="str" cm="1">
        <f t="array" ref="B23">IF(AND(Table35231227[[#This Row],[Ticker]]&lt;&gt;$A$5:$E$5, (A23="X")),"SELL","")</f>
        <v/>
      </c>
      <c r="C23" s="4" t="str">
        <f>IF(AND(A23="X",Table35231227[[#This Row],[SMA]]="Below SMA"),"SELL","")</f>
        <v/>
      </c>
      <c r="D23" s="4" t="str" cm="1">
        <f t="array" ref="D23">IF(AND(OR(Table35231227[[#This Row],[Ticker]]=$A$5:$E$5), AND(A23="",Table35231227[[#This Row],[SMA]]="Above SMA")),"BUY","")</f>
        <v/>
      </c>
      <c r="E23" s="7" t="str" cm="1">
        <f t="array" ref="E23">IF(H23 &gt; Table_S_P_Stylebox_SMA[IJH_SMA], "Above SMA", "Below SMA")</f>
        <v>Below SMA</v>
      </c>
      <c r="F23" s="4" t="s">
        <v>36</v>
      </c>
      <c r="G23" s="28" t="e" vm="13">
        <v>#VALUE!</v>
      </c>
      <c r="H23" s="6" cm="1">
        <f t="array" ref="H23">_FV(G23,"Price")</f>
        <v>242.6</v>
      </c>
      <c r="I23" s="8" cm="1">
        <f t="array" ref="I23">(H23-Table_S_P_Stylebox_Y[IJH])/Table_S_P_Stylebox_Y[IJH]</f>
        <v>1.1729431324499844E-2</v>
      </c>
      <c r="J23" s="26" t="str">
        <f t="shared" si="0"/>
        <v>0%</v>
      </c>
      <c r="K23"/>
      <c r="L23" s="4"/>
      <c r="M23" s="4"/>
      <c r="N23" s="4"/>
      <c r="O23" s="4"/>
      <c r="P23" s="4"/>
      <c r="Q23" s="4"/>
      <c r="R23" s="28"/>
      <c r="S23" s="6"/>
      <c r="T23" s="45"/>
      <c r="U23" s="26"/>
      <c r="V23" s="12"/>
    </row>
    <row r="24" spans="1:22" ht="15.75" x14ac:dyDescent="0.25">
      <c r="A24" s="4"/>
      <c r="B24" s="4" t="str" cm="1">
        <f t="array" ref="B24">IF(AND(Table35231227[[#This Row],[Ticker]]&lt;&gt;$A$5:$E$5, (A24="X")),"SELL","")</f>
        <v/>
      </c>
      <c r="C24" s="4" t="str">
        <f>IF(AND(A24="X",Table35231227[[#This Row],[SMA]]="Below SMA"),"SELL","")</f>
        <v/>
      </c>
      <c r="D24" s="4" t="str" cm="1">
        <f t="array" ref="D24">IF(AND(OR(Table35231227[[#This Row],[Ticker]]=$A$5:$E$5), AND(A24="",Table35231227[[#This Row],[SMA]]="Above SMA")),"BUY","")</f>
        <v/>
      </c>
      <c r="E24" s="7" t="str" cm="1">
        <f t="array" ref="E24">IF(H24 &gt; Table_S_P_Stylebox_SMA[EEM_SMA], "Above SMA", "Below SMA")</f>
        <v>Above SMA</v>
      </c>
      <c r="F24" s="4" t="s">
        <v>46</v>
      </c>
      <c r="G24" s="28" t="e" vm="14">
        <v>#VALUE!</v>
      </c>
      <c r="H24" s="6" cm="1">
        <f t="array" ref="H24">_FV(G24,"Price")</f>
        <v>38.549999999999997</v>
      </c>
      <c r="I24" s="8" cm="1">
        <f t="array" ref="I24">(H24-Table_S_P_Stylebox_Y[EEM])/Table_S_P_Stylebox_Y[EEM]</f>
        <v>8.6341907053136737E-3</v>
      </c>
      <c r="J24" s="26" t="str">
        <f t="shared" si="0"/>
        <v>0%</v>
      </c>
      <c r="K24"/>
      <c r="L24" s="4"/>
      <c r="M24" s="4"/>
      <c r="N24" s="4"/>
      <c r="O24" s="4"/>
      <c r="P24" s="4"/>
      <c r="Q24" s="4"/>
      <c r="R24" s="28"/>
      <c r="S24" s="6"/>
      <c r="T24" s="45"/>
      <c r="U24" s="26"/>
      <c r="V24" s="12"/>
    </row>
    <row r="25" spans="1:22" ht="15.75" x14ac:dyDescent="0.25">
      <c r="A25" s="4"/>
      <c r="B25" s="4" t="str" cm="1">
        <f t="array" ref="B25">IF(AND(Table35231227[[#This Row],[Ticker]]&lt;&gt;$A$5:$E$5, (A25="X")),"SELL","")</f>
        <v/>
      </c>
      <c r="C25" s="4" t="str">
        <f>IF(AND(A25="X",Table35231227[[#This Row],[SMA]]="Below SMA"),"SELL","")</f>
        <v/>
      </c>
      <c r="D25" s="4" t="str" cm="1">
        <f t="array" ref="D25">IF(AND(OR(Table35231227[[#This Row],[Ticker]]=$A$5:$E$5), AND(A25="",Table35231227[[#This Row],[SMA]]="Above SMA")),"BUY","")</f>
        <v/>
      </c>
      <c r="E25" s="7" t="str" cm="1">
        <f t="array" ref="E25">IF(H25 &gt; Table_S_P_Stylebox_SMA[IJJ_SMA], "Above SMA", "Below SMA")</f>
        <v>Below SMA</v>
      </c>
      <c r="F25" s="4" t="s">
        <v>38</v>
      </c>
      <c r="G25" s="28" t="e" vm="15">
        <v>#VALUE!</v>
      </c>
      <c r="H25" s="6" cm="1">
        <f t="array" ref="H25">_FV(G25,"Price")</f>
        <v>98.47</v>
      </c>
      <c r="I25" s="8" cm="1">
        <f t="array" ref="I25">(H25-Table_S_P_Stylebox_Y[IJJ])/Table_S_P_Stylebox_Y[IJJ]</f>
        <v>-1.6931297628523238E-2</v>
      </c>
      <c r="J25" s="26" t="str">
        <f t="shared" si="0"/>
        <v>0%</v>
      </c>
      <c r="K25"/>
      <c r="L25" s="4"/>
      <c r="M25" s="4"/>
      <c r="N25" s="4"/>
      <c r="O25" s="4"/>
      <c r="P25" s="4"/>
      <c r="Q25" s="4"/>
      <c r="R25" s="28"/>
      <c r="S25" s="6"/>
      <c r="T25" s="45"/>
      <c r="U25" s="26"/>
      <c r="V25" s="12"/>
    </row>
    <row r="26" spans="1:22" ht="15.75" x14ac:dyDescent="0.25">
      <c r="A26" s="4"/>
      <c r="B26" s="4" t="str" cm="1">
        <f t="array" ref="B26">IF(AND(Table35231227[[#This Row],[Ticker]]&lt;&gt;$A$5:$E$5, (A26="X")),"SELL","")</f>
        <v/>
      </c>
      <c r="C26" s="4" t="str">
        <f>IF(AND(A26="X",Table35231227[[#This Row],[SMA]]="Below SMA"),"SELL","")</f>
        <v/>
      </c>
      <c r="D26" s="4" t="str" cm="1">
        <f t="array" ref="D26">IF(AND(OR(Table35231227[[#This Row],[Ticker]]=$A$5:$E$5), AND(A26="",Table35231227[[#This Row],[SMA]]="Above SMA")),"BUY","")</f>
        <v/>
      </c>
      <c r="E26" s="7" t="str" cm="1">
        <f t="array" ref="E26">IF(H26 &gt; Table_S_P_Stylebox_SMA[IJT_SMA], "Above SMA", "Below SMA")</f>
        <v>Below SMA</v>
      </c>
      <c r="F26" s="4" t="s">
        <v>41</v>
      </c>
      <c r="G26" s="28" t="e" vm="16">
        <v>#VALUE!</v>
      </c>
      <c r="H26" s="6" cm="1">
        <f t="array" ref="H26">_FV(G26,"Price")</f>
        <v>105.44</v>
      </c>
      <c r="I26" s="8" cm="1">
        <f t="array" ref="I26">(H26-Table_S_P_Stylebox_Y[IJT])/Table_S_P_Stylebox_Y[IJT]</f>
        <v>-1.7004772710347692E-2</v>
      </c>
      <c r="J26" s="26" t="str">
        <f t="shared" si="0"/>
        <v>0%</v>
      </c>
      <c r="K26"/>
      <c r="L26" s="4"/>
      <c r="M26" s="4"/>
      <c r="N26" s="4"/>
      <c r="O26" s="4"/>
      <c r="P26" s="4"/>
      <c r="Q26" s="4"/>
      <c r="R26" s="28"/>
      <c r="S26" s="6"/>
      <c r="T26" s="45"/>
      <c r="U26" s="26"/>
      <c r="V26" s="12"/>
    </row>
    <row r="27" spans="1:22" ht="15.75" x14ac:dyDescent="0.25">
      <c r="A27" s="4"/>
      <c r="B27" s="4" t="str" cm="1">
        <f t="array" ref="B27">IF(AND(Table35231227[[#This Row],[Ticker]]&lt;&gt;$A$5:$E$5, (A27="X")),"SELL","")</f>
        <v/>
      </c>
      <c r="C27" s="4" t="str">
        <f>IF(AND(A27="X",Table35231227[[#This Row],[SMA]]="Below SMA"),"SELL","")</f>
        <v/>
      </c>
      <c r="D27" s="4" t="str" cm="1">
        <f t="array" ref="D27">IF(AND(OR(Table35231227[[#This Row],[Ticker]]=$A$5:$E$5), AND(A27="",Table35231227[[#This Row],[SMA]]="Above SMA")),"BUY","")</f>
        <v/>
      </c>
      <c r="E27" s="7" t="str" cm="1">
        <f t="array" ref="E27">IF(H27 &gt; Table_S_P_Stylebox_SMA[IJR_SMA], "Above SMA", "Below SMA")</f>
        <v>Below SMA</v>
      </c>
      <c r="F27" s="4" t="s">
        <v>39</v>
      </c>
      <c r="G27" s="28" t="e" vm="17">
        <v>#VALUE!</v>
      </c>
      <c r="H27" s="6" cm="1">
        <f t="array" ref="H27">_FV(G27,"Price")</f>
        <v>91.81</v>
      </c>
      <c r="I27" s="8" cm="1">
        <f t="array" ref="I27">(H27-Table_S_P_Stylebox_Y[IJR])/Table_S_P_Stylebox_Y[IJR]</f>
        <v>-2.5030234973660435E-2</v>
      </c>
      <c r="J27" s="26" t="str">
        <f t="shared" si="0"/>
        <v>0%</v>
      </c>
      <c r="K27"/>
      <c r="L27" s="4"/>
      <c r="M27" s="4"/>
      <c r="N27" s="4"/>
      <c r="O27" s="4"/>
      <c r="P27" s="4"/>
      <c r="Q27" s="4"/>
      <c r="R27" s="28"/>
      <c r="S27" s="6"/>
      <c r="T27" s="45"/>
      <c r="U27" s="26"/>
      <c r="V27" s="12"/>
    </row>
    <row r="28" spans="1:22" ht="15.75" x14ac:dyDescent="0.25">
      <c r="A28" s="4"/>
      <c r="B28" s="4" t="str" cm="1">
        <f t="array" ref="B28">IF(AND(Table35231227[[#This Row],[Ticker]]&lt;&gt;$A$5:$E$5, (A28="X")),"SELL","")</f>
        <v/>
      </c>
      <c r="C28" s="4" t="str">
        <f>IF(AND(A28="X",Table35231227[[#This Row],[SMA]]="Below SMA"),"SELL","")</f>
        <v/>
      </c>
      <c r="D28" s="4" t="str" cm="1">
        <f t="array" ref="D28">IF(AND(OR(Table35231227[[#This Row],[Ticker]]=$A$5:$E$5), AND(A28="",Table35231227[[#This Row],[SMA]]="Above SMA")),"BUY","")</f>
        <v/>
      </c>
      <c r="E28" s="7" t="str" cm="1">
        <f t="array" ref="E28">IF(H28 &gt; Table_S_P_Stylebox_SMA[IJS_SMA], "Above SMA", "Below SMA")</f>
        <v>Below SMA</v>
      </c>
      <c r="F28" s="4" t="s">
        <v>40</v>
      </c>
      <c r="G28" s="28" t="e" vm="18">
        <v>#VALUE!</v>
      </c>
      <c r="H28" s="6" cm="1">
        <f t="array" ref="H28">_FV(G28,"Price")</f>
        <v>88.03</v>
      </c>
      <c r="I28" s="8" cm="1">
        <f t="array" ref="I28">(H28-Table_S_P_Stylebox_Y[IJS])/Table_S_P_Stylebox_Y[IJS]</f>
        <v>-3.2804082078807605E-2</v>
      </c>
      <c r="J28" s="26" t="str">
        <f t="shared" si="0"/>
        <v>0%</v>
      </c>
      <c r="K28"/>
      <c r="L28" s="4"/>
      <c r="M28" s="4"/>
      <c r="N28" s="4"/>
      <c r="O28" s="4"/>
      <c r="P28" s="4"/>
      <c r="Q28" s="4"/>
      <c r="R28" s="28"/>
      <c r="S28" s="6"/>
      <c r="T28" s="45"/>
      <c r="U28" s="26"/>
      <c r="V28" s="12"/>
    </row>
    <row r="29" spans="1:22" ht="15.75" x14ac:dyDescent="0.25">
      <c r="A29" s="4"/>
      <c r="B29" s="4" t="str" cm="1">
        <f t="array" ref="B29">IF(AND(Table35231227[[#This Row],[Ticker]]&lt;&gt;$A$5:$E$5, (A29="X")),"SELL","")</f>
        <v/>
      </c>
      <c r="C29" s="4" t="str">
        <f>IF(AND(A29="X",Table35231227[[#This Row],[SMA]]="Below SMA"),"SELL","")</f>
        <v/>
      </c>
      <c r="D29" s="4" t="str" cm="1">
        <f t="array" ref="D29">IF(AND(OR(Table35231227[[#This Row],[Ticker]]=$A$5:$E$5), AND(A29="",Table35231227[[#This Row],[SMA]]="Above SMA")),"BUY","")</f>
        <v/>
      </c>
      <c r="E29" s="7" t="str" cm="1">
        <f t="array" ref="E29">IF(H29 &gt; Table_S_P_Stylebox_SMA[PDBC_SMA], "Above SMA", "Below SMA")</f>
        <v>Below SMA</v>
      </c>
      <c r="F29" s="4" t="s">
        <v>22</v>
      </c>
      <c r="G29" s="28" t="e" vm="19">
        <v>#VALUE!</v>
      </c>
      <c r="H29" s="6" cm="1">
        <f t="array" ref="H29">_FV(G29,"Price")</f>
        <v>13.59</v>
      </c>
      <c r="I29" s="8" cm="1">
        <f t="array" ref="I29">(H29-Table_S_P_Stylebox_Y[PDBC])/Table_S_P_Stylebox_Y[PDBC]</f>
        <v>-5.6904917147474726E-2</v>
      </c>
      <c r="J29" s="26" t="str">
        <f t="shared" si="0"/>
        <v>0%</v>
      </c>
      <c r="K29"/>
      <c r="L29" s="4"/>
      <c r="M29" s="4"/>
      <c r="N29" s="4"/>
      <c r="O29" s="4"/>
      <c r="P29" s="4"/>
      <c r="Q29" s="4"/>
      <c r="R29" s="28"/>
      <c r="S29" s="6"/>
      <c r="T29" s="45"/>
      <c r="U29" s="26"/>
      <c r="V29" s="12"/>
    </row>
    <row r="30" spans="1:22" ht="15.75" x14ac:dyDescent="0.25">
      <c r="A30" s="4"/>
      <c r="B30" s="4" t="str" cm="1">
        <f t="array" ref="B30">IF(AND(Table35231227[[#This Row],[Ticker]]&lt;&gt;$A$5:$E$5, (A30="X")),"SELL","")</f>
        <v/>
      </c>
      <c r="C30" s="4" t="str">
        <f>IF(AND(A30="X",Table35231227[[#This Row],[SMA]]="Below SMA"),"SELL","")</f>
        <v/>
      </c>
      <c r="D30" s="4" t="str" cm="1">
        <f t="array" ref="D30">IF(AND(OR(Table35231227[[#This Row],[Ticker]]=$A$5:$E$5), AND(A30="",Table35231227[[#This Row],[SMA]]="Above SMA")),"BUY","")</f>
        <v/>
      </c>
      <c r="E30" s="7" t="str" cm="1">
        <f t="array" ref="E30">IF(H30 &gt; Table_S_P_Stylebox_SMA[FDM_SMA], "Above SMA", "Below SMA")</f>
        <v>Below SMA</v>
      </c>
      <c r="F30" s="4" t="s">
        <v>42</v>
      </c>
      <c r="G30" s="28" t="e" vm="20">
        <v>#VALUE!</v>
      </c>
      <c r="H30" s="6" cm="1">
        <f t="array" ref="H30">_FV(G30,"Price")</f>
        <v>50.371899999999997</v>
      </c>
      <c r="I30" s="8" cm="1">
        <f t="array" ref="I30">(H30-Table_S_P_Stylebox_Y[FDM])/Table_S_P_Stylebox_Y[FDM]</f>
        <v>-8.5023543015777525E-2</v>
      </c>
      <c r="J30" s="26" t="str">
        <f t="shared" si="0"/>
        <v>0%</v>
      </c>
      <c r="K30"/>
      <c r="L30" s="4"/>
      <c r="M30" s="4"/>
      <c r="N30" s="4"/>
      <c r="O30" s="4"/>
      <c r="P30" s="4"/>
      <c r="Q30" s="4"/>
      <c r="R30" s="28"/>
      <c r="S30" s="6"/>
      <c r="T30" s="45"/>
      <c r="U30" s="26"/>
      <c r="V30" s="12"/>
    </row>
    <row r="31" spans="1:22" ht="15.75" x14ac:dyDescent="0.25">
      <c r="A31" s="4"/>
      <c r="B31" s="4" t="str" cm="1">
        <f t="array" ref="B31">IF(AND(Table35231227[[#This Row],[Ticker]]&lt;&gt;$A$5:$E$5, (A31="X")),"SELL","")</f>
        <v/>
      </c>
      <c r="C31" s="4" t="str">
        <f>IF(AND(A31="X",Table35231227[[#This Row],[SMA]]="Below SMA"),"SELL","")</f>
        <v/>
      </c>
      <c r="D31" s="4" t="str" cm="1">
        <f t="array" ref="D31">IF(AND(OR(Table35231227[[#This Row],[Ticker]]=$A$5:$E$5), AND(A31="",Table35231227[[#This Row],[SMA]]="Above SMA")),"BUY","")</f>
        <v/>
      </c>
      <c r="E31" s="38"/>
      <c r="F31" s="4" t="s">
        <v>21</v>
      </c>
      <c r="G31" s="28" t="s">
        <v>8</v>
      </c>
      <c r="H31" s="6">
        <v>1</v>
      </c>
      <c r="I31" s="8"/>
      <c r="J31" s="26">
        <f>1-(SUM(J11:J30))</f>
        <v>1</v>
      </c>
      <c r="K31"/>
      <c r="L31" s="4"/>
      <c r="M31" s="4"/>
      <c r="N31" s="4"/>
      <c r="O31" s="4"/>
      <c r="P31" s="4"/>
      <c r="Q31" s="4"/>
      <c r="R31" s="28"/>
      <c r="S31" s="6"/>
      <c r="T31" s="45"/>
      <c r="U31" s="26"/>
      <c r="V31" s="12"/>
    </row>
    <row r="32" spans="1:22" ht="15.75" x14ac:dyDescent="0.25">
      <c r="D32"/>
      <c r="E32" s="7"/>
      <c r="F32" s="4"/>
      <c r="G32" s="28"/>
      <c r="H32" s="6"/>
      <c r="I32" s="11"/>
      <c r="J32" s="5">
        <f>SUM(Table35231227[Target %])</f>
        <v>1</v>
      </c>
      <c r="K32"/>
      <c r="L32"/>
      <c r="P32" s="4"/>
      <c r="Q32" s="4"/>
      <c r="R32" s="28"/>
      <c r="S32" s="6"/>
      <c r="T32" s="26"/>
      <c r="U32" s="5"/>
    </row>
    <row r="33" spans="6:19" x14ac:dyDescent="0.25">
      <c r="G33" s="31"/>
      <c r="H33" s="3"/>
    </row>
    <row r="35" spans="6:19" x14ac:dyDescent="0.25">
      <c r="F35" s="29"/>
      <c r="Q35" s="9"/>
    </row>
    <row r="37" spans="6:19" ht="23.25" x14ac:dyDescent="0.25">
      <c r="I37" s="25"/>
      <c r="J37" s="27"/>
      <c r="K37" s="27"/>
      <c r="L37" s="27"/>
      <c r="M37" s="25"/>
      <c r="N37" s="25"/>
      <c r="O37" s="30"/>
      <c r="P37" s="14"/>
      <c r="Q37" s="14"/>
      <c r="R37" s="14"/>
      <c r="S37" s="14"/>
    </row>
    <row r="38" spans="6:19" ht="23.25" x14ac:dyDescent="0.25">
      <c r="I38" s="27"/>
      <c r="J38" s="27"/>
      <c r="K38" s="27"/>
      <c r="L38" s="27"/>
      <c r="M38" s="25"/>
      <c r="N38" s="25"/>
      <c r="O38" s="30"/>
      <c r="P38" s="14"/>
      <c r="Q38" s="14"/>
      <c r="R38" s="14"/>
      <c r="S38" s="14"/>
    </row>
    <row r="39" spans="6:19" ht="21" x14ac:dyDescent="0.25"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6:19" ht="15.75" x14ac:dyDescent="0.25">
      <c r="I40" s="4"/>
      <c r="J40" s="4"/>
      <c r="K40" s="4"/>
      <c r="L40" s="4"/>
      <c r="M40" s="4"/>
      <c r="N40" s="4"/>
      <c r="O40" s="28"/>
      <c r="P40" s="6"/>
      <c r="Q40" s="40"/>
      <c r="R40" s="26"/>
      <c r="S40" s="12"/>
    </row>
    <row r="41" spans="6:19" ht="15.75" x14ac:dyDescent="0.25">
      <c r="I41" s="4"/>
      <c r="J41" s="4"/>
      <c r="K41" s="4"/>
      <c r="L41" s="4"/>
      <c r="M41" s="4"/>
      <c r="N41" s="4"/>
      <c r="O41" s="28"/>
      <c r="P41" s="6"/>
      <c r="Q41" s="40"/>
      <c r="R41" s="26"/>
      <c r="S41" s="12"/>
    </row>
    <row r="42" spans="6:19" ht="15.75" x14ac:dyDescent="0.25">
      <c r="I42" s="4"/>
      <c r="J42" s="4"/>
      <c r="K42" s="4"/>
      <c r="L42" s="4"/>
      <c r="M42" s="4"/>
      <c r="N42" s="4"/>
      <c r="O42" s="28"/>
      <c r="P42" s="6"/>
      <c r="Q42" s="40"/>
      <c r="R42" s="26"/>
      <c r="S42" s="12"/>
    </row>
    <row r="43" spans="6:19" ht="15.75" x14ac:dyDescent="0.25">
      <c r="I43" s="4"/>
      <c r="J43" s="4"/>
      <c r="K43" s="4"/>
      <c r="L43" s="4"/>
      <c r="M43" s="4"/>
      <c r="N43" s="4"/>
      <c r="O43" s="28"/>
      <c r="P43" s="6"/>
      <c r="Q43" s="40"/>
      <c r="R43" s="26"/>
      <c r="S43" s="12"/>
    </row>
    <row r="44" spans="6:19" ht="15.75" x14ac:dyDescent="0.25">
      <c r="I44" s="4"/>
      <c r="J44" s="4"/>
      <c r="K44" s="4"/>
      <c r="L44" s="4"/>
      <c r="M44" s="4"/>
      <c r="N44" s="4"/>
      <c r="O44" s="28"/>
      <c r="P44" s="6"/>
      <c r="Q44" s="40"/>
      <c r="R44" s="26"/>
      <c r="S44" s="12"/>
    </row>
    <row r="45" spans="6:19" ht="15.75" x14ac:dyDescent="0.25">
      <c r="I45" s="4"/>
      <c r="J45" s="4"/>
      <c r="K45" s="4"/>
      <c r="L45" s="4"/>
      <c r="M45" s="4"/>
      <c r="N45" s="4"/>
      <c r="O45" s="28"/>
      <c r="P45" s="6"/>
      <c r="Q45" s="40"/>
      <c r="R45" s="26"/>
      <c r="S45" s="12"/>
    </row>
    <row r="46" spans="6:19" ht="15.75" x14ac:dyDescent="0.25">
      <c r="I46" s="4"/>
      <c r="J46" s="4"/>
      <c r="K46" s="4"/>
      <c r="L46" s="4"/>
      <c r="M46" s="4"/>
      <c r="N46" s="4"/>
      <c r="O46" s="28"/>
      <c r="P46" s="6"/>
      <c r="Q46" s="40"/>
      <c r="R46" s="26"/>
      <c r="S46" s="12"/>
    </row>
    <row r="47" spans="6:19" ht="15.75" x14ac:dyDescent="0.25">
      <c r="I47" s="4"/>
      <c r="J47" s="4"/>
      <c r="K47" s="4"/>
      <c r="L47" s="4"/>
      <c r="M47" s="4"/>
      <c r="N47" s="4"/>
      <c r="O47" s="28"/>
      <c r="P47" s="6"/>
      <c r="Q47" s="40"/>
      <c r="R47" s="26"/>
      <c r="S47" s="12"/>
    </row>
    <row r="48" spans="6:19" ht="15.75" x14ac:dyDescent="0.25">
      <c r="I48" s="4"/>
      <c r="J48" s="4"/>
      <c r="K48" s="4"/>
      <c r="L48" s="4"/>
      <c r="M48" s="4"/>
      <c r="N48" s="4"/>
      <c r="O48" s="28"/>
      <c r="P48" s="6"/>
      <c r="Q48" s="40"/>
      <c r="R48" s="26"/>
      <c r="S48" s="12"/>
    </row>
    <row r="49" spans="9:19" ht="15.75" x14ac:dyDescent="0.25">
      <c r="I49" s="4"/>
      <c r="J49" s="4"/>
      <c r="K49" s="4"/>
      <c r="L49" s="4"/>
      <c r="M49" s="4"/>
      <c r="N49" s="4"/>
      <c r="O49" s="28"/>
      <c r="P49" s="6"/>
      <c r="Q49" s="40"/>
      <c r="R49" s="26"/>
      <c r="S49" s="12"/>
    </row>
    <row r="50" spans="9:19" ht="15.75" x14ac:dyDescent="0.25">
      <c r="I50" s="4"/>
      <c r="J50" s="4"/>
      <c r="K50" s="4"/>
      <c r="L50" s="4"/>
      <c r="M50" s="4"/>
      <c r="N50" s="4"/>
      <c r="O50" s="28"/>
      <c r="P50" s="6"/>
      <c r="Q50" s="40"/>
      <c r="R50" s="26"/>
      <c r="S50" s="12"/>
    </row>
    <row r="51" spans="9:19" ht="15.75" x14ac:dyDescent="0.25">
      <c r="I51" s="4"/>
      <c r="J51" s="4"/>
      <c r="K51" s="4"/>
      <c r="L51" s="4"/>
      <c r="M51" s="4"/>
      <c r="N51" s="4"/>
      <c r="O51" s="28"/>
      <c r="P51" s="6"/>
      <c r="Q51" s="40"/>
      <c r="R51" s="26"/>
      <c r="S51" s="12"/>
    </row>
    <row r="52" spans="9:19" ht="15.75" x14ac:dyDescent="0.25">
      <c r="I52" s="4"/>
      <c r="J52" s="4"/>
      <c r="K52" s="4"/>
      <c r="L52" s="4"/>
      <c r="M52" s="4"/>
      <c r="N52" s="4"/>
      <c r="O52" s="28"/>
      <c r="P52" s="6"/>
      <c r="Q52" s="40"/>
      <c r="R52" s="26"/>
      <c r="S52" s="12"/>
    </row>
    <row r="53" spans="9:19" ht="15.75" x14ac:dyDescent="0.25">
      <c r="I53" s="4"/>
      <c r="J53" s="4"/>
      <c r="K53" s="4"/>
      <c r="L53" s="4"/>
      <c r="M53" s="4"/>
      <c r="N53" s="4"/>
      <c r="O53" s="28"/>
      <c r="P53" s="6"/>
      <c r="Q53" s="40"/>
      <c r="R53" s="26"/>
      <c r="S53" s="12"/>
    </row>
    <row r="54" spans="9:19" ht="15.75" x14ac:dyDescent="0.25">
      <c r="I54" s="4"/>
      <c r="J54" s="4"/>
      <c r="K54" s="4"/>
      <c r="L54" s="4"/>
      <c r="M54" s="4"/>
      <c r="N54" s="4"/>
      <c r="O54" s="28"/>
      <c r="P54" s="6"/>
      <c r="Q54" s="40"/>
      <c r="R54" s="26"/>
      <c r="S54" s="12"/>
    </row>
    <row r="55" spans="9:19" ht="15.75" x14ac:dyDescent="0.25">
      <c r="I55" s="4"/>
      <c r="J55" s="4"/>
      <c r="K55" s="4"/>
      <c r="L55" s="4"/>
      <c r="M55" s="4"/>
      <c r="N55" s="4"/>
      <c r="O55" s="28"/>
      <c r="P55" s="6"/>
      <c r="Q55" s="40"/>
      <c r="R55" s="26"/>
      <c r="S55" s="12"/>
    </row>
    <row r="56" spans="9:19" ht="15.75" x14ac:dyDescent="0.25">
      <c r="I56" s="4"/>
      <c r="J56" s="4"/>
      <c r="K56" s="4"/>
      <c r="L56" s="4"/>
      <c r="M56" s="4"/>
      <c r="N56" s="4"/>
      <c r="O56" s="28"/>
      <c r="P56" s="6"/>
      <c r="Q56" s="40"/>
      <c r="R56" s="26"/>
      <c r="S56" s="12"/>
    </row>
    <row r="57" spans="9:19" ht="15.75" x14ac:dyDescent="0.25">
      <c r="I57" s="4"/>
      <c r="J57" s="4"/>
      <c r="K57" s="4"/>
      <c r="L57" s="4"/>
      <c r="M57" s="4"/>
      <c r="N57" s="4"/>
      <c r="O57" s="28"/>
      <c r="P57" s="6"/>
      <c r="Q57" s="40"/>
      <c r="R57" s="26"/>
      <c r="S57" s="12"/>
    </row>
    <row r="58" spans="9:19" ht="15.75" x14ac:dyDescent="0.25">
      <c r="I58"/>
      <c r="J58"/>
      <c r="K58"/>
      <c r="L58"/>
      <c r="M58" s="4"/>
      <c r="N58" s="4"/>
      <c r="O58" s="28"/>
      <c r="P58" s="6"/>
      <c r="Q58" s="26"/>
      <c r="R58" s="5"/>
    </row>
  </sheetData>
  <mergeCells count="2">
    <mergeCell ref="A8:D9"/>
    <mergeCell ref="A2:E3"/>
  </mergeCells>
  <phoneticPr fontId="3" type="noConversion"/>
  <conditionalFormatting sqref="E11:G31">
    <cfRule type="containsText" dxfId="39" priority="13" operator="containsText" text="Below">
      <formula>NOT(ISERROR(SEARCH("Below",E11)))</formula>
    </cfRule>
    <cfRule type="containsText" dxfId="38" priority="14" operator="containsText" text="Above">
      <formula>NOT(ISERROR(SEARCH("Above",E11)))</formula>
    </cfRule>
  </conditionalFormatting>
  <conditionalFormatting sqref="G33:H33">
    <cfRule type="containsText" dxfId="37" priority="11" operator="containsText" text="Below">
      <formula>NOT(ISERROR(SEARCH("Below",G33)))</formula>
    </cfRule>
    <cfRule type="containsText" dxfId="36" priority="12" operator="containsText" text="Above">
      <formula>NOT(ISERROR(SEARCH("Above",G33)))</formula>
    </cfRule>
  </conditionalFormatting>
  <conditionalFormatting sqref="I11:I31">
    <cfRule type="cellIs" dxfId="35" priority="9" operator="between">
      <formula>-0.000001</formula>
      <formula>-100</formula>
    </cfRule>
    <cfRule type="cellIs" dxfId="34" priority="10" operator="between">
      <formula>0</formula>
      <formula>100</formula>
    </cfRule>
  </conditionalFormatting>
  <conditionalFormatting sqref="P11:R31">
    <cfRule type="containsText" dxfId="33" priority="7" operator="containsText" text="Below">
      <formula>NOT(ISERROR(SEARCH("Below",P11)))</formula>
    </cfRule>
    <cfRule type="containsText" dxfId="32" priority="8" operator="containsText" text="Above">
      <formula>NOT(ISERROR(SEARCH("Above",P11)))</formula>
    </cfRule>
  </conditionalFormatting>
  <conditionalFormatting sqref="T11:T31">
    <cfRule type="cellIs" dxfId="31" priority="5" operator="between">
      <formula>-0.000001</formula>
      <formula>-100</formula>
    </cfRule>
    <cfRule type="cellIs" dxfId="30" priority="6" operator="between">
      <formula>0</formula>
      <formula>100</formula>
    </cfRule>
  </conditionalFormatting>
  <conditionalFormatting sqref="M40:O57">
    <cfRule type="containsText" dxfId="29" priority="3" operator="containsText" text="Below">
      <formula>NOT(ISERROR(SEARCH("Below",M40)))</formula>
    </cfRule>
    <cfRule type="containsText" dxfId="28" priority="4" operator="containsText" text="Above">
      <formula>NOT(ISERROR(SEARCH("Above",M40)))</formula>
    </cfRule>
  </conditionalFormatting>
  <conditionalFormatting sqref="Q40:Q57">
    <cfRule type="cellIs" dxfId="27" priority="1" operator="between">
      <formula>-0.000001</formula>
      <formula>-100</formula>
    </cfRule>
    <cfRule type="cellIs" dxfId="26" priority="2" operator="between">
      <formula>0</formula>
      <formula>100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DBE2-A028-4B3B-8F39-6C4AFC18C9A5}">
  <dimension ref="A1:CG9"/>
  <sheetViews>
    <sheetView zoomScale="60" zoomScaleNormal="60" workbookViewId="0">
      <selection activeCell="J17" sqref="J17"/>
    </sheetView>
  </sheetViews>
  <sheetFormatPr defaultRowHeight="15" x14ac:dyDescent="0.25"/>
  <cols>
    <col min="1" max="77" width="12.7109375" customWidth="1"/>
  </cols>
  <sheetData>
    <row r="1" spans="1:85" ht="15.75" thickBot="1" x14ac:dyDescent="0.3">
      <c r="A1" s="19"/>
      <c r="B1" s="20" t="str">
        <f>Table_S_P_Stylebox_MOM[[#Headers],[EEM]]</f>
        <v>EEM</v>
      </c>
      <c r="C1" s="20" t="str">
        <f>Table_S_P_Stylebox_MOM[[#Headers],[EFA]]</f>
        <v>EFA</v>
      </c>
      <c r="D1" s="20" t="str">
        <f>Table_S_P_Stylebox_MOM[[#Headers],[EFG]]</f>
        <v>EFG</v>
      </c>
      <c r="E1" s="20" t="str">
        <f>Table_S_P_Stylebox_MOM[[#Headers],[EFV]]</f>
        <v>EFV</v>
      </c>
      <c r="F1" s="20" t="str">
        <f>Table_S_P_Stylebox_MOM[[#Headers],[FDM]]</f>
        <v>FDM</v>
      </c>
      <c r="G1" s="20" t="str">
        <f>Table_S_P_Stylebox_MOM[[#Headers],[GLD]]</f>
        <v>GLD</v>
      </c>
      <c r="H1" s="20" t="str">
        <f>Table_S_P_Stylebox_MOM[[#Headers],[IEF]]</f>
        <v>IEF</v>
      </c>
      <c r="I1" s="20" t="str">
        <f>Table_S_P_Stylebox_MOM[[#Headers],[IJH]]</f>
        <v>IJH</v>
      </c>
      <c r="J1" s="20" t="str">
        <f>Table_S_P_Stylebox_MOM[[#Headers],[IJJ]]</f>
        <v>IJJ</v>
      </c>
      <c r="K1" s="20" t="str">
        <f>Table_S_P_Stylebox_MOM[[#Headers],[IJK]]</f>
        <v>IJK</v>
      </c>
      <c r="L1" s="20" t="str">
        <f>Table_S_P_Stylebox_MOM[[#Headers],[IJR]]</f>
        <v>IJR</v>
      </c>
      <c r="M1" s="20" t="str">
        <f>Table_S_P_Stylebox_MOM[[#Headers],[IJS]]</f>
        <v>IJS</v>
      </c>
      <c r="N1" s="20" t="str">
        <f>Table_S_P_Stylebox_MOM[[#Headers],[IJT]]</f>
        <v>IJT</v>
      </c>
      <c r="O1" s="20" t="str">
        <f>Table_S_P_Stylebox_MOM[[#Headers],[IVE]]</f>
        <v>IVE</v>
      </c>
      <c r="P1" s="20" t="str">
        <f>Table_S_P_Stylebox_MOM[[#Headers],[IVV]]</f>
        <v>IVV</v>
      </c>
      <c r="Q1" s="20" t="str">
        <f>Table_S_P_Stylebox_MOM[[#Headers],[IVW]]</f>
        <v>IVW</v>
      </c>
      <c r="R1" s="20" t="str">
        <f>Table_S_P_Stylebox_MOM[[#Headers],[LTPZ]]</f>
        <v>LTPZ</v>
      </c>
      <c r="S1" s="20" t="str">
        <f>Table_S_P_Stylebox_MOM[[#Headers],[PDBC]]</f>
        <v>PDBC</v>
      </c>
      <c r="T1" s="20" t="str">
        <f>Table_S_P_Stylebox_MOM[[#Headers],[TIP]]</f>
        <v>TIP</v>
      </c>
      <c r="U1" s="20" t="str">
        <f>Table_S_P_Stylebox_MOM[[#Headers],[TLT]]</f>
        <v>TLT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</row>
    <row r="2" spans="1:85" ht="19.5" thickBot="1" x14ac:dyDescent="0.35">
      <c r="A2" s="21" t="s">
        <v>17</v>
      </c>
      <c r="B2" s="22">
        <f t="shared" ref="B2:U2" si="0">IF(B3 &gt; 0, B3, 0%)</f>
        <v>0</v>
      </c>
      <c r="C2" s="22">
        <f t="shared" si="0"/>
        <v>8.0891420313622758E-2</v>
      </c>
      <c r="D2" s="22">
        <f t="shared" si="0"/>
        <v>9.5988920781198583E-2</v>
      </c>
      <c r="E2" s="22">
        <f t="shared" si="0"/>
        <v>6.3844249368990538E-2</v>
      </c>
      <c r="F2" s="22">
        <f t="shared" si="0"/>
        <v>0</v>
      </c>
      <c r="G2" s="22">
        <f t="shared" si="0"/>
        <v>0.10182924789148232</v>
      </c>
      <c r="H2" s="22">
        <f t="shared" si="0"/>
        <v>1.317008577483072E-2</v>
      </c>
      <c r="I2" s="22">
        <f t="shared" si="0"/>
        <v>0</v>
      </c>
      <c r="J2" s="22">
        <f t="shared" si="0"/>
        <v>0</v>
      </c>
      <c r="K2" s="22">
        <f t="shared" si="0"/>
        <v>0</v>
      </c>
      <c r="L2" s="22">
        <f t="shared" si="0"/>
        <v>0</v>
      </c>
      <c r="M2" s="22">
        <f t="shared" si="0"/>
        <v>0</v>
      </c>
      <c r="N2" s="22">
        <f t="shared" si="0"/>
        <v>0</v>
      </c>
      <c r="O2" s="22">
        <f t="shared" si="0"/>
        <v>1.9916428732908109E-2</v>
      </c>
      <c r="P2" s="22">
        <f t="shared" si="0"/>
        <v>2.4005992818684006E-2</v>
      </c>
      <c r="Q2" s="22">
        <f t="shared" si="0"/>
        <v>2.2449604326210525E-2</v>
      </c>
      <c r="R2" s="22">
        <f t="shared" si="0"/>
        <v>0</v>
      </c>
      <c r="S2" s="22">
        <f t="shared" si="0"/>
        <v>0</v>
      </c>
      <c r="T2" s="22">
        <f t="shared" si="0"/>
        <v>0</v>
      </c>
      <c r="U2" s="22">
        <f t="shared" si="0"/>
        <v>0</v>
      </c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</row>
    <row r="3" spans="1:85" ht="15.75" x14ac:dyDescent="0.25">
      <c r="A3" s="10" t="s">
        <v>15</v>
      </c>
      <c r="B3" s="18">
        <f t="shared" ref="B3:U3" si="1">AVERAGE(B4:B8)</f>
        <v>-1.9577042783842445E-2</v>
      </c>
      <c r="C3" s="18">
        <f t="shared" si="1"/>
        <v>8.0891420313622758E-2</v>
      </c>
      <c r="D3" s="18">
        <f t="shared" si="1"/>
        <v>9.5988920781198583E-2</v>
      </c>
      <c r="E3" s="18">
        <f t="shared" si="1"/>
        <v>6.3844249368990538E-2</v>
      </c>
      <c r="F3" s="18">
        <f t="shared" si="1"/>
        <v>-9.7782785847458364E-2</v>
      </c>
      <c r="G3" s="18">
        <f t="shared" si="1"/>
        <v>0.10182924789148232</v>
      </c>
      <c r="H3" s="18">
        <f t="shared" si="1"/>
        <v>1.317008577483072E-2</v>
      </c>
      <c r="I3" s="18">
        <f t="shared" si="1"/>
        <v>-2.7149574764181738E-2</v>
      </c>
      <c r="J3" s="18">
        <f t="shared" si="1"/>
        <v>-4.5942352963196223E-2</v>
      </c>
      <c r="K3" s="18">
        <f t="shared" si="1"/>
        <v>-1.1619909104163773E-2</v>
      </c>
      <c r="L3" s="18">
        <f t="shared" si="1"/>
        <v>-6.7444787613412549E-2</v>
      </c>
      <c r="M3" s="18">
        <f t="shared" si="1"/>
        <v>-7.5589970887412788E-2</v>
      </c>
      <c r="N3" s="18">
        <f t="shared" si="1"/>
        <v>-6.1271160052554417E-2</v>
      </c>
      <c r="O3" s="18">
        <f t="shared" si="1"/>
        <v>1.9916428732908109E-2</v>
      </c>
      <c r="P3" s="18">
        <f t="shared" si="1"/>
        <v>2.4005992818684006E-2</v>
      </c>
      <c r="Q3" s="18">
        <f t="shared" si="1"/>
        <v>2.2449604326210525E-2</v>
      </c>
      <c r="R3" s="18">
        <f t="shared" si="1"/>
        <v>-1.9415291894694507E-2</v>
      </c>
      <c r="S3" s="18">
        <f t="shared" si="1"/>
        <v>-0.10238401695970197</v>
      </c>
      <c r="T3" s="18">
        <f t="shared" si="1"/>
        <v>-6.2636315282385004E-4</v>
      </c>
      <c r="U3" s="18">
        <f t="shared" si="1"/>
        <v>-1.6605991537615262E-2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</row>
    <row r="4" spans="1:85" ht="15.75" x14ac:dyDescent="0.25">
      <c r="A4" s="10" t="s">
        <v>10</v>
      </c>
      <c r="B4" s="18">
        <f>((1+'S&amp;P_Stylebox_MOM'!B14)*(1+'S&amp;P_Stylebox_MOM'!B13)*(1+'S&amp;P_Stylebox_MOM'!B12)*(1+'S&amp;P_Stylebox_MOM'!B11)*(1+'S&amp;P_Stylebox_MOM'!B10)*(1+'S&amp;P_Stylebox_MOM'!B9)*(1+'S&amp;P_Stylebox_MOM'!B8)*(1+'S&amp;P_Stylebox_MOM'!B7)*(1+'S&amp;P_Stylebox_MOM'!B6)*(1+'S&amp;P_Stylebox_MOM'!B5)*(1+'S&amp;P_Stylebox_MOM'!B4)*(1+'S&amp;P_Stylebox_MOM'!B3))-1</f>
        <v>-7.4339617525829516E-2</v>
      </c>
      <c r="C4" s="18">
        <f>((1+'S&amp;P_Stylebox_MOM'!C14)*(1+'S&amp;P_Stylebox_MOM'!C13)*(1+'S&amp;P_Stylebox_MOM'!C12)*(1+'S&amp;P_Stylebox_MOM'!C11)*(1+'S&amp;P_Stylebox_MOM'!C10)*(1+'S&amp;P_Stylebox_MOM'!C9)*(1+'S&amp;P_Stylebox_MOM'!C8)*(1+'S&amp;P_Stylebox_MOM'!C7)*(1+'S&amp;P_Stylebox_MOM'!C6)*(1+'S&amp;P_Stylebox_MOM'!C5)*(1+'S&amp;P_Stylebox_MOM'!C4)*(1+'S&amp;P_Stylebox_MOM'!C3))-1</f>
        <v>7.2101480191590017E-2</v>
      </c>
      <c r="D4" s="18">
        <f>((1+'S&amp;P_Stylebox_MOM'!D14)*(1+'S&amp;P_Stylebox_MOM'!D13)*(1+'S&amp;P_Stylebox_MOM'!D12)*(1+'S&amp;P_Stylebox_MOM'!D11)*(1+'S&amp;P_Stylebox_MOM'!D10)*(1+'S&amp;P_Stylebox_MOM'!D9)*(1+'S&amp;P_Stylebox_MOM'!D8)*(1+'S&amp;P_Stylebox_MOM'!D7)*(1+'S&amp;P_Stylebox_MOM'!D6)*(1+'S&amp;P_Stylebox_MOM'!D5)*(1+'S&amp;P_Stylebox_MOM'!D4)*(1+'S&amp;P_Stylebox_MOM'!D3))-1</f>
        <v>9.5588346924469159E-2</v>
      </c>
      <c r="E4" s="18">
        <f>((1+'S&amp;P_Stylebox_MOM'!E14)*(1+'S&amp;P_Stylebox_MOM'!E13)*(1+'S&amp;P_Stylebox_MOM'!E12)*(1+'S&amp;P_Stylebox_MOM'!E11)*(1+'S&amp;P_Stylebox_MOM'!E10)*(1+'S&amp;P_Stylebox_MOM'!E9)*(1+'S&amp;P_Stylebox_MOM'!E8)*(1+'S&amp;P_Stylebox_MOM'!E7)*(1+'S&amp;P_Stylebox_MOM'!E6)*(1+'S&amp;P_Stylebox_MOM'!E5)*(1+'S&amp;P_Stylebox_MOM'!E4)*(1+'S&amp;P_Stylebox_MOM'!E3))-1</f>
        <v>4.4561214609707633E-2</v>
      </c>
      <c r="F4" s="18">
        <f>((1+'S&amp;P_Stylebox_MOM'!F14)*(1+'S&amp;P_Stylebox_MOM'!F13)*(1+'S&amp;P_Stylebox_MOM'!F12)*(1+'S&amp;P_Stylebox_MOM'!F11)*(1+'S&amp;P_Stylebox_MOM'!F10)*(1+'S&amp;P_Stylebox_MOM'!F9)*(1+'S&amp;P_Stylebox_MOM'!F8)*(1+'S&amp;P_Stylebox_MOM'!F7)*(1+'S&amp;P_Stylebox_MOM'!F6)*(1+'S&amp;P_Stylebox_MOM'!F5)*(1+'S&amp;P_Stylebox_MOM'!F4)*(1+'S&amp;P_Stylebox_MOM'!F3))-1</f>
        <v>-9.6133776269682114E-2</v>
      </c>
      <c r="G4" s="18">
        <f>((1+'S&amp;P_Stylebox_MOM'!G14)*(1+'S&amp;P_Stylebox_MOM'!G13)*(1+'S&amp;P_Stylebox_MOM'!G12)*(1+'S&amp;P_Stylebox_MOM'!G11)*(1+'S&amp;P_Stylebox_MOM'!G10)*(1+'S&amp;P_Stylebox_MOM'!G9)*(1+'S&amp;P_Stylebox_MOM'!G8)*(1+'S&amp;P_Stylebox_MOM'!G7)*(1+'S&amp;P_Stylebox_MOM'!G6)*(1+'S&amp;P_Stylebox_MOM'!G5)*(1+'S&amp;P_Stylebox_MOM'!G4)*(1+'S&amp;P_Stylebox_MOM'!G3))-1</f>
        <v>9.1562453107578712E-2</v>
      </c>
      <c r="H4" s="18">
        <f>((1+'S&amp;P_Stylebox_MOM'!H14)*(1+'S&amp;P_Stylebox_MOM'!H13)*(1+'S&amp;P_Stylebox_MOM'!H12)*(1+'S&amp;P_Stylebox_MOM'!H11)*(1+'S&amp;P_Stylebox_MOM'!H10)*(1+'S&amp;P_Stylebox_MOM'!H9)*(1+'S&amp;P_Stylebox_MOM'!H8)*(1+'S&amp;P_Stylebox_MOM'!H7)*(1+'S&amp;P_Stylebox_MOM'!H6)*(1+'S&amp;P_Stylebox_MOM'!H5)*(1+'S&amp;P_Stylebox_MOM'!H4)*(1+'S&amp;P_Stylebox_MOM'!H3))-1</f>
        <v>-1.4967319407151236E-2</v>
      </c>
      <c r="I4" s="18">
        <f>((1+'S&amp;P_Stylebox_MOM'!I14)*(1+'S&amp;P_Stylebox_MOM'!I13)*(1+'S&amp;P_Stylebox_MOM'!I12)*(1+'S&amp;P_Stylebox_MOM'!I11)*(1+'S&amp;P_Stylebox_MOM'!I10)*(1+'S&amp;P_Stylebox_MOM'!I9)*(1+'S&amp;P_Stylebox_MOM'!I8)*(1+'S&amp;P_Stylebox_MOM'!I7)*(1+'S&amp;P_Stylebox_MOM'!I6)*(1+'S&amp;P_Stylebox_MOM'!I5)*(1+'S&amp;P_Stylebox_MOM'!I4)*(1+'S&amp;P_Stylebox_MOM'!I3))-1</f>
        <v>-1.7098517379216416E-2</v>
      </c>
      <c r="J4" s="18">
        <f>((1+'S&amp;P_Stylebox_MOM'!J14)*(1+'S&amp;P_Stylebox_MOM'!J13)*(1+'S&amp;P_Stylebox_MOM'!J12)*(1+'S&amp;P_Stylebox_MOM'!J11)*(1+'S&amp;P_Stylebox_MOM'!J10)*(1+'S&amp;P_Stylebox_MOM'!J9)*(1+'S&amp;P_Stylebox_MOM'!J8)*(1+'S&amp;P_Stylebox_MOM'!J7)*(1+'S&amp;P_Stylebox_MOM'!J6)*(1+'S&amp;P_Stylebox_MOM'!J5)*(1+'S&amp;P_Stylebox_MOM'!J4)*(1+'S&amp;P_Stylebox_MOM'!J3))-1</f>
        <v>-3.6785149368653736E-2</v>
      </c>
      <c r="K4" s="18">
        <f>((1+'S&amp;P_Stylebox_MOM'!K14)*(1+'S&amp;P_Stylebox_MOM'!K13)*(1+'S&amp;P_Stylebox_MOM'!K12)*(1+'S&amp;P_Stylebox_MOM'!K11)*(1+'S&amp;P_Stylebox_MOM'!K10)*(1+'S&amp;P_Stylebox_MOM'!K9)*(1+'S&amp;P_Stylebox_MOM'!K8)*(1+'S&amp;P_Stylebox_MOM'!K7)*(1+'S&amp;P_Stylebox_MOM'!K6)*(1+'S&amp;P_Stylebox_MOM'!K5)*(1+'S&amp;P_Stylebox_MOM'!K4)*(1+'S&amp;P_Stylebox_MOM'!K3))-1</f>
        <v>-6.0015662783308166E-4</v>
      </c>
      <c r="L4" s="18">
        <f>((1+'S&amp;P_Stylebox_MOM'!L14)*(1+'S&amp;P_Stylebox_MOM'!L13)*(1+'S&amp;P_Stylebox_MOM'!L12)*(1+'S&amp;P_Stylebox_MOM'!L11)*(1+'S&amp;P_Stylebox_MOM'!L10)*(1+'S&amp;P_Stylebox_MOM'!L9)*(1+'S&amp;P_Stylebox_MOM'!L8)*(1+'S&amp;P_Stylebox_MOM'!L7)*(1+'S&amp;P_Stylebox_MOM'!L6)*(1+'S&amp;P_Stylebox_MOM'!L5)*(1+'S&amp;P_Stylebox_MOM'!L4)*(1+'S&amp;P_Stylebox_MOM'!L3))-1</f>
        <v>-7.9044099921064759E-2</v>
      </c>
      <c r="M4" s="18">
        <f>((1+'S&amp;P_Stylebox_MOM'!M14)*(1+'S&amp;P_Stylebox_MOM'!M13)*(1+'S&amp;P_Stylebox_MOM'!M12)*(1+'S&amp;P_Stylebox_MOM'!M11)*(1+'S&amp;P_Stylebox_MOM'!M10)*(1+'S&amp;P_Stylebox_MOM'!M9)*(1+'S&amp;P_Stylebox_MOM'!M8)*(1+'S&amp;P_Stylebox_MOM'!M7)*(1+'S&amp;P_Stylebox_MOM'!M6)*(1+'S&amp;P_Stylebox_MOM'!M5)*(1+'S&amp;P_Stylebox_MOM'!M4)*(1+'S&amp;P_Stylebox_MOM'!M3))-1</f>
        <v>-8.8605503232028204E-2</v>
      </c>
      <c r="N4" s="18">
        <f>((1+'S&amp;P_Stylebox_MOM'!N14)*(1+'S&amp;P_Stylebox_MOM'!N13)*(1+'S&amp;P_Stylebox_MOM'!N12)*(1+'S&amp;P_Stylebox_MOM'!N11)*(1+'S&amp;P_Stylebox_MOM'!N10)*(1+'S&amp;P_Stylebox_MOM'!N9)*(1+'S&amp;P_Stylebox_MOM'!N8)*(1+'S&amp;P_Stylebox_MOM'!N7)*(1+'S&amp;P_Stylebox_MOM'!N6)*(1+'S&amp;P_Stylebox_MOM'!N5)*(1+'S&amp;P_Stylebox_MOM'!N4)*(1+'S&amp;P_Stylebox_MOM'!N3))-1</f>
        <v>-7.2478918209114451E-2</v>
      </c>
      <c r="O4" s="18">
        <f>((1+'S&amp;P_Stylebox_MOM'!O14)*(1+'S&amp;P_Stylebox_MOM'!O13)*(1+'S&amp;P_Stylebox_MOM'!O12)*(1+'S&amp;P_Stylebox_MOM'!O11)*(1+'S&amp;P_Stylebox_MOM'!O10)*(1+'S&amp;P_Stylebox_MOM'!O9)*(1+'S&amp;P_Stylebox_MOM'!O8)*(1+'S&amp;P_Stylebox_MOM'!O7)*(1+'S&amp;P_Stylebox_MOM'!O6)*(1+'S&amp;P_Stylebox_MOM'!O5)*(1+'S&amp;P_Stylebox_MOM'!O4)*(1+'S&amp;P_Stylebox_MOM'!O3))-1</f>
        <v>2.4672396797595253E-2</v>
      </c>
      <c r="P4" s="18">
        <f>((1+'S&amp;P_Stylebox_MOM'!P14)*(1+'S&amp;P_Stylebox_MOM'!P13)*(1+'S&amp;P_Stylebox_MOM'!P12)*(1+'S&amp;P_Stylebox_MOM'!P11)*(1+'S&amp;P_Stylebox_MOM'!P10)*(1+'S&amp;P_Stylebox_MOM'!P9)*(1+'S&amp;P_Stylebox_MOM'!P8)*(1+'S&amp;P_Stylebox_MOM'!P7)*(1+'S&amp;P_Stylebox_MOM'!P6)*(1+'S&amp;P_Stylebox_MOM'!P5)*(1+'S&amp;P_Stylebox_MOM'!P4)*(1+'S&amp;P_Stylebox_MOM'!P3))-1</f>
        <v>1.3308169092804523E-2</v>
      </c>
      <c r="Q4" s="18">
        <f>((1+'S&amp;P_Stylebox_MOM'!Q14)*(1+'S&amp;P_Stylebox_MOM'!Q13)*(1+'S&amp;P_Stylebox_MOM'!Q12)*(1+'S&amp;P_Stylebox_MOM'!Q11)*(1+'S&amp;P_Stylebox_MOM'!Q10)*(1+'S&amp;P_Stylebox_MOM'!Q9)*(1+'S&amp;P_Stylebox_MOM'!Q8)*(1+'S&amp;P_Stylebox_MOM'!Q7)*(1+'S&amp;P_Stylebox_MOM'!Q6)*(1+'S&amp;P_Stylebox_MOM'!Q5)*(1+'S&amp;P_Stylebox_MOM'!Q4)*(1+'S&amp;P_Stylebox_MOM'!Q3))-1</f>
        <v>-6.1439683086179642E-3</v>
      </c>
      <c r="R4" s="18">
        <f>((1+'S&amp;P_Stylebox_MOM'!R14)*(1+'S&amp;P_Stylebox_MOM'!R13)*(1+'S&amp;P_Stylebox_MOM'!R12)*(1+'S&amp;P_Stylebox_MOM'!R11)*(1+'S&amp;P_Stylebox_MOM'!R10)*(1+'S&amp;P_Stylebox_MOM'!R9)*(1+'S&amp;P_Stylebox_MOM'!R8)*(1+'S&amp;P_Stylebox_MOM'!R7)*(1+'S&amp;P_Stylebox_MOM'!R6)*(1+'S&amp;P_Stylebox_MOM'!R5)*(1+'S&amp;P_Stylebox_MOM'!R4)*(1+'S&amp;P_Stylebox_MOM'!R3))-1</f>
        <v>-8.8292445969664235E-2</v>
      </c>
      <c r="S4" s="18">
        <f>((1+'S&amp;P_Stylebox_MOM'!S14)*(1+'S&amp;P_Stylebox_MOM'!S13)*(1+'S&amp;P_Stylebox_MOM'!S12)*(1+'S&amp;P_Stylebox_MOM'!S11)*(1+'S&amp;P_Stylebox_MOM'!S10)*(1+'S&amp;P_Stylebox_MOM'!S9)*(1+'S&amp;P_Stylebox_MOM'!S8)*(1+'S&amp;P_Stylebox_MOM'!S7)*(1+'S&amp;P_Stylebox_MOM'!S6)*(1+'S&amp;P_Stylebox_MOM'!S5)*(1+'S&amp;P_Stylebox_MOM'!S4)*(1+'S&amp;P_Stylebox_MOM'!S3))-1</f>
        <v>-0.20992492535115581</v>
      </c>
      <c r="T4" s="18">
        <f>((1+'S&amp;P_Stylebox_MOM'!T14)*(1+'S&amp;P_Stylebox_MOM'!T13)*(1+'S&amp;P_Stylebox_MOM'!T12)*(1+'S&amp;P_Stylebox_MOM'!T11)*(1+'S&amp;P_Stylebox_MOM'!T10)*(1+'S&amp;P_Stylebox_MOM'!T9)*(1+'S&amp;P_Stylebox_MOM'!T8)*(1+'S&amp;P_Stylebox_MOM'!T7)*(1+'S&amp;P_Stylebox_MOM'!T6)*(1+'S&amp;P_Stylebox_MOM'!T5)*(1+'S&amp;P_Stylebox_MOM'!T4)*(1+'S&amp;P_Stylebox_MOM'!T3))-1</f>
        <v>-3.305939634349353E-2</v>
      </c>
      <c r="U4" s="18">
        <f>((1+'S&amp;P_Stylebox_MOM'!U14)*(1+'S&amp;P_Stylebox_MOM'!U13)*(1+'S&amp;P_Stylebox_MOM'!U12)*(1+'S&amp;P_Stylebox_MOM'!U11)*(1+'S&amp;P_Stylebox_MOM'!U10)*(1+'S&amp;P_Stylebox_MOM'!U9)*(1+'S&amp;P_Stylebox_MOM'!U8)*(1+'S&amp;P_Stylebox_MOM'!U7)*(1+'S&amp;P_Stylebox_MOM'!U6)*(1+'S&amp;P_Stylebox_MOM'!U5)*(1+'S&amp;P_Stylebox_MOM'!U4)*(1+'S&amp;P_Stylebox_MOM'!U3))-1</f>
        <v>-8.058684745011091E-2</v>
      </c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</row>
    <row r="5" spans="1:85" ht="15.75" x14ac:dyDescent="0.25">
      <c r="A5" s="10" t="s">
        <v>11</v>
      </c>
      <c r="B5" s="18">
        <f>((1+'S&amp;P_Stylebox_MOM'!B14)*(1+'S&amp;P_Stylebox_MOM'!B13)*(1+'S&amp;P_Stylebox_MOM'!B12)*(1+'S&amp;P_Stylebox_MOM'!B11)*(1+'S&amp;P_Stylebox_MOM'!B10)*(1+'S&amp;P_Stylebox_MOM'!B9)*(1+'S&amp;P_Stylebox_MOM'!B8)*(1+'S&amp;P_Stylebox_MOM'!B7)*(1+'S&amp;P_Stylebox_MOM'!B6))-1</f>
        <v>-7.4165419264582422E-3</v>
      </c>
      <c r="C5" s="18">
        <f>((1+'S&amp;P_Stylebox_MOM'!C14)*(1+'S&amp;P_Stylebox_MOM'!C13)*(1+'S&amp;P_Stylebox_MOM'!C12)*(1+'S&amp;P_Stylebox_MOM'!C11)*(1+'S&amp;P_Stylebox_MOM'!C10)*(1+'S&amp;P_Stylebox_MOM'!C9)*(1+'S&amp;P_Stylebox_MOM'!C8)*(1+'S&amp;P_Stylebox_MOM'!C7)*(1+'S&amp;P_Stylebox_MOM'!C6))-1</f>
        <v>0.19016611985305421</v>
      </c>
      <c r="D5" s="18">
        <f>((1+'S&amp;P_Stylebox_MOM'!D14)*(1+'S&amp;P_Stylebox_MOM'!D13)*(1+'S&amp;P_Stylebox_MOM'!D12)*(1+'S&amp;P_Stylebox_MOM'!D11)*(1+'S&amp;P_Stylebox_MOM'!D10)*(1+'S&amp;P_Stylebox_MOM'!D9)*(1+'S&amp;P_Stylebox_MOM'!D8)*(1+'S&amp;P_Stylebox_MOM'!D7)*(1+'S&amp;P_Stylebox_MOM'!D6))-1</f>
        <v>0.19238413146111277</v>
      </c>
      <c r="E5" s="18">
        <f>((1+'S&amp;P_Stylebox_MOM'!E14)*(1+'S&amp;P_Stylebox_MOM'!E13)*(1+'S&amp;P_Stylebox_MOM'!E12)*(1+'S&amp;P_Stylebox_MOM'!E11)*(1+'S&amp;P_Stylebox_MOM'!E10)*(1+'S&amp;P_Stylebox_MOM'!E9)*(1+'S&amp;P_Stylebox_MOM'!E8)*(1+'S&amp;P_Stylebox_MOM'!E7)*(1+'S&amp;P_Stylebox_MOM'!E6))-1</f>
        <v>0.18662031323979966</v>
      </c>
      <c r="F5" s="18">
        <f>((1+'S&amp;P_Stylebox_MOM'!F14)*(1+'S&amp;P_Stylebox_MOM'!F13)*(1+'S&amp;P_Stylebox_MOM'!F12)*(1+'S&amp;P_Stylebox_MOM'!F11)*(1+'S&amp;P_Stylebox_MOM'!F10)*(1+'S&amp;P_Stylebox_MOM'!F9)*(1+'S&amp;P_Stylebox_MOM'!F8)*(1+'S&amp;P_Stylebox_MOM'!F7)*(1+'S&amp;P_Stylebox_MOM'!F6))-1</f>
        <v>-8.2441024209887526E-2</v>
      </c>
      <c r="G5" s="18">
        <f>((1+'S&amp;P_Stylebox_MOM'!G14)*(1+'S&amp;P_Stylebox_MOM'!G13)*(1+'S&amp;P_Stylebox_MOM'!G12)*(1+'S&amp;P_Stylebox_MOM'!G11)*(1+'S&amp;P_Stylebox_MOM'!G10)*(1+'S&amp;P_Stylebox_MOM'!G9)*(1+'S&amp;P_Stylebox_MOM'!G8)*(1+'S&amp;P_Stylebox_MOM'!G7)*(1+'S&amp;P_Stylebox_MOM'!G6))-1</f>
        <v>0.17291387296644278</v>
      </c>
      <c r="H5" s="18">
        <f>((1+'S&amp;P_Stylebox_MOM'!H14)*(1+'S&amp;P_Stylebox_MOM'!H13)*(1+'S&amp;P_Stylebox_MOM'!H12)*(1+'S&amp;P_Stylebox_MOM'!H11)*(1+'S&amp;P_Stylebox_MOM'!H10)*(1+'S&amp;P_Stylebox_MOM'!H9)*(1+'S&amp;P_Stylebox_MOM'!H8)*(1+'S&amp;P_Stylebox_MOM'!H7)*(1+'S&amp;P_Stylebox_MOM'!H6))-1</f>
        <v>3.7143119992828488E-3</v>
      </c>
      <c r="I5" s="18">
        <f>((1+'S&amp;P_Stylebox_MOM'!I14)*(1+'S&amp;P_Stylebox_MOM'!I13)*(1+'S&amp;P_Stylebox_MOM'!I12)*(1+'S&amp;P_Stylebox_MOM'!I11)*(1+'S&amp;P_Stylebox_MOM'!I10)*(1+'S&amp;P_Stylebox_MOM'!I9)*(1+'S&amp;P_Stylebox_MOM'!I8)*(1+'S&amp;P_Stylebox_MOM'!I7)*(1+'S&amp;P_Stylebox_MOM'!I6))-1</f>
        <v>1.2884417769494005E-2</v>
      </c>
      <c r="J5" s="18">
        <f>((1+'S&amp;P_Stylebox_MOM'!J14)*(1+'S&amp;P_Stylebox_MOM'!J13)*(1+'S&amp;P_Stylebox_MOM'!J12)*(1+'S&amp;P_Stylebox_MOM'!J11)*(1+'S&amp;P_Stylebox_MOM'!J10)*(1+'S&amp;P_Stylebox_MOM'!J9)*(1+'S&amp;P_Stylebox_MOM'!J8)*(1+'S&amp;P_Stylebox_MOM'!J7)*(1+'S&amp;P_Stylebox_MOM'!J6))-1</f>
        <v>4.0437337125909245E-4</v>
      </c>
      <c r="K5" s="18">
        <f>((1+'S&amp;P_Stylebox_MOM'!K14)*(1+'S&amp;P_Stylebox_MOM'!K13)*(1+'S&amp;P_Stylebox_MOM'!K12)*(1+'S&amp;P_Stylebox_MOM'!K11)*(1+'S&amp;P_Stylebox_MOM'!K10)*(1+'S&amp;P_Stylebox_MOM'!K9)*(1+'S&amp;P_Stylebox_MOM'!K8)*(1+'S&amp;P_Stylebox_MOM'!K7)*(1+'S&amp;P_Stylebox_MOM'!K6))-1</f>
        <v>2.0443780436399717E-2</v>
      </c>
      <c r="L5" s="18">
        <f>((1+'S&amp;P_Stylebox_MOM'!L14)*(1+'S&amp;P_Stylebox_MOM'!L13)*(1+'S&amp;P_Stylebox_MOM'!L12)*(1+'S&amp;P_Stylebox_MOM'!L11)*(1+'S&amp;P_Stylebox_MOM'!L10)*(1+'S&amp;P_Stylebox_MOM'!L9)*(1+'S&amp;P_Stylebox_MOM'!L8)*(1+'S&amp;P_Stylebox_MOM'!L7)*(1+'S&amp;P_Stylebox_MOM'!L6))-1</f>
        <v>-4.3226816096584186E-2</v>
      </c>
      <c r="M5" s="18">
        <f>((1+'S&amp;P_Stylebox_MOM'!M14)*(1+'S&amp;P_Stylebox_MOM'!M13)*(1+'S&amp;P_Stylebox_MOM'!M12)*(1+'S&amp;P_Stylebox_MOM'!M11)*(1+'S&amp;P_Stylebox_MOM'!M10)*(1+'S&amp;P_Stylebox_MOM'!M9)*(1+'S&amp;P_Stylebox_MOM'!M8)*(1+'S&amp;P_Stylebox_MOM'!M7)*(1+'S&amp;P_Stylebox_MOM'!M6))-1</f>
        <v>-3.743705591052926E-2</v>
      </c>
      <c r="N5" s="18">
        <f>((1+'S&amp;P_Stylebox_MOM'!N14)*(1+'S&amp;P_Stylebox_MOM'!N13)*(1+'S&amp;P_Stylebox_MOM'!N12)*(1+'S&amp;P_Stylebox_MOM'!N11)*(1+'S&amp;P_Stylebox_MOM'!N10)*(1+'S&amp;P_Stylebox_MOM'!N9)*(1+'S&amp;P_Stylebox_MOM'!N8)*(1+'S&amp;P_Stylebox_MOM'!N7)*(1+'S&amp;P_Stylebox_MOM'!N6))-1</f>
        <v>-5.2022902522701364E-2</v>
      </c>
      <c r="O5" s="18">
        <f>((1+'S&amp;P_Stylebox_MOM'!O14)*(1+'S&amp;P_Stylebox_MOM'!O13)*(1+'S&amp;P_Stylebox_MOM'!O12)*(1+'S&amp;P_Stylebox_MOM'!O11)*(1+'S&amp;P_Stylebox_MOM'!O10)*(1+'S&amp;P_Stylebox_MOM'!O9)*(1+'S&amp;P_Stylebox_MOM'!O8)*(1+'S&amp;P_Stylebox_MOM'!O7)*(1+'S&amp;P_Stylebox_MOM'!O6))-1</f>
        <v>8.5535631503555587E-2</v>
      </c>
      <c r="P5" s="18">
        <f>((1+'S&amp;P_Stylebox_MOM'!P14)*(1+'S&amp;P_Stylebox_MOM'!P13)*(1+'S&amp;P_Stylebox_MOM'!P12)*(1+'S&amp;P_Stylebox_MOM'!P11)*(1+'S&amp;P_Stylebox_MOM'!P10)*(1+'S&amp;P_Stylebox_MOM'!P9)*(1+'S&amp;P_Stylebox_MOM'!P8)*(1+'S&amp;P_Stylebox_MOM'!P7)*(1+'S&amp;P_Stylebox_MOM'!P6))-1</f>
        <v>5.5151378017230357E-2</v>
      </c>
      <c r="Q5" s="18">
        <f>((1+'S&amp;P_Stylebox_MOM'!Q14)*(1+'S&amp;P_Stylebox_MOM'!Q13)*(1+'S&amp;P_Stylebox_MOM'!Q12)*(1+'S&amp;P_Stylebox_MOM'!Q11)*(1+'S&amp;P_Stylebox_MOM'!Q10)*(1+'S&amp;P_Stylebox_MOM'!Q9)*(1+'S&amp;P_Stylebox_MOM'!Q8)*(1+'S&amp;P_Stylebox_MOM'!Q7)*(1+'S&amp;P_Stylebox_MOM'!Q6))-1</f>
        <v>1.5538946005654974E-2</v>
      </c>
      <c r="R5" s="18">
        <f>((1+'S&amp;P_Stylebox_MOM'!R14)*(1+'S&amp;P_Stylebox_MOM'!R13)*(1+'S&amp;P_Stylebox_MOM'!R12)*(1+'S&amp;P_Stylebox_MOM'!R11)*(1+'S&amp;P_Stylebox_MOM'!R10)*(1+'S&amp;P_Stylebox_MOM'!R9)*(1+'S&amp;P_Stylebox_MOM'!R8)*(1+'S&amp;P_Stylebox_MOM'!R7)*(1+'S&amp;P_Stylebox_MOM'!R6))-1</f>
        <v>-6.1110447202227802E-2</v>
      </c>
      <c r="S5" s="18">
        <f>((1+'S&amp;P_Stylebox_MOM'!S14)*(1+'S&amp;P_Stylebox_MOM'!S13)*(1+'S&amp;P_Stylebox_MOM'!S12)*(1+'S&amp;P_Stylebox_MOM'!S11)*(1+'S&amp;P_Stylebox_MOM'!S10)*(1+'S&amp;P_Stylebox_MOM'!S9)*(1+'S&amp;P_Stylebox_MOM'!S8)*(1+'S&amp;P_Stylebox_MOM'!S7)*(1+'S&amp;P_Stylebox_MOM'!S6))-1</f>
        <v>-0.11258700371320951</v>
      </c>
      <c r="T5" s="18">
        <f>((1+'S&amp;P_Stylebox_MOM'!T14)*(1+'S&amp;P_Stylebox_MOM'!T13)*(1+'S&amp;P_Stylebox_MOM'!T12)*(1+'S&amp;P_Stylebox_MOM'!T11)*(1+'S&amp;P_Stylebox_MOM'!T10)*(1+'S&amp;P_Stylebox_MOM'!T9)*(1+'S&amp;P_Stylebox_MOM'!T8)*(1+'S&amp;P_Stylebox_MOM'!T7)*(1+'S&amp;P_Stylebox_MOM'!T6))-1</f>
        <v>-1.6609084657587037E-2</v>
      </c>
      <c r="U5" s="18">
        <f>((1+'S&amp;P_Stylebox_MOM'!U14)*(1+'S&amp;P_Stylebox_MOM'!U13)*(1+'S&amp;P_Stylebox_MOM'!U12)*(1+'S&amp;P_Stylebox_MOM'!U11)*(1+'S&amp;P_Stylebox_MOM'!U10)*(1+'S&amp;P_Stylebox_MOM'!U9)*(1+'S&amp;P_Stylebox_MOM'!U8)*(1+'S&amp;P_Stylebox_MOM'!U7)*(1+'S&amp;P_Stylebox_MOM'!U6))-1</f>
        <v>-4.7448928598660456E-2</v>
      </c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</row>
    <row r="6" spans="1:85" ht="15.75" x14ac:dyDescent="0.25">
      <c r="A6" s="10" t="s">
        <v>12</v>
      </c>
      <c r="B6" s="18">
        <f>((1+'S&amp;P_Stylebox_MOM'!B14)*(1+'S&amp;P_Stylebox_MOM'!B13)*(1+'S&amp;P_Stylebox_MOM'!B12)*(1+'S&amp;P_Stylebox_MOM'!B11)*(1+'S&amp;P_Stylebox_MOM'!B10)*(1+'S&amp;P_Stylebox_MOM'!B9))-1</f>
        <v>-9.6770030258501727E-3</v>
      </c>
      <c r="C6" s="18">
        <f>((1+'S&amp;P_Stylebox_MOM'!C14)*(1+'S&amp;P_Stylebox_MOM'!C13)*(1+'S&amp;P_Stylebox_MOM'!C12)*(1+'S&amp;P_Stylebox_MOM'!C11)*(1+'S&amp;P_Stylebox_MOM'!C10)*(1+'S&amp;P_Stylebox_MOM'!C9))-1</f>
        <v>9.4059175433271136E-2</v>
      </c>
      <c r="D6" s="18">
        <f>((1+'S&amp;P_Stylebox_MOM'!D14)*(1+'S&amp;P_Stylebox_MOM'!D13)*(1+'S&amp;P_Stylebox_MOM'!D12)*(1+'S&amp;P_Stylebox_MOM'!D11)*(1+'S&amp;P_Stylebox_MOM'!D10)*(1+'S&amp;P_Stylebox_MOM'!D9))-1</f>
        <v>0.10559539641439231</v>
      </c>
      <c r="E6" s="18">
        <f>((1+'S&amp;P_Stylebox_MOM'!E14)*(1+'S&amp;P_Stylebox_MOM'!E13)*(1+'S&amp;P_Stylebox_MOM'!E12)*(1+'S&amp;P_Stylebox_MOM'!E11)*(1+'S&amp;P_Stylebox_MOM'!E10)*(1+'S&amp;P_Stylebox_MOM'!E9))-1</f>
        <v>7.9163308390567177E-2</v>
      </c>
      <c r="F6" s="18">
        <f>((1+'S&amp;P_Stylebox_MOM'!F14)*(1+'S&amp;P_Stylebox_MOM'!F13)*(1+'S&amp;P_Stylebox_MOM'!F12)*(1+'S&amp;P_Stylebox_MOM'!F11)*(1+'S&amp;P_Stylebox_MOM'!F10)*(1+'S&amp;P_Stylebox_MOM'!F9))-1</f>
        <v>-0.14387112038231864</v>
      </c>
      <c r="G6" s="18">
        <f>((1+'S&amp;P_Stylebox_MOM'!G14)*(1+'S&amp;P_Stylebox_MOM'!G13)*(1+'S&amp;P_Stylebox_MOM'!G12)*(1+'S&amp;P_Stylebox_MOM'!G11)*(1+'S&amp;P_Stylebox_MOM'!G10)*(1+'S&amp;P_Stylebox_MOM'!G9))-1</f>
        <v>0.13348704766638186</v>
      </c>
      <c r="H6" s="18">
        <f>((1+'S&amp;P_Stylebox_MOM'!H14)*(1+'S&amp;P_Stylebox_MOM'!H13)*(1+'S&amp;P_Stylebox_MOM'!H12)*(1+'S&amp;P_Stylebox_MOM'!H11)*(1+'S&amp;P_Stylebox_MOM'!H10)*(1+'S&amp;P_Stylebox_MOM'!H9))-1</f>
        <v>3.1873827365020757E-2</v>
      </c>
      <c r="I6" s="18">
        <f>((1+'S&amp;P_Stylebox_MOM'!I14)*(1+'S&amp;P_Stylebox_MOM'!I13)*(1+'S&amp;P_Stylebox_MOM'!I12)*(1+'S&amp;P_Stylebox_MOM'!I11)*(1+'S&amp;P_Stylebox_MOM'!I10)*(1+'S&amp;P_Stylebox_MOM'!I9))-1</f>
        <v>-4.8139127648525681E-2</v>
      </c>
      <c r="J6" s="18">
        <f>((1+'S&amp;P_Stylebox_MOM'!J14)*(1+'S&amp;P_Stylebox_MOM'!J13)*(1+'S&amp;P_Stylebox_MOM'!J12)*(1+'S&amp;P_Stylebox_MOM'!J11)*(1+'S&amp;P_Stylebox_MOM'!J10)*(1+'S&amp;P_Stylebox_MOM'!J9))-1</f>
        <v>-6.8175645323593548E-2</v>
      </c>
      <c r="K6" s="18">
        <f>((1+'S&amp;P_Stylebox_MOM'!K14)*(1+'S&amp;P_Stylebox_MOM'!K13)*(1+'S&amp;P_Stylebox_MOM'!K12)*(1+'S&amp;P_Stylebox_MOM'!K11)*(1+'S&amp;P_Stylebox_MOM'!K10)*(1+'S&amp;P_Stylebox_MOM'!K9))-1</f>
        <v>-3.2885096121473834E-2</v>
      </c>
      <c r="L6" s="18">
        <f>((1+'S&amp;P_Stylebox_MOM'!L14)*(1+'S&amp;P_Stylebox_MOM'!L13)*(1+'S&amp;P_Stylebox_MOM'!L12)*(1+'S&amp;P_Stylebox_MOM'!L11)*(1+'S&amp;P_Stylebox_MOM'!L10)*(1+'S&amp;P_Stylebox_MOM'!L9))-1</f>
        <v>-9.1495356130177896E-2</v>
      </c>
      <c r="M6" s="18">
        <f>((1+'S&amp;P_Stylebox_MOM'!M14)*(1+'S&amp;P_Stylebox_MOM'!M13)*(1+'S&amp;P_Stylebox_MOM'!M12)*(1+'S&amp;P_Stylebox_MOM'!M11)*(1+'S&amp;P_Stylebox_MOM'!M10)*(1+'S&amp;P_Stylebox_MOM'!M9))-1</f>
        <v>-9.5139006413871963E-2</v>
      </c>
      <c r="N6" s="18">
        <f>((1+'S&amp;P_Stylebox_MOM'!N14)*(1+'S&amp;P_Stylebox_MOM'!N13)*(1+'S&amp;P_Stylebox_MOM'!N12)*(1+'S&amp;P_Stylebox_MOM'!N11)*(1+'S&amp;P_Stylebox_MOM'!N10)*(1+'S&amp;P_Stylebox_MOM'!N9))-1</f>
        <v>-9.0683278854200799E-2</v>
      </c>
      <c r="O6" s="18">
        <f>((1+'S&amp;P_Stylebox_MOM'!O14)*(1+'S&amp;P_Stylebox_MOM'!O13)*(1+'S&amp;P_Stylebox_MOM'!O12)*(1+'S&amp;P_Stylebox_MOM'!O11)*(1+'S&amp;P_Stylebox_MOM'!O10)*(1+'S&amp;P_Stylebox_MOM'!O9))-1</f>
        <v>4.5053139483210991E-3</v>
      </c>
      <c r="P6" s="18">
        <f>((1+'S&amp;P_Stylebox_MOM'!P14)*(1+'S&amp;P_Stylebox_MOM'!P13)*(1+'S&amp;P_Stylebox_MOM'!P12)*(1+'S&amp;P_Stylebox_MOM'!P11)*(1+'S&amp;P_Stylebox_MOM'!P10)*(1+'S&amp;P_Stylebox_MOM'!P9))-1</f>
        <v>1.8602519546258911E-2</v>
      </c>
      <c r="Q6" s="18">
        <f>((1+'S&amp;P_Stylebox_MOM'!Q14)*(1+'S&amp;P_Stylebox_MOM'!Q13)*(1+'S&amp;P_Stylebox_MOM'!Q12)*(1+'S&amp;P_Stylebox_MOM'!Q11)*(1+'S&amp;P_Stylebox_MOM'!Q10)*(1+'S&amp;P_Stylebox_MOM'!Q9))-1</f>
        <v>2.7623336658064268E-2</v>
      </c>
      <c r="R6" s="18">
        <f>((1+'S&amp;P_Stylebox_MOM'!R14)*(1+'S&amp;P_Stylebox_MOM'!R13)*(1+'S&amp;P_Stylebox_MOM'!R12)*(1+'S&amp;P_Stylebox_MOM'!R11)*(1+'S&amp;P_Stylebox_MOM'!R10)*(1+'S&amp;P_Stylebox_MOM'!R9))-1</f>
        <v>2.2466954822460306E-2</v>
      </c>
      <c r="S6" s="18">
        <f>((1+'S&amp;P_Stylebox_MOM'!S14)*(1+'S&amp;P_Stylebox_MOM'!S13)*(1+'S&amp;P_Stylebox_MOM'!S12)*(1+'S&amp;P_Stylebox_MOM'!S11)*(1+'S&amp;P_Stylebox_MOM'!S10)*(1+'S&amp;P_Stylebox_MOM'!S9))-1</f>
        <v>-0.10485685804753941</v>
      </c>
      <c r="T6" s="18">
        <f>((1+'S&amp;P_Stylebox_MOM'!T14)*(1+'S&amp;P_Stylebox_MOM'!T13)*(1+'S&amp;P_Stylebox_MOM'!T12)*(1+'S&amp;P_Stylebox_MOM'!T11)*(1+'S&amp;P_Stylebox_MOM'!T10)*(1+'S&amp;P_Stylebox_MOM'!T9))-1</f>
        <v>2.0896712734762346E-2</v>
      </c>
      <c r="U6" s="18">
        <f>((1+'S&amp;P_Stylebox_MOM'!U14)*(1+'S&amp;P_Stylebox_MOM'!U13)*(1+'S&amp;P_Stylebox_MOM'!U12)*(1+'S&amp;P_Stylebox_MOM'!U11)*(1+'S&amp;P_Stylebox_MOM'!U10)*(1+'S&amp;P_Stylebox_MOM'!U9))-1</f>
        <v>3.0203700550323731E-2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</row>
    <row r="7" spans="1:85" ht="15.75" x14ac:dyDescent="0.25">
      <c r="A7" s="10" t="s">
        <v>13</v>
      </c>
      <c r="B7" s="18">
        <f>((1+'S&amp;P_Stylebox_MOM'!B14)*(1+'S&amp;P_Stylebox_MOM'!B13)*(1+'S&amp;P_Stylebox_MOM'!B12))-1</f>
        <v>8.3703818638738436E-3</v>
      </c>
      <c r="C7" s="18">
        <f>((1+'S&amp;P_Stylebox_MOM'!C14)*(1+'S&amp;P_Stylebox_MOM'!C13)*(1+'S&amp;P_Stylebox_MOM'!C12))-1</f>
        <v>5.4650338845235735E-2</v>
      </c>
      <c r="D7" s="18">
        <f>((1+'S&amp;P_Stylebox_MOM'!D14)*(1+'S&amp;P_Stylebox_MOM'!D13)*(1+'S&amp;P_Stylebox_MOM'!D12))-1</f>
        <v>8.6167872635817266E-2</v>
      </c>
      <c r="E7" s="18">
        <f>((1+'S&amp;P_Stylebox_MOM'!E14)*(1+'S&amp;P_Stylebox_MOM'!E13)*(1+'S&amp;P_Stylebox_MOM'!E12))-1</f>
        <v>2.142123443605537E-2</v>
      </c>
      <c r="F7" s="18">
        <f>((1+'S&amp;P_Stylebox_MOM'!F14)*(1+'S&amp;P_Stylebox_MOM'!F13)*(1+'S&amp;P_Stylebox_MOM'!F12))-1</f>
        <v>-0.1445262400624866</v>
      </c>
      <c r="G7" s="18">
        <f>((1+'S&amp;P_Stylebox_MOM'!G14)*(1+'S&amp;P_Stylebox_MOM'!G13)*(1+'S&amp;P_Stylebox_MOM'!G12))-1</f>
        <v>0.10030627224491262</v>
      </c>
      <c r="H7" s="18">
        <f>((1+'S&amp;P_Stylebox_MOM'!H14)*(1+'S&amp;P_Stylebox_MOM'!H13)*(1+'S&amp;P_Stylebox_MOM'!H12))-1</f>
        <v>4.5440720696969361E-2</v>
      </c>
      <c r="I7" s="18">
        <f>((1+'S&amp;P_Stylebox_MOM'!I14)*(1+'S&amp;P_Stylebox_MOM'!I13)*(1+'S&amp;P_Stylebox_MOM'!I12))-1</f>
        <v>-6.0832233534531821E-2</v>
      </c>
      <c r="J7" s="18">
        <f>((1+'S&amp;P_Stylebox_MOM'!J14)*(1+'S&amp;P_Stylebox_MOM'!J13)*(1+'S&amp;P_Stylebox_MOM'!J12))-1</f>
        <v>-9.2919483256203028E-2</v>
      </c>
      <c r="K7" s="18">
        <f>((1+'S&amp;P_Stylebox_MOM'!K14)*(1+'S&amp;P_Stylebox_MOM'!K13)*(1+'S&amp;P_Stylebox_MOM'!K12))-1</f>
        <v>-3.0860685733974602E-2</v>
      </c>
      <c r="L7" s="18">
        <f>((1+'S&amp;P_Stylebox_MOM'!L14)*(1+'S&amp;P_Stylebox_MOM'!L13)*(1+'S&amp;P_Stylebox_MOM'!L12))-1</f>
        <v>-0.10015976760640344</v>
      </c>
      <c r="M7" s="18">
        <f>((1+'S&amp;P_Stylebox_MOM'!M14)*(1+'S&amp;P_Stylebox_MOM'!M13)*(1+'S&amp;P_Stylebox_MOM'!M12))-1</f>
        <v>-0.12042455871883517</v>
      </c>
      <c r="N7" s="18">
        <f>((1+'S&amp;P_Stylebox_MOM'!N14)*(1+'S&amp;P_Stylebox_MOM'!N13)*(1+'S&amp;P_Stylebox_MOM'!N12))-1</f>
        <v>-7.9639850872192941E-2</v>
      </c>
      <c r="O7" s="18">
        <f>((1+'S&amp;P_Stylebox_MOM'!O14)*(1+'S&amp;P_Stylebox_MOM'!O13)*(1+'S&amp;P_Stylebox_MOM'!O12))-1</f>
        <v>7.5386635423861925E-3</v>
      </c>
      <c r="P7" s="18">
        <f>((1+'S&amp;P_Stylebox_MOM'!P14)*(1+'S&amp;P_Stylebox_MOM'!P13)*(1+'S&amp;P_Stylebox_MOM'!P12))-1</f>
        <v>4.3143638381280214E-2</v>
      </c>
      <c r="Q7" s="18">
        <f>((1+'S&amp;P_Stylebox_MOM'!Q14)*(1+'S&amp;P_Stylebox_MOM'!Q13)*(1+'S&amp;P_Stylebox_MOM'!Q12))-1</f>
        <v>7.4612789975109672E-2</v>
      </c>
      <c r="R7" s="18">
        <f>((1+'S&amp;P_Stylebox_MOM'!R14)*(1+'S&amp;P_Stylebox_MOM'!R13)*(1+'S&amp;P_Stylebox_MOM'!R12))-1</f>
        <v>3.0843753325392242E-2</v>
      </c>
      <c r="S7" s="18">
        <f>((1+'S&amp;P_Stylebox_MOM'!S14)*(1+'S&amp;P_Stylebox_MOM'!S13)*(1+'S&amp;P_Stylebox_MOM'!S12))-1</f>
        <v>-4.4975362630816695E-2</v>
      </c>
      <c r="T7" s="18">
        <f>((1+'S&amp;P_Stylebox_MOM'!T14)*(1+'S&amp;P_Stylebox_MOM'!T13)*(1+'S&amp;P_Stylebox_MOM'!T12))-1</f>
        <v>2.7382495604474144E-2</v>
      </c>
      <c r="U7" s="18">
        <f>((1+'S&amp;P_Stylebox_MOM'!U14)*(1+'S&amp;P_Stylebox_MOM'!U13)*(1+'S&amp;P_Stylebox_MOM'!U12))-1</f>
        <v>3.2901383141994422E-2</v>
      </c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</row>
    <row r="8" spans="1:85" ht="15.75" x14ac:dyDescent="0.25">
      <c r="A8" s="10" t="s">
        <v>14</v>
      </c>
      <c r="B8" s="18">
        <f>'S&amp;P_Stylebox_MOM'!B14</f>
        <v>-1.4822433304948146E-2</v>
      </c>
      <c r="C8" s="18">
        <f>'S&amp;P_Stylebox_MOM'!C14</f>
        <v>-6.5200127550373299E-3</v>
      </c>
      <c r="D8" s="18">
        <f>'S&amp;P_Stylebox_MOM'!D14</f>
        <v>2.0885647020141285E-4</v>
      </c>
      <c r="E8" s="18">
        <f>'S&amp;P_Stylebox_MOM'!E14</f>
        <v>-1.2544823831177165E-2</v>
      </c>
      <c r="F8" s="18">
        <f>'S&amp;P_Stylebox_MOM'!F14</f>
        <v>-2.1941768312916943E-2</v>
      </c>
      <c r="G8" s="18">
        <f>'S&amp;P_Stylebox_MOM'!G14</f>
        <v>1.0876593472095575E-2</v>
      </c>
      <c r="H8" s="18">
        <f>'S&amp;P_Stylebox_MOM'!H14</f>
        <v>-2.1111177996813169E-4</v>
      </c>
      <c r="I8" s="18">
        <f>'S&amp;P_Stylebox_MOM'!I14</f>
        <v>-2.256241302812878E-2</v>
      </c>
      <c r="J8" s="18">
        <f>'S&amp;P_Stylebox_MOM'!J14</f>
        <v>-3.2235860238789882E-2</v>
      </c>
      <c r="K8" s="18">
        <f>'S&amp;P_Stylebox_MOM'!K14</f>
        <v>-1.4197387473937062E-2</v>
      </c>
      <c r="L8" s="18">
        <f>'S&amp;P_Stylebox_MOM'!L14</f>
        <v>-2.3297898312832466E-2</v>
      </c>
      <c r="M8" s="18">
        <f>'S&amp;P_Stylebox_MOM'!M14</f>
        <v>-3.634373016179937E-2</v>
      </c>
      <c r="N8" s="18">
        <f>'S&amp;P_Stylebox_MOM'!N14</f>
        <v>-1.1530849804562537E-2</v>
      </c>
      <c r="O8" s="18">
        <f>'S&amp;P_Stylebox_MOM'!O14</f>
        <v>-2.2669862127317586E-2</v>
      </c>
      <c r="P8" s="18">
        <f>'S&amp;P_Stylebox_MOM'!P14</f>
        <v>-1.0175740944153966E-2</v>
      </c>
      <c r="Q8" s="18">
        <f>'S&amp;P_Stylebox_MOM'!Q14</f>
        <v>6.1691730084167951E-4</v>
      </c>
      <c r="R8" s="18">
        <f>'S&amp;P_Stylebox_MOM'!R14</f>
        <v>-9.8427444943305353E-4</v>
      </c>
      <c r="S8" s="18">
        <f>'S&amp;P_Stylebox_MOM'!S14</f>
        <v>-3.957593505578838E-2</v>
      </c>
      <c r="T8" s="18">
        <f>'S&amp;P_Stylebox_MOM'!T14</f>
        <v>-1.7425431022751736E-3</v>
      </c>
      <c r="U8" s="18">
        <f>'S&amp;P_Stylebox_MOM'!U14</f>
        <v>-1.8099265331623093E-2</v>
      </c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</row>
    <row r="9" spans="1:85" ht="15.75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  <c r="S9" s="16"/>
      <c r="T9" s="16"/>
      <c r="U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EBB2-BCCB-4C73-BC88-8DAD1D77DAE8}">
  <dimension ref="A1:U14"/>
  <sheetViews>
    <sheetView zoomScale="70" zoomScaleNormal="70" workbookViewId="0">
      <selection activeCell="E22" sqref="E22"/>
    </sheetView>
  </sheetViews>
  <sheetFormatPr defaultRowHeight="15" x14ac:dyDescent="0.25"/>
  <cols>
    <col min="1" max="1" width="11.5703125" bestFit="1" customWidth="1"/>
    <col min="2" max="7" width="15.85546875" bestFit="1" customWidth="1"/>
    <col min="8" max="22" width="15.85546875" customWidth="1"/>
    <col min="23" max="33" width="15.85546875" bestFit="1" customWidth="1"/>
    <col min="34" max="34" width="14.85546875" bestFit="1" customWidth="1"/>
    <col min="35" max="35" width="16.28515625" bestFit="1" customWidth="1"/>
    <col min="36" max="36" width="14.85546875" bestFit="1" customWidth="1"/>
    <col min="37" max="37" width="16.28515625" bestFit="1" customWidth="1"/>
    <col min="38" max="38" width="14.85546875" bestFit="1" customWidth="1"/>
    <col min="39" max="39" width="17.7109375" bestFit="1" customWidth="1"/>
    <col min="40" max="40" width="14.85546875" bestFit="1" customWidth="1"/>
    <col min="41" max="41" width="18.140625" bestFit="1" customWidth="1"/>
    <col min="42" max="42" width="14.85546875" bestFit="1" customWidth="1"/>
    <col min="43" max="43" width="16.42578125" bestFit="1" customWidth="1"/>
    <col min="44" max="44" width="14.85546875" bestFit="1" customWidth="1"/>
    <col min="45" max="45" width="15.85546875" bestFit="1" customWidth="1"/>
    <col min="46" max="46" width="14.85546875" bestFit="1" customWidth="1"/>
    <col min="47" max="47" width="15" bestFit="1" customWidth="1"/>
    <col min="48" max="48" width="14.85546875" bestFit="1" customWidth="1"/>
    <col min="49" max="49" width="15.7109375" bestFit="1" customWidth="1"/>
    <col min="50" max="50" width="14.85546875" bestFit="1" customWidth="1"/>
    <col min="51" max="51" width="15.85546875" bestFit="1" customWidth="1"/>
    <col min="52" max="52" width="14.85546875" bestFit="1" customWidth="1"/>
    <col min="53" max="53" width="16.85546875" bestFit="1" customWidth="1"/>
    <col min="54" max="54" width="14.85546875" bestFit="1" customWidth="1"/>
    <col min="55" max="55" width="16.28515625" bestFit="1" customWidth="1"/>
    <col min="56" max="56" width="14.85546875" bestFit="1" customWidth="1"/>
    <col min="57" max="57" width="16.42578125" bestFit="1" customWidth="1"/>
    <col min="58" max="58" width="14.85546875" bestFit="1" customWidth="1"/>
    <col min="59" max="59" width="16.85546875" bestFit="1" customWidth="1"/>
    <col min="60" max="60" width="14.85546875" bestFit="1" customWidth="1"/>
    <col min="61" max="61" width="16.28515625" bestFit="1" customWidth="1"/>
    <col min="62" max="62" width="14.85546875" bestFit="1" customWidth="1"/>
    <col min="63" max="63" width="16.42578125" bestFit="1" customWidth="1"/>
    <col min="64" max="64" width="14.85546875" bestFit="1" customWidth="1"/>
    <col min="65" max="65" width="15.42578125" bestFit="1" customWidth="1"/>
    <col min="66" max="66" width="14.85546875" bestFit="1" customWidth="1"/>
    <col min="67" max="67" width="16.7109375" bestFit="1" customWidth="1"/>
    <col min="68" max="68" width="14.85546875" bestFit="1" customWidth="1"/>
    <col min="69" max="69" width="16.7109375" bestFit="1" customWidth="1"/>
    <col min="70" max="70" width="14.85546875" bestFit="1" customWidth="1"/>
    <col min="71" max="71" width="16.42578125" bestFit="1" customWidth="1"/>
    <col min="72" max="72" width="14.85546875" bestFit="1" customWidth="1"/>
    <col min="73" max="73" width="16.7109375" bestFit="1" customWidth="1"/>
    <col min="74" max="74" width="14.85546875" bestFit="1" customWidth="1"/>
    <col min="75" max="75" width="16.28515625" bestFit="1" customWidth="1"/>
    <col min="76" max="76" width="14.85546875" bestFit="1" customWidth="1"/>
    <col min="77" max="77" width="16.28515625" bestFit="1" customWidth="1"/>
    <col min="78" max="78" width="14.85546875" bestFit="1" customWidth="1"/>
    <col min="79" max="79" width="22.42578125" bestFit="1" customWidth="1"/>
    <col min="80" max="80" width="20.5703125" bestFit="1" customWidth="1"/>
    <col min="81" max="81" width="16.28515625" bestFit="1" customWidth="1"/>
    <col min="82" max="82" width="14.85546875" bestFit="1" customWidth="1"/>
    <col min="83" max="83" width="16.42578125" bestFit="1" customWidth="1"/>
    <col min="84" max="84" width="14.85546875" bestFit="1" customWidth="1"/>
    <col min="85" max="85" width="18.140625" bestFit="1" customWidth="1"/>
    <col min="86" max="86" width="14.85546875" bestFit="1" customWidth="1"/>
    <col min="87" max="87" width="15.28515625" bestFit="1" customWidth="1"/>
    <col min="88" max="88" width="14.85546875" bestFit="1" customWidth="1"/>
    <col min="89" max="89" width="16.28515625" bestFit="1" customWidth="1"/>
    <col min="90" max="90" width="14.85546875" bestFit="1" customWidth="1"/>
    <col min="91" max="91" width="17.140625" bestFit="1" customWidth="1"/>
    <col min="92" max="92" width="14.85546875" bestFit="1" customWidth="1"/>
    <col min="93" max="93" width="15" bestFit="1" customWidth="1"/>
    <col min="94" max="94" width="14.85546875" bestFit="1" customWidth="1"/>
    <col min="95" max="95" width="17.140625" bestFit="1" customWidth="1"/>
    <col min="96" max="96" width="14.85546875" bestFit="1" customWidth="1"/>
    <col min="97" max="97" width="16.7109375" bestFit="1" customWidth="1"/>
    <col min="98" max="100" width="14.85546875" bestFit="1" customWidth="1"/>
    <col min="101" max="101" width="18.140625" bestFit="1" customWidth="1"/>
    <col min="102" max="102" width="14.85546875" bestFit="1" customWidth="1"/>
    <col min="103" max="103" width="16.85546875" bestFit="1" customWidth="1"/>
    <col min="104" max="104" width="14.85546875" bestFit="1" customWidth="1"/>
    <col min="105" max="105" width="18.28515625" bestFit="1" customWidth="1"/>
    <col min="106" max="106" width="14.85546875" bestFit="1" customWidth="1"/>
    <col min="107" max="107" width="17.28515625" bestFit="1" customWidth="1"/>
    <col min="108" max="108" width="14.85546875" bestFit="1" customWidth="1"/>
    <col min="109" max="109" width="15.42578125" bestFit="1" customWidth="1"/>
    <col min="110" max="110" width="14.85546875" bestFit="1" customWidth="1"/>
    <col min="111" max="111" width="15.42578125" bestFit="1" customWidth="1"/>
    <col min="112" max="112" width="14.85546875" bestFit="1" customWidth="1"/>
    <col min="113" max="113" width="15.42578125" bestFit="1" customWidth="1"/>
    <col min="114" max="114" width="14.85546875" bestFit="1" customWidth="1"/>
    <col min="115" max="115" width="15.42578125" bestFit="1" customWidth="1"/>
    <col min="116" max="116" width="8.85546875" bestFit="1" customWidth="1"/>
    <col min="117" max="117" width="15.7109375" bestFit="1" customWidth="1"/>
    <col min="118" max="118" width="14.85546875" bestFit="1" customWidth="1"/>
    <col min="119" max="119" width="15.7109375" bestFit="1" customWidth="1"/>
    <col min="120" max="120" width="14.85546875" bestFit="1" customWidth="1"/>
    <col min="121" max="121" width="15.28515625" bestFit="1" customWidth="1"/>
    <col min="122" max="122" width="14.85546875" bestFit="1" customWidth="1"/>
    <col min="123" max="123" width="15" bestFit="1" customWidth="1"/>
    <col min="124" max="124" width="14.85546875" bestFit="1" customWidth="1"/>
    <col min="125" max="125" width="15.42578125" bestFit="1" customWidth="1"/>
    <col min="126" max="126" width="14.85546875" bestFit="1" customWidth="1"/>
    <col min="127" max="127" width="15" bestFit="1" customWidth="1"/>
    <col min="128" max="128" width="14.85546875" bestFit="1" customWidth="1"/>
    <col min="129" max="129" width="17.42578125" bestFit="1" customWidth="1"/>
    <col min="130" max="130" width="14.85546875" bestFit="1" customWidth="1"/>
    <col min="131" max="131" width="16.85546875" bestFit="1" customWidth="1"/>
    <col min="132" max="132" width="14.85546875" bestFit="1" customWidth="1"/>
    <col min="133" max="133" width="16.42578125" bestFit="1" customWidth="1"/>
    <col min="134" max="134" width="14.85546875" bestFit="1" customWidth="1"/>
    <col min="135" max="135" width="18.28515625" bestFit="1" customWidth="1"/>
    <col min="136" max="136" width="14.85546875" bestFit="1" customWidth="1"/>
    <col min="137" max="137" width="17.85546875" bestFit="1" customWidth="1"/>
    <col min="138" max="138" width="14.85546875" bestFit="1" customWidth="1"/>
    <col min="139" max="139" width="16.85546875" bestFit="1" customWidth="1"/>
    <col min="140" max="140" width="14.85546875" bestFit="1" customWidth="1"/>
    <col min="141" max="141" width="17.140625" bestFit="1" customWidth="1"/>
    <col min="142" max="142" width="14.85546875" bestFit="1" customWidth="1"/>
    <col min="143" max="143" width="17.140625" bestFit="1" customWidth="1"/>
    <col min="144" max="144" width="14.85546875" bestFit="1" customWidth="1"/>
    <col min="145" max="145" width="16.42578125" bestFit="1" customWidth="1"/>
    <col min="146" max="146" width="14.85546875" bestFit="1" customWidth="1"/>
    <col min="147" max="147" width="15.28515625" bestFit="1" customWidth="1"/>
    <col min="148" max="148" width="8.7109375" bestFit="1" customWidth="1"/>
    <col min="149" max="149" width="17.42578125" bestFit="1" customWidth="1"/>
    <col min="150" max="150" width="14.85546875" bestFit="1" customWidth="1"/>
    <col min="151" max="151" width="18.7109375" bestFit="1" customWidth="1"/>
    <col min="152" max="152" width="14.85546875" bestFit="1" customWidth="1"/>
    <col min="153" max="153" width="17.42578125" bestFit="1" customWidth="1"/>
    <col min="154" max="154" width="14.85546875" bestFit="1" customWidth="1"/>
    <col min="155" max="155" width="18.140625" bestFit="1" customWidth="1"/>
    <col min="156" max="156" width="14.85546875" bestFit="1" customWidth="1"/>
    <col min="157" max="157" width="16.42578125" bestFit="1" customWidth="1"/>
    <col min="158" max="158" width="14.85546875" bestFit="1" customWidth="1"/>
    <col min="159" max="159" width="16.42578125" bestFit="1" customWidth="1"/>
    <col min="160" max="160" width="14.85546875" bestFit="1" customWidth="1"/>
    <col min="161" max="161" width="17.140625" bestFit="1" customWidth="1"/>
    <col min="162" max="162" width="14.85546875" bestFit="1" customWidth="1"/>
    <col min="163" max="163" width="17.140625" bestFit="1" customWidth="1"/>
    <col min="164" max="164" width="14.85546875" bestFit="1" customWidth="1"/>
    <col min="165" max="165" width="15.42578125" bestFit="1" customWidth="1"/>
    <col min="166" max="166" width="14.85546875" bestFit="1" customWidth="1"/>
    <col min="167" max="167" width="17.140625" bestFit="1" customWidth="1"/>
    <col min="168" max="168" width="14.85546875" bestFit="1" customWidth="1"/>
    <col min="169" max="169" width="18.140625" bestFit="1" customWidth="1"/>
    <col min="170" max="170" width="14.85546875" bestFit="1" customWidth="1"/>
    <col min="171" max="171" width="17.140625" bestFit="1" customWidth="1"/>
    <col min="172" max="172" width="14.85546875" bestFit="1" customWidth="1"/>
    <col min="173" max="173" width="18.5703125" bestFit="1" customWidth="1"/>
    <col min="174" max="174" width="14.85546875" customWidth="1"/>
    <col min="175" max="175" width="18.140625" bestFit="1" customWidth="1"/>
    <col min="176" max="176" width="14.85546875" customWidth="1"/>
    <col min="177" max="177" width="16.42578125" bestFit="1" customWidth="1"/>
    <col min="178" max="178" width="14.85546875" bestFit="1" customWidth="1"/>
    <col min="179" max="179" width="18.28515625" bestFit="1" customWidth="1"/>
    <col min="180" max="180" width="14.85546875" customWidth="1"/>
    <col min="181" max="181" width="16.42578125" bestFit="1" customWidth="1"/>
    <col min="182" max="182" width="14.85546875" customWidth="1"/>
    <col min="183" max="183" width="17.140625" bestFit="1" customWidth="1"/>
    <col min="184" max="184" width="14.85546875" customWidth="1"/>
    <col min="185" max="185" width="17.140625" bestFit="1" customWidth="1"/>
    <col min="186" max="186" width="14.85546875" customWidth="1"/>
    <col min="187" max="187" width="17.85546875" bestFit="1" customWidth="1"/>
    <col min="188" max="188" width="14.85546875" customWidth="1"/>
    <col min="189" max="189" width="17.140625" bestFit="1" customWidth="1"/>
    <col min="190" max="190" width="14.85546875" customWidth="1"/>
    <col min="191" max="191" width="18.140625" bestFit="1" customWidth="1"/>
    <col min="192" max="192" width="14.85546875" customWidth="1"/>
    <col min="193" max="193" width="15.42578125" bestFit="1" customWidth="1"/>
    <col min="194" max="194" width="14.85546875" customWidth="1"/>
    <col min="195" max="195" width="17.140625" bestFit="1" customWidth="1"/>
    <col min="196" max="196" width="14.85546875" customWidth="1"/>
    <col min="197" max="197" width="17.140625" bestFit="1" customWidth="1"/>
    <col min="198" max="198" width="14.85546875" customWidth="1"/>
    <col min="199" max="199" width="17.85546875" bestFit="1" customWidth="1"/>
    <col min="200" max="200" width="14.85546875" customWidth="1"/>
    <col min="201" max="201" width="17.140625" bestFit="1" customWidth="1"/>
    <col min="202" max="202" width="14.85546875" bestFit="1" customWidth="1"/>
    <col min="203" max="203" width="18.140625" bestFit="1" customWidth="1"/>
    <col min="204" max="204" width="14.85546875" customWidth="1"/>
    <col min="205" max="205" width="15.42578125" bestFit="1" customWidth="1"/>
    <col min="206" max="206" width="14.85546875" bestFit="1" customWidth="1"/>
    <col min="207" max="207" width="17.140625" bestFit="1" customWidth="1"/>
    <col min="208" max="208" width="14.85546875" bestFit="1" customWidth="1"/>
    <col min="209" max="209" width="18.140625" bestFit="1" customWidth="1"/>
    <col min="210" max="210" width="14.85546875" bestFit="1" customWidth="1"/>
    <col min="211" max="211" width="11.140625" bestFit="1" customWidth="1"/>
    <col min="212" max="212" width="12" bestFit="1" customWidth="1"/>
    <col min="213" max="213" width="12.42578125" bestFit="1" customWidth="1"/>
    <col min="214" max="214" width="12" bestFit="1" customWidth="1"/>
  </cols>
  <sheetData>
    <row r="1" spans="1:21" x14ac:dyDescent="0.25">
      <c r="A1" t="s">
        <v>0</v>
      </c>
      <c r="B1" t="s">
        <v>46</v>
      </c>
      <c r="C1" t="s">
        <v>43</v>
      </c>
      <c r="D1" t="s">
        <v>45</v>
      </c>
      <c r="E1" t="s">
        <v>44</v>
      </c>
      <c r="F1" t="s">
        <v>42</v>
      </c>
      <c r="G1" t="s">
        <v>23</v>
      </c>
      <c r="H1" t="s">
        <v>25</v>
      </c>
      <c r="I1" t="s">
        <v>36</v>
      </c>
      <c r="J1" t="s">
        <v>38</v>
      </c>
      <c r="K1" t="s">
        <v>37</v>
      </c>
      <c r="L1" t="s">
        <v>39</v>
      </c>
      <c r="M1" t="s">
        <v>40</v>
      </c>
      <c r="N1" t="s">
        <v>41</v>
      </c>
      <c r="O1" t="s">
        <v>35</v>
      </c>
      <c r="P1" t="s">
        <v>34</v>
      </c>
      <c r="Q1" t="s">
        <v>47</v>
      </c>
      <c r="R1" t="s">
        <v>30</v>
      </c>
      <c r="S1" t="s">
        <v>22</v>
      </c>
      <c r="T1" t="s">
        <v>31</v>
      </c>
      <c r="U1" t="s">
        <v>24</v>
      </c>
    </row>
    <row r="2" spans="1:21" x14ac:dyDescent="0.25">
      <c r="A2" s="1">
        <v>44712</v>
      </c>
      <c r="B2">
        <v>6.1349229623328672E-3</v>
      </c>
      <c r="C2">
        <v>1.9959274097052671E-2</v>
      </c>
      <c r="D2">
        <v>3.1730710149262542E-3</v>
      </c>
      <c r="E2">
        <v>3.8017160064320654E-2</v>
      </c>
      <c r="F2">
        <v>1.4826743225854644E-2</v>
      </c>
      <c r="G2">
        <v>-3.261547766106776E-2</v>
      </c>
      <c r="H2">
        <v>6.1841251442089629E-3</v>
      </c>
      <c r="I2">
        <v>7.6623667226243253E-3</v>
      </c>
      <c r="J2">
        <v>2.0635715213891404E-2</v>
      </c>
      <c r="K2">
        <v>-7.4104283213966005E-3</v>
      </c>
      <c r="L2">
        <v>1.8708403301922694E-2</v>
      </c>
      <c r="M2">
        <v>2.315884158513426E-2</v>
      </c>
      <c r="N2">
        <v>1.4647449704400684E-2</v>
      </c>
      <c r="O2">
        <v>1.6488806652821486E-2</v>
      </c>
      <c r="P2">
        <v>3.1676000580196373E-3</v>
      </c>
      <c r="Q2">
        <v>-1.3177816446586332E-2</v>
      </c>
      <c r="R2">
        <v>-5.8956649708787001E-2</v>
      </c>
      <c r="S2">
        <v>4.6112607315808241E-2</v>
      </c>
      <c r="T2">
        <v>-9.9223751007035954E-3</v>
      </c>
      <c r="U2">
        <v>-2.2533030350316063E-2</v>
      </c>
    </row>
    <row r="3" spans="1:21" x14ac:dyDescent="0.25">
      <c r="A3" s="1">
        <v>44742</v>
      </c>
      <c r="B3">
        <v>-5.1576708898975698E-2</v>
      </c>
      <c r="C3">
        <v>-8.7666378546889745E-2</v>
      </c>
      <c r="D3">
        <v>-8.1406606285270078E-2</v>
      </c>
      <c r="E3">
        <v>-9.639859704382836E-2</v>
      </c>
      <c r="F3">
        <v>-7.3992184039916253E-2</v>
      </c>
      <c r="G3">
        <v>-1.5659651077124748E-2</v>
      </c>
      <c r="H3">
        <v>-8.6344369456952119E-3</v>
      </c>
      <c r="I3">
        <v>-9.6496621179055442E-2</v>
      </c>
      <c r="J3">
        <v>-9.2176574388795451E-2</v>
      </c>
      <c r="K3">
        <v>-0.10037853357164161</v>
      </c>
      <c r="L3">
        <v>-8.4870502199738351E-2</v>
      </c>
      <c r="M3">
        <v>-8.9662058062332739E-2</v>
      </c>
      <c r="N3">
        <v>-8.2392354831125392E-2</v>
      </c>
      <c r="O3">
        <v>-8.2563892507250825E-2</v>
      </c>
      <c r="P3">
        <v>-8.3250914486413197E-2</v>
      </c>
      <c r="Q3">
        <v>-8.275424290383393E-2</v>
      </c>
      <c r="R3">
        <v>-6.6991094436029797E-2</v>
      </c>
      <c r="S3">
        <v>-7.5345877414444429E-2</v>
      </c>
      <c r="T3">
        <v>-3.1155031642888131E-2</v>
      </c>
      <c r="U3">
        <v>-1.2745695648567645E-2</v>
      </c>
    </row>
    <row r="4" spans="1:21" x14ac:dyDescent="0.25">
      <c r="A4" s="1">
        <v>44773</v>
      </c>
      <c r="B4">
        <v>-3.4912540941278714E-3</v>
      </c>
      <c r="C4">
        <v>5.1688221122862643E-2</v>
      </c>
      <c r="D4">
        <v>8.1749252217843571E-2</v>
      </c>
      <c r="E4">
        <v>2.1428568252685354E-2</v>
      </c>
      <c r="F4">
        <v>0.11153541080675455</v>
      </c>
      <c r="G4">
        <v>-2.5881517491311956E-2</v>
      </c>
      <c r="H4">
        <v>2.9614711002577732E-2</v>
      </c>
      <c r="I4">
        <v>0.10918087317575265</v>
      </c>
      <c r="J4">
        <v>9.1515769859999763E-2</v>
      </c>
      <c r="K4">
        <v>0.12772635216692052</v>
      </c>
      <c r="L4">
        <v>9.9339841836008524E-2</v>
      </c>
      <c r="M4">
        <v>8.5252252255379135E-2</v>
      </c>
      <c r="N4">
        <v>0.11878088311445056</v>
      </c>
      <c r="O4">
        <v>5.9071723762484707E-2</v>
      </c>
      <c r="P4">
        <v>9.2654557465234655E-2</v>
      </c>
      <c r="Q4">
        <v>0.12792036780333316</v>
      </c>
      <c r="R4">
        <v>8.6238773575262551E-2</v>
      </c>
      <c r="S4">
        <v>-2.3281640459263508E-2</v>
      </c>
      <c r="T4">
        <v>4.3098524273660788E-2</v>
      </c>
      <c r="U4">
        <v>2.4310268920182398E-2</v>
      </c>
    </row>
    <row r="5" spans="1:21" x14ac:dyDescent="0.25">
      <c r="A5" s="1">
        <v>44804</v>
      </c>
      <c r="B5">
        <v>-1.3263216453560434E-2</v>
      </c>
      <c r="C5">
        <v>-6.116856487885558E-2</v>
      </c>
      <c r="D5">
        <v>-7.5341651447035307E-2</v>
      </c>
      <c r="E5">
        <v>-4.6244137320659129E-2</v>
      </c>
      <c r="F5">
        <v>-4.2955317547439087E-2</v>
      </c>
      <c r="G5">
        <v>-2.9433282458306786E-2</v>
      </c>
      <c r="H5">
        <v>-3.8538375312654138E-2</v>
      </c>
      <c r="I5">
        <v>-3.1682128889231165E-2</v>
      </c>
      <c r="J5">
        <v>-2.8335830130527095E-2</v>
      </c>
      <c r="K5">
        <v>-3.4645878225237792E-2</v>
      </c>
      <c r="L5">
        <v>-4.3212885610492413E-2</v>
      </c>
      <c r="M5">
        <v>-4.1606359107777102E-2</v>
      </c>
      <c r="N5">
        <v>-4.6932008346455056E-2</v>
      </c>
      <c r="O5">
        <v>-2.8506828685695207E-2</v>
      </c>
      <c r="P5">
        <v>-4.1276425739099842E-2</v>
      </c>
      <c r="Q5">
        <v>-5.4061843963811973E-2</v>
      </c>
      <c r="R5">
        <v>-4.1857826404324672E-2</v>
      </c>
      <c r="S5">
        <v>-1.4188421933873929E-2</v>
      </c>
      <c r="T5">
        <v>-2.7042239501901211E-2</v>
      </c>
      <c r="U5">
        <v>-4.5530885209380978E-2</v>
      </c>
    </row>
    <row r="6" spans="1:21" x14ac:dyDescent="0.25">
      <c r="A6" s="1">
        <v>44834</v>
      </c>
      <c r="B6">
        <v>-0.11539431656117738</v>
      </c>
      <c r="C6">
        <v>-9.2220497794681444E-2</v>
      </c>
      <c r="D6">
        <v>-9.8745492841962212E-2</v>
      </c>
      <c r="E6">
        <v>-8.8694378375151595E-2</v>
      </c>
      <c r="F6">
        <v>-9.7850772513047524E-2</v>
      </c>
      <c r="G6">
        <v>-2.8881810636775085E-2</v>
      </c>
      <c r="H6">
        <v>-4.734976020989301E-2</v>
      </c>
      <c r="I6">
        <v>-9.215298159687435E-2</v>
      </c>
      <c r="J6">
        <v>-9.4774282225638995E-2</v>
      </c>
      <c r="K6">
        <v>-8.8109323314597865E-2</v>
      </c>
      <c r="L6">
        <v>-9.8366268198016527E-2</v>
      </c>
      <c r="M6">
        <v>-0.10420039931502645</v>
      </c>
      <c r="N6">
        <v>-9.1440253477412137E-2</v>
      </c>
      <c r="O6">
        <v>-8.5003441997106854E-2</v>
      </c>
      <c r="P6">
        <v>-9.2351125185038074E-2</v>
      </c>
      <c r="Q6">
        <v>-9.9264130077626689E-2</v>
      </c>
      <c r="R6">
        <v>-0.1492265317750191</v>
      </c>
      <c r="S6">
        <v>-6.8508941822991498E-2</v>
      </c>
      <c r="T6">
        <v>-6.7323467493117906E-2</v>
      </c>
      <c r="U6">
        <v>-8.2351070815878002E-2</v>
      </c>
    </row>
    <row r="7" spans="1:21" x14ac:dyDescent="0.25">
      <c r="A7" s="1">
        <v>44865</v>
      </c>
      <c r="B7">
        <v>-1.9782237168776917E-2</v>
      </c>
      <c r="C7">
        <v>5.8918151948331943E-2</v>
      </c>
      <c r="D7">
        <v>5.0027579092992713E-2</v>
      </c>
      <c r="E7">
        <v>7.1632520598822857E-2</v>
      </c>
      <c r="F7">
        <v>0.13800004282708667</v>
      </c>
      <c r="G7">
        <v>-1.784440770356277E-2</v>
      </c>
      <c r="H7">
        <v>-1.4540299048780514E-2</v>
      </c>
      <c r="I7">
        <v>0.10612974450193446</v>
      </c>
      <c r="J7">
        <v>0.11444441076494916</v>
      </c>
      <c r="K7">
        <v>9.4097068737086786E-2</v>
      </c>
      <c r="L7">
        <v>0.12306457491215594</v>
      </c>
      <c r="M7">
        <v>0.14396598464477539</v>
      </c>
      <c r="N7">
        <v>9.8947648951574374E-2</v>
      </c>
      <c r="O7">
        <v>0.11523497650624814</v>
      </c>
      <c r="P7">
        <v>8.124913111757559E-2</v>
      </c>
      <c r="Q7">
        <v>4.4252390369672101E-2</v>
      </c>
      <c r="R7">
        <v>2.1568720568179156E-2</v>
      </c>
      <c r="S7">
        <v>5.0679848859038312E-2</v>
      </c>
      <c r="T7">
        <v>1.4204023107020403E-2</v>
      </c>
      <c r="U7">
        <v>-5.9644254914111849E-2</v>
      </c>
    </row>
    <row r="8" spans="1:21" x14ac:dyDescent="0.25">
      <c r="A8" s="1">
        <v>44895</v>
      </c>
      <c r="B8">
        <v>0.15589364336592948</v>
      </c>
      <c r="C8">
        <v>0.13168094997750224</v>
      </c>
      <c r="D8">
        <v>0.13965082802587347</v>
      </c>
      <c r="E8">
        <v>0.12593851101378517</v>
      </c>
      <c r="F8">
        <v>4.3936736222347728E-2</v>
      </c>
      <c r="G8">
        <v>8.4918659637304605E-2</v>
      </c>
      <c r="H8">
        <v>3.6122654558921274E-2</v>
      </c>
      <c r="I8">
        <v>5.9662761298645783E-2</v>
      </c>
      <c r="J8">
        <v>6.4207291090580876E-2</v>
      </c>
      <c r="K8">
        <v>5.7577924636402322E-2</v>
      </c>
      <c r="L8">
        <v>4.0032626173788444E-2</v>
      </c>
      <c r="M8">
        <v>3.8062005993710013E-2</v>
      </c>
      <c r="N8">
        <v>4.412422501231239E-2</v>
      </c>
      <c r="O8">
        <v>5.902448884704925E-2</v>
      </c>
      <c r="P8">
        <v>5.5519787474102911E-2</v>
      </c>
      <c r="Q8">
        <v>5.0653929186830426E-2</v>
      </c>
      <c r="R8">
        <v>5.6534544046090929E-2</v>
      </c>
      <c r="S8">
        <v>1.2941123021955159E-2</v>
      </c>
      <c r="T8">
        <v>1.8328756955177328E-2</v>
      </c>
      <c r="U8">
        <v>7.1510472238129674E-2</v>
      </c>
    </row>
    <row r="9" spans="1:21" x14ac:dyDescent="0.25">
      <c r="A9" s="1">
        <v>44926</v>
      </c>
      <c r="B9">
        <v>-2.6374997684821766E-2</v>
      </c>
      <c r="C9">
        <v>-1.8129010022345127E-2</v>
      </c>
      <c r="D9">
        <v>-3.3354177291156417E-2</v>
      </c>
      <c r="E9">
        <v>-1.5726237289362954E-3</v>
      </c>
      <c r="F9">
        <v>-6.004582595615926E-2</v>
      </c>
      <c r="G9">
        <v>2.9306485665941073E-2</v>
      </c>
      <c r="H9">
        <v>-1.4880641924507665E-2</v>
      </c>
      <c r="I9">
        <v>-5.4680246016504341E-2</v>
      </c>
      <c r="J9">
        <v>-5.0525530436234201E-2</v>
      </c>
      <c r="K9">
        <v>-6.0805669651875505E-2</v>
      </c>
      <c r="L9">
        <v>-6.6790989393184286E-2</v>
      </c>
      <c r="M9">
        <v>-6.4858785205670455E-2</v>
      </c>
      <c r="N9">
        <v>-7.0566925113563661E-2</v>
      </c>
      <c r="O9">
        <v>-3.8853964827629706E-2</v>
      </c>
      <c r="P9">
        <v>-5.7288171787518327E-2</v>
      </c>
      <c r="Q9">
        <v>-7.6255311250582825E-2</v>
      </c>
      <c r="R9">
        <v>-3.1084601188078764E-2</v>
      </c>
      <c r="S9">
        <v>-2.6474227337739853E-2</v>
      </c>
      <c r="T9">
        <v>-1.3173519365356934E-2</v>
      </c>
      <c r="U9">
        <v>-2.6200290075771071E-2</v>
      </c>
    </row>
    <row r="10" spans="1:21" x14ac:dyDescent="0.25">
      <c r="A10" s="1">
        <v>44957</v>
      </c>
      <c r="B10">
        <v>9.1292848157541684E-2</v>
      </c>
      <c r="C10">
        <v>9.0036619699320086E-2</v>
      </c>
      <c r="D10">
        <v>9.3958869585358595E-2</v>
      </c>
      <c r="E10">
        <v>8.1952882170838182E-2</v>
      </c>
      <c r="F10">
        <v>7.5689233707124437E-2</v>
      </c>
      <c r="G10">
        <v>5.7592574319810907E-2</v>
      </c>
      <c r="H10">
        <v>3.5811150793175317E-2</v>
      </c>
      <c r="I10">
        <v>9.2604157740796333E-2</v>
      </c>
      <c r="J10">
        <v>0.11359121888452073</v>
      </c>
      <c r="K10">
        <v>7.1595854416143245E-2</v>
      </c>
      <c r="L10">
        <v>9.5097259958684344E-2</v>
      </c>
      <c r="M10">
        <v>0.11948306931410424</v>
      </c>
      <c r="N10">
        <v>7.3378323754049735E-2</v>
      </c>
      <c r="O10">
        <v>6.9690469612704309E-2</v>
      </c>
      <c r="P10">
        <v>6.2726104724673659E-2</v>
      </c>
      <c r="Q10">
        <v>5.6068376537972586E-2</v>
      </c>
      <c r="R10">
        <v>4.8076905280575177E-2</v>
      </c>
      <c r="S10">
        <v>1.1502035139737021E-2</v>
      </c>
      <c r="T10">
        <v>2.0762925451631942E-2</v>
      </c>
      <c r="U10">
        <v>7.6436313470542583E-2</v>
      </c>
    </row>
    <row r="11" spans="1:21" x14ac:dyDescent="0.25">
      <c r="A11" s="1">
        <v>44985</v>
      </c>
      <c r="B11">
        <v>-7.5677007299942423E-2</v>
      </c>
      <c r="C11">
        <v>-3.0747791527629187E-2</v>
      </c>
      <c r="D11">
        <v>-3.7433159532784255E-2</v>
      </c>
      <c r="E11">
        <v>-2.1958101651693318E-2</v>
      </c>
      <c r="F11">
        <v>-1.0219367164129634E-2</v>
      </c>
      <c r="G11">
        <v>-5.3675963916421821E-2</v>
      </c>
      <c r="H11">
        <v>-3.2707657726486095E-2</v>
      </c>
      <c r="I11">
        <v>-1.8729564659723197E-2</v>
      </c>
      <c r="J11">
        <v>-2.841874050528137E-2</v>
      </c>
      <c r="K11">
        <v>-8.4710990245585593E-3</v>
      </c>
      <c r="L11">
        <v>-1.2061002463203185E-2</v>
      </c>
      <c r="M11">
        <v>-1.7315639517314851E-2</v>
      </c>
      <c r="N11">
        <v>-9.655195610752676E-3</v>
      </c>
      <c r="O11">
        <v>-3.0287458558869051E-2</v>
      </c>
      <c r="P11">
        <v>-2.5323876536260337E-2</v>
      </c>
      <c r="Q11">
        <v>-1.9747495408261595E-2</v>
      </c>
      <c r="R11">
        <v>-2.3263476052481913E-2</v>
      </c>
      <c r="S11">
        <v>-4.8160553592956568E-2</v>
      </c>
      <c r="T11">
        <v>-1.3529822042228745E-2</v>
      </c>
      <c r="U11">
        <v>-4.8505536650131909E-2</v>
      </c>
    </row>
    <row r="12" spans="1:21" x14ac:dyDescent="0.25">
      <c r="A12" s="1">
        <v>45016</v>
      </c>
      <c r="B12">
        <v>3.217367399854254E-2</v>
      </c>
      <c r="C12">
        <v>3.1290529440386905E-2</v>
      </c>
      <c r="D12">
        <v>6.2131559484627008E-2</v>
      </c>
      <c r="E12">
        <v>-4.1195588214093526E-4</v>
      </c>
      <c r="F12">
        <v>-8.8819346848463709E-2</v>
      </c>
      <c r="G12">
        <v>7.9161282471661654E-2</v>
      </c>
      <c r="H12">
        <v>3.721061252394553E-2</v>
      </c>
      <c r="I12">
        <v>-3.1565515303043856E-2</v>
      </c>
      <c r="J12">
        <v>-5.3309023000687739E-2</v>
      </c>
      <c r="K12">
        <v>-1.1790144764467825E-2</v>
      </c>
      <c r="L12">
        <v>-5.223232719472537E-2</v>
      </c>
      <c r="M12">
        <v>-6.4870345678536334E-2</v>
      </c>
      <c r="N12">
        <v>-4.036044481018497E-2</v>
      </c>
      <c r="O12">
        <v>1.3347886958152921E-2</v>
      </c>
      <c r="P12">
        <v>3.7264384171029841E-2</v>
      </c>
      <c r="Q12">
        <v>5.8215373028567718E-2</v>
      </c>
      <c r="R12">
        <v>3.4552178822663926E-2</v>
      </c>
      <c r="S12">
        <v>-7.026897771739149E-4</v>
      </c>
      <c r="T12">
        <v>2.8643487285639813E-2</v>
      </c>
      <c r="U12">
        <v>4.8393531788927913E-2</v>
      </c>
    </row>
    <row r="13" spans="1:21" x14ac:dyDescent="0.25">
      <c r="A13" s="1">
        <v>45046</v>
      </c>
      <c r="B13">
        <v>-8.3628490626921348E-3</v>
      </c>
      <c r="C13">
        <v>2.9362502825553749E-2</v>
      </c>
      <c r="D13">
        <v>2.2416721469683987E-2</v>
      </c>
      <c r="E13">
        <v>3.4823871500429648E-2</v>
      </c>
      <c r="F13">
        <v>-4.0074584617519893E-2</v>
      </c>
      <c r="G13">
        <v>8.6235226532476172E-3</v>
      </c>
      <c r="H13">
        <v>8.1476794834267618E-3</v>
      </c>
      <c r="I13">
        <v>-7.8350123328050358E-3</v>
      </c>
      <c r="J13">
        <v>-9.9250430707801263E-3</v>
      </c>
      <c r="K13">
        <v>-5.1741397780575848E-3</v>
      </c>
      <c r="L13">
        <v>-2.7921375733727882E-2</v>
      </c>
      <c r="M13">
        <v>-2.393415911335639E-2</v>
      </c>
      <c r="N13">
        <v>-2.9743534653855375E-2</v>
      </c>
      <c r="O13">
        <v>1.733002753037205E-2</v>
      </c>
      <c r="P13">
        <v>1.6006658812826924E-2</v>
      </c>
      <c r="Q13">
        <v>1.4869258996989654E-2</v>
      </c>
      <c r="R13">
        <v>-2.6028582445561943E-3</v>
      </c>
      <c r="S13">
        <v>-4.9226896753888916E-3</v>
      </c>
      <c r="T13">
        <v>5.1756673160152644E-4</v>
      </c>
      <c r="U13">
        <v>3.3834679151223401E-3</v>
      </c>
    </row>
    <row r="14" spans="1:21" x14ac:dyDescent="0.25">
      <c r="A14" s="1">
        <v>45077</v>
      </c>
      <c r="B14">
        <v>-1.4822433304948146E-2</v>
      </c>
      <c r="C14">
        <v>-6.5200127550373299E-3</v>
      </c>
      <c r="D14">
        <v>2.0885647020141285E-4</v>
      </c>
      <c r="E14">
        <v>-1.2544823831177165E-2</v>
      </c>
      <c r="F14">
        <v>-2.1941768312916943E-2</v>
      </c>
      <c r="G14">
        <v>1.0876593472095575E-2</v>
      </c>
      <c r="H14">
        <v>-2.1111177996813169E-4</v>
      </c>
      <c r="I14">
        <v>-2.256241302812878E-2</v>
      </c>
      <c r="J14">
        <v>-3.2235860238789882E-2</v>
      </c>
      <c r="K14">
        <v>-1.4197387473937062E-2</v>
      </c>
      <c r="L14">
        <v>-2.3297898312832466E-2</v>
      </c>
      <c r="M14">
        <v>-3.634373016179937E-2</v>
      </c>
      <c r="N14">
        <v>-1.1530849804562537E-2</v>
      </c>
      <c r="O14">
        <v>-2.2669862127317586E-2</v>
      </c>
      <c r="P14">
        <v>-1.0175740944153966E-2</v>
      </c>
      <c r="Q14">
        <v>6.1691730084167951E-4</v>
      </c>
      <c r="R14">
        <v>-9.8427444943305353E-4</v>
      </c>
      <c r="S14">
        <v>-3.957593505578838E-2</v>
      </c>
      <c r="T14">
        <v>-1.7425431022751736E-3</v>
      </c>
      <c r="U14">
        <v>-1.8099265331623093E-2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7B54-D7FD-4D94-95BB-CE22DD98C5D6}">
  <dimension ref="A1:T2"/>
  <sheetViews>
    <sheetView workbookViewId="0">
      <selection activeCell="D9" sqref="D9"/>
    </sheetView>
  </sheetViews>
  <sheetFormatPr defaultRowHeight="15" x14ac:dyDescent="0.25"/>
  <cols>
    <col min="1" max="3" width="12" bestFit="1" customWidth="1"/>
    <col min="4" max="4" width="6.5703125" bestFit="1" customWidth="1"/>
    <col min="5" max="6" width="12" bestFit="1" customWidth="1"/>
    <col min="7" max="15" width="12" customWidth="1"/>
    <col min="16" max="16" width="12" bestFit="1" customWidth="1"/>
    <col min="17" max="21" width="12" customWidth="1"/>
    <col min="22" max="30" width="12" bestFit="1" customWidth="1"/>
    <col min="31" max="32" width="12" customWidth="1"/>
    <col min="33" max="34" width="18.85546875" bestFit="1" customWidth="1"/>
    <col min="35" max="35" width="16.7109375" bestFit="1" customWidth="1"/>
    <col min="36" max="36" width="17.85546875" bestFit="1" customWidth="1"/>
    <col min="37" max="37" width="18.85546875" bestFit="1" customWidth="1"/>
    <col min="38" max="38" width="16.7109375" bestFit="1" customWidth="1"/>
    <col min="39" max="39" width="17.85546875" bestFit="1" customWidth="1"/>
    <col min="40" max="40" width="18.85546875" bestFit="1" customWidth="1"/>
    <col min="41" max="41" width="17.85546875" bestFit="1" customWidth="1"/>
    <col min="42" max="42" width="18.85546875" bestFit="1" customWidth="1"/>
    <col min="43" max="44" width="17.85546875" bestFit="1" customWidth="1"/>
    <col min="45" max="45" width="16.7109375" bestFit="1" customWidth="1"/>
    <col min="46" max="46" width="17.85546875" bestFit="1" customWidth="1"/>
    <col min="47" max="49" width="18.85546875" bestFit="1" customWidth="1"/>
    <col min="50" max="50" width="11.140625" bestFit="1" customWidth="1"/>
    <col min="51" max="59" width="5.28515625" bestFit="1" customWidth="1"/>
    <col min="60" max="80" width="6.28515625" bestFit="1" customWidth="1"/>
    <col min="81" max="81" width="17.85546875" bestFit="1" customWidth="1"/>
    <col min="82" max="82" width="18.85546875" bestFit="1" customWidth="1"/>
    <col min="83" max="84" width="17.85546875" bestFit="1" customWidth="1"/>
    <col min="85" max="85" width="18.85546875" bestFit="1" customWidth="1"/>
    <col min="86" max="88" width="17.85546875" bestFit="1" customWidth="1"/>
    <col min="89" max="93" width="18.85546875" bestFit="1" customWidth="1"/>
    <col min="94" max="94" width="17.85546875" bestFit="1" customWidth="1"/>
    <col min="95" max="96" width="18.85546875" bestFit="1" customWidth="1"/>
    <col min="97" max="98" width="17.85546875" bestFit="1" customWidth="1"/>
    <col min="99" max="99" width="18.85546875" bestFit="1" customWidth="1"/>
    <col min="100" max="100" width="17.85546875" bestFit="1" customWidth="1"/>
    <col min="101" max="102" width="18.85546875" bestFit="1" customWidth="1"/>
    <col min="103" max="110" width="17.85546875" bestFit="1" customWidth="1"/>
    <col min="111" max="111" width="18.85546875" bestFit="1" customWidth="1"/>
    <col min="112" max="114" width="17.85546875" bestFit="1" customWidth="1"/>
    <col min="115" max="119" width="18.85546875" bestFit="1" customWidth="1"/>
    <col min="120" max="120" width="17.85546875" bestFit="1" customWidth="1"/>
    <col min="121" max="123" width="18.85546875" bestFit="1" customWidth="1"/>
    <col min="124" max="124" width="17.85546875" bestFit="1" customWidth="1"/>
    <col min="125" max="125" width="18.85546875" bestFit="1" customWidth="1"/>
    <col min="126" max="126" width="17.85546875" bestFit="1" customWidth="1"/>
    <col min="127" max="130" width="12" customWidth="1"/>
    <col min="131" max="131" width="12" bestFit="1" customWidth="1"/>
    <col min="132" max="147" width="12" customWidth="1"/>
  </cols>
  <sheetData>
    <row r="1" spans="1:20" x14ac:dyDescent="0.25">
      <c r="A1" t="s">
        <v>46</v>
      </c>
      <c r="B1" t="s">
        <v>43</v>
      </c>
      <c r="C1" t="s">
        <v>45</v>
      </c>
      <c r="D1" t="s">
        <v>44</v>
      </c>
      <c r="E1" t="s">
        <v>42</v>
      </c>
      <c r="F1" t="s">
        <v>23</v>
      </c>
      <c r="G1" t="s">
        <v>25</v>
      </c>
      <c r="H1" t="s">
        <v>36</v>
      </c>
      <c r="I1" t="s">
        <v>38</v>
      </c>
      <c r="J1" t="s">
        <v>37</v>
      </c>
      <c r="K1" t="s">
        <v>39</v>
      </c>
      <c r="L1" t="s">
        <v>40</v>
      </c>
      <c r="M1" t="s">
        <v>41</v>
      </c>
      <c r="N1" t="s">
        <v>35</v>
      </c>
      <c r="O1" t="s">
        <v>34</v>
      </c>
      <c r="P1" t="s">
        <v>47</v>
      </c>
      <c r="Q1" t="s">
        <v>30</v>
      </c>
      <c r="R1" t="s">
        <v>22</v>
      </c>
      <c r="S1" t="s">
        <v>31</v>
      </c>
      <c r="T1" t="s">
        <v>24</v>
      </c>
    </row>
    <row r="2" spans="1:20" x14ac:dyDescent="0.25">
      <c r="A2">
        <v>38.220001220703125</v>
      </c>
      <c r="B2">
        <v>66.220001220703125</v>
      </c>
      <c r="C2">
        <v>84.360000610351563</v>
      </c>
      <c r="D2">
        <v>46.25</v>
      </c>
      <c r="E2">
        <v>55.05267333984375</v>
      </c>
      <c r="F2">
        <v>171.05999755859375</v>
      </c>
      <c r="G2">
        <v>95.706588745117188</v>
      </c>
      <c r="H2">
        <v>239.78742980957031</v>
      </c>
      <c r="I2">
        <v>100.16593933105469</v>
      </c>
      <c r="J2">
        <v>67.576850891113281</v>
      </c>
      <c r="K2">
        <v>94.167022705078125</v>
      </c>
      <c r="L2">
        <v>91.01568603515625</v>
      </c>
      <c r="M2">
        <v>107.26399993896484</v>
      </c>
      <c r="N2">
        <v>145.03370666503906</v>
      </c>
      <c r="O2">
        <v>380.93600463867188</v>
      </c>
      <c r="P2">
        <v>57.593746185302734</v>
      </c>
      <c r="Q2">
        <v>58.493183135986328</v>
      </c>
      <c r="R2">
        <v>14.409999847412109</v>
      </c>
      <c r="S2">
        <v>106.14594268798828</v>
      </c>
      <c r="T2">
        <v>100.44211578369141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6A27-08F7-400C-B4AB-C5B8B84480E6}">
  <dimension ref="A1:U2"/>
  <sheetViews>
    <sheetView zoomScale="80" zoomScaleNormal="80" workbookViewId="0">
      <selection activeCell="M18" sqref="M18"/>
    </sheetView>
  </sheetViews>
  <sheetFormatPr defaultRowHeight="15" x14ac:dyDescent="0.25"/>
  <cols>
    <col min="1" max="1" width="10.5703125" bestFit="1" customWidth="1"/>
    <col min="2" max="2" width="13.140625" bestFit="1" customWidth="1"/>
    <col min="3" max="5" width="13" bestFit="1" customWidth="1"/>
    <col min="6" max="6" width="13.5703125" bestFit="1" customWidth="1"/>
    <col min="7" max="8" width="13" bestFit="1" customWidth="1"/>
    <col min="9" max="12" width="13" customWidth="1"/>
    <col min="13" max="13" width="13" bestFit="1" customWidth="1"/>
    <col min="14" max="17" width="13" customWidth="1"/>
    <col min="18" max="18" width="13.42578125" bestFit="1" customWidth="1"/>
    <col min="19" max="19" width="14.140625" bestFit="1" customWidth="1"/>
    <col min="20" max="22" width="13" customWidth="1"/>
    <col min="23" max="26" width="13" bestFit="1" customWidth="1"/>
    <col min="27" max="27" width="12" bestFit="1" customWidth="1"/>
    <col min="28" max="29" width="13" bestFit="1" customWidth="1"/>
    <col min="30" max="30" width="13.7109375" bestFit="1" customWidth="1"/>
    <col min="31" max="32" width="13" bestFit="1" customWidth="1"/>
    <col min="33" max="33" width="12.42578125" bestFit="1" customWidth="1"/>
    <col min="34" max="74" width="13" bestFit="1" customWidth="1"/>
    <col min="75" max="126" width="13" customWidth="1"/>
    <col min="127" max="128" width="13" bestFit="1" customWidth="1"/>
  </cols>
  <sheetData>
    <row r="1" spans="1:21" x14ac:dyDescent="0.25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27</v>
      </c>
      <c r="H1" t="s">
        <v>29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33</v>
      </c>
      <c r="S1" t="s">
        <v>26</v>
      </c>
      <c r="T1" t="s">
        <v>32</v>
      </c>
      <c r="U1" t="s">
        <v>28</v>
      </c>
    </row>
    <row r="2" spans="1:21" x14ac:dyDescent="0.25">
      <c r="A2" s="1">
        <v>45058</v>
      </c>
      <c r="B2">
        <v>38.133800211406893</v>
      </c>
      <c r="C2">
        <v>66.690057822636192</v>
      </c>
      <c r="D2">
        <v>86.178126062665669</v>
      </c>
      <c r="E2">
        <v>45.916844436100554</v>
      </c>
      <c r="F2">
        <v>55.101587318238757</v>
      </c>
      <c r="G2">
        <v>170.46863065447127</v>
      </c>
      <c r="H2">
        <v>96.522957710992728</v>
      </c>
      <c r="I2">
        <v>245.12647319975355</v>
      </c>
      <c r="J2">
        <v>101.58123752049038</v>
      </c>
      <c r="K2">
        <v>69.610268184116904</v>
      </c>
      <c r="L2">
        <v>96.259970483325773</v>
      </c>
      <c r="M2">
        <v>93.123419443766281</v>
      </c>
      <c r="N2">
        <v>109.74509143829346</v>
      </c>
      <c r="O2">
        <v>145.94656372070313</v>
      </c>
      <c r="P2">
        <v>393.51828911190944</v>
      </c>
      <c r="Q2">
        <v>61.065725054059712</v>
      </c>
      <c r="R2">
        <v>59.324506873176212</v>
      </c>
      <c r="S2">
        <v>14.574168131465004</v>
      </c>
      <c r="T2">
        <v>107.16527026040214</v>
      </c>
      <c r="U2">
        <v>102.37426907675606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9B6796-649E-4AF1-BBE8-41F20ACC2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 Dashboard</vt:lpstr>
      <vt:lpstr>Momentum Matrix</vt:lpstr>
      <vt:lpstr>S&amp;P_Stylebox_MOM</vt:lpstr>
      <vt:lpstr>S&amp;P_Stylebox_Y</vt:lpstr>
      <vt:lpstr>S&amp;P_Stylebox_SMA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Whiteside</dc:creator>
  <cp:lastModifiedBy>Monica Whiteside</cp:lastModifiedBy>
  <dcterms:created xsi:type="dcterms:W3CDTF">2023-03-10T17:52:55Z</dcterms:created>
  <dcterms:modified xsi:type="dcterms:W3CDTF">2023-05-14T11:29:03Z</dcterms:modified>
</cp:coreProperties>
</file>