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\Documents\Trading Tools\"/>
    </mc:Choice>
  </mc:AlternateContent>
  <xr:revisionPtr revIDLastSave="0" documentId="13_ncr:1_{3757EE1A-3262-42D8-B235-B791FA21077E}" xr6:coauthVersionLast="47" xr6:coauthVersionMax="47" xr10:uidLastSave="{00000000-0000-0000-0000-000000000000}"/>
  <bookViews>
    <workbookView xWindow="-120" yWindow="-120" windowWidth="29040" windowHeight="15720" tabRatio="814" xr2:uid="{F68A944C-9ECB-4089-8880-A2034EB9EF0E}"/>
  </bookViews>
  <sheets>
    <sheet name="Trade Dashboard" sheetId="22" r:id="rId1"/>
    <sheet name="Momentum Matrix" sheetId="13" r:id="rId2"/>
    <sheet name="US_Sector_MOM" sheetId="11" r:id="rId3"/>
    <sheet name="US_Sector_Y" sheetId="10" r:id="rId4"/>
    <sheet name="US_Sector_SMA" sheetId="9" r:id="rId5"/>
  </sheets>
  <definedNames>
    <definedName name="ExternalData_1" localSheetId="4" hidden="1">US_Sector_SMA!$A$1:$R$2</definedName>
    <definedName name="ExternalData_2" localSheetId="3" hidden="1">US_Sector_Y!$A$1:$Q$2</definedName>
    <definedName name="ExternalData_3" localSheetId="2" hidden="1">US_Sector_MOM!$A$1:$R$14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22" l="1" a="1"/>
  <c r="A5" i="22" s="1"/>
  <c r="J28" i="22"/>
  <c r="H14" i="22" a="1"/>
  <c r="H14" i="22" s="1"/>
  <c r="I14" i="22" s="1" a="1"/>
  <c r="I14" i="22" s="1"/>
  <c r="J14" i="22"/>
  <c r="H17" i="22" a="1"/>
  <c r="H17" i="22" s="1"/>
  <c r="I17" i="22" s="1" a="1"/>
  <c r="I17" i="22" s="1"/>
  <c r="J17" i="22"/>
  <c r="H16" i="22" a="1"/>
  <c r="H16" i="22" s="1"/>
  <c r="I16" i="22" s="1" a="1"/>
  <c r="I16" i="22" s="1"/>
  <c r="J16" i="22"/>
  <c r="H25" i="22" a="1"/>
  <c r="H25" i="22" s="1"/>
  <c r="I25" i="22" s="1" a="1"/>
  <c r="I25" i="22" s="1"/>
  <c r="J25" i="22"/>
  <c r="H19" i="22" a="1"/>
  <c r="H19" i="22" s="1"/>
  <c r="I19" i="22" s="1" a="1"/>
  <c r="I19" i="22" s="1"/>
  <c r="J19" i="22"/>
  <c r="H18" i="22" a="1"/>
  <c r="H18" i="22" s="1"/>
  <c r="I18" i="22" s="1" a="1"/>
  <c r="I18" i="22" s="1"/>
  <c r="J18" i="22"/>
  <c r="H20" i="22" a="1"/>
  <c r="H20" i="22" s="1"/>
  <c r="I20" i="22" s="1" a="1"/>
  <c r="I20" i="22" s="1"/>
  <c r="J20" i="22"/>
  <c r="H11" i="22" a="1"/>
  <c r="H11" i="22" s="1"/>
  <c r="I11" i="22" s="1" a="1"/>
  <c r="I11" i="22" s="1"/>
  <c r="J11" i="22"/>
  <c r="H26" i="22" a="1"/>
  <c r="H26" i="22" s="1"/>
  <c r="I26" i="22" s="1" a="1"/>
  <c r="I26" i="22" s="1"/>
  <c r="J26" i="22"/>
  <c r="H27" i="22" a="1"/>
  <c r="H27" i="22" s="1"/>
  <c r="I27" i="22" s="1" a="1"/>
  <c r="I27" i="22" s="1"/>
  <c r="J27" i="22"/>
  <c r="H22" i="22" a="1"/>
  <c r="H22" i="22" s="1"/>
  <c r="I22" i="22" s="1" a="1"/>
  <c r="I22" i="22" s="1"/>
  <c r="J22" i="22"/>
  <c r="H12" i="22" a="1"/>
  <c r="H12" i="22" s="1"/>
  <c r="I12" i="22" s="1" a="1"/>
  <c r="I12" i="22" s="1"/>
  <c r="J12" i="22"/>
  <c r="H15" i="22" a="1"/>
  <c r="H15" i="22" s="1"/>
  <c r="I15" i="22" s="1" a="1"/>
  <c r="I15" i="22" s="1"/>
  <c r="J15" i="22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P3" i="13" s="1"/>
  <c r="P2" i="13" s="1"/>
  <c r="Q4" i="13"/>
  <c r="R4" i="13"/>
  <c r="B4" i="13"/>
  <c r="B5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O3" i="13" s="1"/>
  <c r="O2" i="13" s="1"/>
  <c r="P5" i="13"/>
  <c r="Q5" i="13"/>
  <c r="R5" i="13"/>
  <c r="B6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B7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B8" i="13"/>
  <c r="C1" i="13"/>
  <c r="D1" i="13"/>
  <c r="E1" i="13"/>
  <c r="F1" i="13"/>
  <c r="G1" i="13"/>
  <c r="H1" i="13"/>
  <c r="I1" i="13"/>
  <c r="J1" i="13"/>
  <c r="K1" i="13"/>
  <c r="L1" i="13"/>
  <c r="M1" i="13"/>
  <c r="N1" i="13"/>
  <c r="O1" i="13"/>
  <c r="P1" i="13"/>
  <c r="Q1" i="13"/>
  <c r="R1" i="13"/>
  <c r="B1" i="13"/>
  <c r="N3" i="13" l="1"/>
  <c r="N2" i="13" s="1"/>
  <c r="E3" i="13"/>
  <c r="E2" i="13" s="1"/>
  <c r="D3" i="13"/>
  <c r="D2" i="13" s="1"/>
  <c r="H3" i="13"/>
  <c r="H2" i="13" s="1"/>
  <c r="K3" i="13"/>
  <c r="K2" i="13" s="1"/>
  <c r="L3" i="13"/>
  <c r="L2" i="13" s="1"/>
  <c r="M3" i="13"/>
  <c r="M2" i="13" s="1"/>
  <c r="Q3" i="13"/>
  <c r="Q2" i="13" s="1"/>
  <c r="C3" i="13"/>
  <c r="C2" i="13" s="1"/>
  <c r="J3" i="13"/>
  <c r="J2" i="13" s="1"/>
  <c r="G3" i="13"/>
  <c r="G2" i="13" s="1"/>
  <c r="I3" i="13"/>
  <c r="I2" i="13" s="1"/>
  <c r="F3" i="13"/>
  <c r="F2" i="13" s="1"/>
  <c r="R3" i="13"/>
  <c r="R2" i="13" s="1"/>
  <c r="J13" i="22"/>
  <c r="J24" i="22"/>
  <c r="J23" i="22"/>
  <c r="J21" i="22"/>
  <c r="H21" i="22" a="1"/>
  <c r="H21" i="22" s="1"/>
  <c r="H23" i="22" a="1"/>
  <c r="H23" i="22" s="1"/>
  <c r="E23" i="22" s="1" a="1"/>
  <c r="E23" i="22" s="1"/>
  <c r="H24" i="22" a="1"/>
  <c r="H24" i="22" s="1"/>
  <c r="H13" i="22" a="1"/>
  <c r="H13" i="22" s="1"/>
  <c r="E15" i="22" a="1"/>
  <c r="E15" i="22" s="1"/>
  <c r="C28" i="22"/>
  <c r="E24" i="22" l="1" a="1"/>
  <c r="E24" i="22" s="1"/>
  <c r="I24" i="22" a="1"/>
  <c r="I24" i="22" s="1"/>
  <c r="I13" i="22" a="1"/>
  <c r="I13" i="22" s="1"/>
  <c r="E13" i="22" a="1"/>
  <c r="E13" i="22" s="1"/>
  <c r="I21" i="22" a="1"/>
  <c r="I21" i="22" s="1"/>
  <c r="E21" i="22" a="1"/>
  <c r="E21" i="22" s="1"/>
  <c r="I23" i="22" a="1"/>
  <c r="I23" i="22" s="1"/>
  <c r="C15" i="22" l="1"/>
  <c r="C21" i="22"/>
  <c r="C24" i="22"/>
  <c r="C23" i="22"/>
  <c r="C13" i="22"/>
  <c r="B3" i="13" l="1"/>
  <c r="B2" i="13" s="1"/>
  <c r="E20" i="22" l="1" a="1"/>
  <c r="E20" i="22" s="1"/>
  <c r="E16" i="22" a="1"/>
  <c r="E16" i="22" s="1"/>
  <c r="E25" i="22" a="1"/>
  <c r="E25" i="22" s="1"/>
  <c r="E22" i="22" a="1"/>
  <c r="E22" i="22" s="1"/>
  <c r="C22" i="22" s="1"/>
  <c r="E11" i="22" a="1"/>
  <c r="E11" i="22" s="1"/>
  <c r="E26" i="22" a="1"/>
  <c r="E26" i="22" s="1"/>
  <c r="E18" i="22" a="1"/>
  <c r="E18" i="22" s="1"/>
  <c r="E12" i="22" a="1"/>
  <c r="E12" i="22" s="1"/>
  <c r="C12" i="22" s="1"/>
  <c r="E14" i="22" a="1"/>
  <c r="E14" i="22" s="1"/>
  <c r="E17" i="22" a="1"/>
  <c r="E17" i="22" s="1"/>
  <c r="E19" i="22" a="1"/>
  <c r="E19" i="22" s="1"/>
  <c r="B13" i="22" a="1"/>
  <c r="B13" i="22" s="1"/>
  <c r="B28" i="22" a="1"/>
  <c r="B28" i="22" s="1"/>
  <c r="B25" i="22" a="1"/>
  <c r="B25" i="22" s="1"/>
  <c r="B12" i="22" a="1"/>
  <c r="B12" i="22" s="1"/>
  <c r="D23" i="22" a="1"/>
  <c r="D23" i="22" s="1"/>
  <c r="D15" i="22" a="1"/>
  <c r="D15" i="22" s="1"/>
  <c r="B18" i="22" a="1"/>
  <c r="B18" i="22" s="1"/>
  <c r="B19" i="22" a="1"/>
  <c r="B19" i="22" s="1"/>
  <c r="B15" i="22" a="1"/>
  <c r="B15" i="22" s="1"/>
  <c r="D24" i="22" a="1"/>
  <c r="D24" i="22" s="1"/>
  <c r="B20" i="22" a="1"/>
  <c r="B20" i="22" s="1"/>
  <c r="B17" i="22" a="1"/>
  <c r="B17" i="22" s="1"/>
  <c r="B14" i="22" a="1"/>
  <c r="B14" i="22" s="1"/>
  <c r="B26" i="22" a="1"/>
  <c r="B26" i="22" s="1"/>
  <c r="B27" i="22" a="1"/>
  <c r="B27" i="22" s="1"/>
  <c r="D13" i="22" a="1"/>
  <c r="D13" i="22" s="1"/>
  <c r="B23" i="22" a="1"/>
  <c r="B23" i="22" s="1"/>
  <c r="B24" i="22" a="1"/>
  <c r="B24" i="22" s="1"/>
  <c r="B22" i="22" a="1"/>
  <c r="B22" i="22" s="1"/>
  <c r="B21" i="22" a="1"/>
  <c r="B21" i="22" s="1"/>
  <c r="B16" i="22" a="1"/>
  <c r="B16" i="22" s="1"/>
  <c r="D21" i="22" a="1"/>
  <c r="D21" i="22" s="1"/>
  <c r="B11" i="22" a="1"/>
  <c r="B11" i="22" s="1"/>
  <c r="D28" i="22" a="1"/>
  <c r="D28" i="22" s="1"/>
  <c r="E27" i="22" a="1"/>
  <c r="E27" i="22" s="1"/>
  <c r="C14" i="22" l="1"/>
  <c r="D14" i="22" a="1"/>
  <c r="D14" i="22" s="1"/>
  <c r="D27" i="22" a="1"/>
  <c r="D27" i="22" s="1"/>
  <c r="C27" i="22"/>
  <c r="C25" i="22"/>
  <c r="D25" i="22" a="1"/>
  <c r="D25" i="22" s="1"/>
  <c r="C17" i="22"/>
  <c r="D17" i="22" a="1"/>
  <c r="D17" i="22" s="1"/>
  <c r="D20" i="22" a="1"/>
  <c r="D20" i="22" s="1"/>
  <c r="C20" i="22"/>
  <c r="D19" i="22" a="1"/>
  <c r="D19" i="22" s="1"/>
  <c r="C19" i="22"/>
  <c r="D18" i="22" a="1"/>
  <c r="D18" i="22" s="1"/>
  <c r="C18" i="22"/>
  <c r="D11" i="22" a="1"/>
  <c r="D11" i="22" s="1"/>
  <c r="C11" i="22"/>
  <c r="C16" i="22"/>
  <c r="D16" i="22" a="1"/>
  <c r="D16" i="22" s="1"/>
  <c r="D26" i="22" a="1"/>
  <c r="D26" i="22" s="1"/>
  <c r="C26" i="22"/>
  <c r="D22" i="22" a="1"/>
  <c r="D22" i="22" s="1"/>
  <c r="D12" i="22" a="1"/>
  <c r="D12" i="22" s="1"/>
  <c r="J29" i="2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DD8879-50E4-4E77-9AB6-972E7813B745}" keepAlive="1" name="Query - US_Sector_MOM" description="Connection to the 'US_Sector_MOM' query in the workbook." type="5" refreshedVersion="8" background="1" saveData="1">
    <dbPr connection="Provider=Microsoft.Mashup.OleDb.1;Data Source=$Workbook$;Location=US_Sector_MOM;Extended Properties=&quot;&quot;" command="SELECT * FROM [US_Sector_MOM]"/>
  </connection>
  <connection id="2" xr16:uid="{90E3F43D-C5EF-4C41-B108-D6E0CAF5EC34}" keepAlive="1" name="Query - US_Sector_SMA" description="Connection to the 'US_Sector_SMA' query in the workbook." type="5" refreshedVersion="8" background="1" saveData="1">
    <dbPr connection="Provider=Microsoft.Mashup.OleDb.1;Data Source=$Workbook$;Location=US_Sector_SMA;Extended Properties=&quot;&quot;" command="SELECT * FROM [US_Sector_SMA]"/>
  </connection>
  <connection id="3" xr16:uid="{6268906F-29EA-405D-8C26-A64956589FD5}" keepAlive="1" name="Query - US_Sector_Y" description="Connection to the 'US_Sector_Y' query in the workbook." type="5" refreshedVersion="8" background="1" saveData="1">
    <dbPr connection="Provider=Microsoft.Mashup.OleDb.1;Data Source=$Workbook$;Location=US_Sector_Y;Extended Properties=&quot;&quot;" command="SELECT * FROM [US_Sector_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7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50"/>
        </ext>
      </extLst>
    </bk>
  </futureMetadata>
  <cellMetadata count="1">
    <bk>
      <rc t="1" v="0"/>
    </bk>
  </cellMetadata>
  <valueMetadata count="1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</valueMetadata>
</metadata>
</file>

<file path=xl/sharedStrings.xml><?xml version="1.0" encoding="utf-8"?>
<sst xmlns="http://schemas.openxmlformats.org/spreadsheetml/2006/main" count="91" uniqueCount="56">
  <si>
    <t>Date</t>
  </si>
  <si>
    <t>In Trade</t>
  </si>
  <si>
    <t>Sell Signal</t>
  </si>
  <si>
    <t>Buy Signal</t>
  </si>
  <si>
    <t>SMA</t>
  </si>
  <si>
    <t>Symbol</t>
  </si>
  <si>
    <t>YTD Return</t>
  </si>
  <si>
    <t>Target %</t>
  </si>
  <si>
    <t>CASHX</t>
  </si>
  <si>
    <t>Ticker</t>
  </si>
  <si>
    <t>12M</t>
  </si>
  <si>
    <t>9M</t>
  </si>
  <si>
    <t>6M</t>
  </si>
  <si>
    <t>3M</t>
  </si>
  <si>
    <t>1M</t>
  </si>
  <si>
    <t>AVG</t>
  </si>
  <si>
    <t>Sell SMA</t>
  </si>
  <si>
    <t>Read</t>
  </si>
  <si>
    <t>Momentum Assets</t>
  </si>
  <si>
    <t>Momentum Assets Buy/Sell Signals</t>
  </si>
  <si>
    <t>Price</t>
  </si>
  <si>
    <t>CASH</t>
  </si>
  <si>
    <t>XLI</t>
  </si>
  <si>
    <t>XLB</t>
  </si>
  <si>
    <t>XLP</t>
  </si>
  <si>
    <t>XLK</t>
  </si>
  <si>
    <t>XLY</t>
  </si>
  <si>
    <t>XLV</t>
  </si>
  <si>
    <t>XLF</t>
  </si>
  <si>
    <t>XLE</t>
  </si>
  <si>
    <t>XLU</t>
  </si>
  <si>
    <t>XLC</t>
  </si>
  <si>
    <t>XLRE</t>
  </si>
  <si>
    <t>PDBC</t>
  </si>
  <si>
    <t>GLD</t>
  </si>
  <si>
    <t>TLT</t>
  </si>
  <si>
    <t>IEF</t>
  </si>
  <si>
    <t>XLI_SMA</t>
  </si>
  <si>
    <t>XLB_SMA</t>
  </si>
  <si>
    <t>XLP_SMA</t>
  </si>
  <si>
    <t>XLK_SMA</t>
  </si>
  <si>
    <t>XLY_SMA</t>
  </si>
  <si>
    <t>XLV_SMA</t>
  </si>
  <si>
    <t>XLF_SMA</t>
  </si>
  <si>
    <t>XLE_SMA</t>
  </si>
  <si>
    <t>XLU_SMA</t>
  </si>
  <si>
    <t>XLC_SMA</t>
  </si>
  <si>
    <t>XLRE_SMA</t>
  </si>
  <si>
    <t>PDBC_SMA</t>
  </si>
  <si>
    <t>GLD_SMA</t>
  </si>
  <si>
    <t>TLT_SMA</t>
  </si>
  <si>
    <t>IEF_SMA</t>
  </si>
  <si>
    <t>LTPZ</t>
  </si>
  <si>
    <t>TIP</t>
  </si>
  <si>
    <t>TIP_SMA</t>
  </si>
  <si>
    <t>LTPZ_SMA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</si>
</sst>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10" fontId="2" fillId="2" borderId="0" xfId="0" applyNumberFormat="1" applyFont="1" applyFill="1" applyAlignment="1">
      <alignment horizontal="center" vertical="center"/>
    </xf>
    <xf numFmtId="44" fontId="2" fillId="0" borderId="0" xfId="0" applyNumberFormat="1" applyFont="1"/>
    <xf numFmtId="0" fontId="0" fillId="3" borderId="1" xfId="0" applyFill="1" applyBorder="1"/>
    <xf numFmtId="10" fontId="7" fillId="0" borderId="0" xfId="0" applyNumberFormat="1" applyFont="1"/>
    <xf numFmtId="10" fontId="6" fillId="3" borderId="0" xfId="0" applyNumberFormat="1" applyFont="1" applyFill="1"/>
    <xf numFmtId="0" fontId="0" fillId="3" borderId="0" xfId="0" applyFill="1"/>
    <xf numFmtId="0" fontId="5" fillId="0" borderId="0" xfId="0" applyFont="1" applyAlignment="1">
      <alignment vertical="center"/>
    </xf>
    <xf numFmtId="10" fontId="6" fillId="0" borderId="0" xfId="0" applyNumberFormat="1" applyFont="1"/>
    <xf numFmtId="0" fontId="0" fillId="0" borderId="3" xfId="0" applyBorder="1"/>
    <xf numFmtId="0" fontId="1" fillId="0" borderId="4" xfId="0" applyFont="1" applyBorder="1"/>
    <xf numFmtId="0" fontId="1" fillId="0" borderId="9" xfId="0" applyFont="1" applyBorder="1"/>
    <xf numFmtId="10" fontId="9" fillId="0" borderId="10" xfId="0" applyNumberFormat="1" applyFont="1" applyBorder="1"/>
    <xf numFmtId="10" fontId="7" fillId="0" borderId="1" xfId="0" applyNumberFormat="1" applyFont="1" applyBorder="1" applyAlignment="1">
      <alignment horizontal="center" vertical="center"/>
    </xf>
    <xf numFmtId="10" fontId="7" fillId="0" borderId="2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10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10" fontId="8" fillId="6" borderId="1" xfId="0" applyNumberFormat="1" applyFont="1" applyFill="1" applyBorder="1" applyAlignment="1">
      <alignment horizontal="center" vertical="center"/>
    </xf>
    <xf numFmtId="10" fontId="7" fillId="6" borderId="2" xfId="0" applyNumberFormat="1" applyFont="1" applyFill="1" applyBorder="1" applyAlignment="1">
      <alignment horizontal="center" vertical="center"/>
    </xf>
    <xf numFmtId="10" fontId="7" fillId="6" borderId="6" xfId="0" applyNumberFormat="1" applyFont="1" applyFill="1" applyBorder="1" applyAlignment="1">
      <alignment horizontal="center" vertical="center"/>
    </xf>
    <xf numFmtId="10" fontId="7" fillId="6" borderId="7" xfId="0" applyNumberFormat="1" applyFont="1" applyFill="1" applyBorder="1" applyAlignment="1">
      <alignment horizontal="center" vertical="center"/>
    </xf>
    <xf numFmtId="10" fontId="7" fillId="6" borderId="8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0" fontId="9" fillId="0" borderId="0" xfId="0" applyNumberFormat="1" applyFont="1"/>
    <xf numFmtId="10" fontId="2" fillId="0" borderId="0" xfId="1" applyNumberFormat="1" applyFont="1" applyFill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0" fontId="7" fillId="6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10" fontId="2" fillId="0" borderId="0" xfId="1" applyNumberFormat="1" applyFont="1" applyFill="1" applyBorder="1" applyAlignment="1">
      <alignment horizontal="center" vertical="center"/>
    </xf>
    <xf numFmtId="44" fontId="5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9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[$$-409]* #,##0.00_);_([$$-409]* \(#,##0.00\);_([$$-409]* &quot;-&quot;??_);_(@_)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[$$-409]* #,##0.00_);_([$$-409]* \(#,##0.00\);_([$$-409]* &quot;-&quot;??_);_(@_)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medium">
          <color rgb="FF000000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color rgb="FF00B050"/>
      </font>
    </dxf>
    <dxf>
      <font>
        <color rgb="FFC00000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  <dxf>
      <font>
        <color rgb="FF00B050"/>
      </font>
    </dxf>
    <dxf>
      <font>
        <color rgb="FFC00000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  <dxf>
      <font>
        <color rgb="FF00B050"/>
      </font>
    </dxf>
    <dxf>
      <font>
        <color rgb="FFC00000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A8479E33-EC7A-481E-9AAF-D0D29AD71D01}" autoFormatId="16" applyNumberFormats="0" applyBorderFormats="0" applyFontFormats="0" applyPatternFormats="0" applyAlignmentFormats="0" applyWidthHeightFormats="0">
  <queryTableRefresh nextId="340">
    <queryTableFields count="18">
      <queryTableField id="1" name="Date" tableColumnId="1"/>
      <queryTableField id="319" name="GLD" tableColumnId="27"/>
      <queryTableField id="323" name="IEF" tableColumnId="31"/>
      <queryTableField id="324" name="LTPZ" tableColumnId="2"/>
      <queryTableField id="317" name="PDBC" tableColumnId="25"/>
      <queryTableField id="325" name="TIP" tableColumnId="4"/>
      <queryTableField id="321" name="TLT" tableColumnId="29"/>
      <queryTableField id="297" name="XLB" tableColumnId="5"/>
      <queryTableField id="313" name="XLC" tableColumnId="21"/>
      <queryTableField id="309" name="XLE" tableColumnId="17"/>
      <queryTableField id="307" name="XLF" tableColumnId="15"/>
      <queryTableField id="295" name="XLI" tableColumnId="3"/>
      <queryTableField id="301" name="XLK" tableColumnId="9"/>
      <queryTableField id="299" name="XLP" tableColumnId="7"/>
      <queryTableField id="315" name="XLRE" tableColumnId="23"/>
      <queryTableField id="311" name="XLU" tableColumnId="19"/>
      <queryTableField id="305" name="XLV" tableColumnId="13"/>
      <queryTableField id="303" name="XLY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D1F3F49-5510-49B8-B0CB-6D64C46D2B9A}" autoFormatId="16" applyNumberFormats="0" applyBorderFormats="0" applyFontFormats="0" applyPatternFormats="0" applyAlignmentFormats="0" applyWidthHeightFormats="0">
  <queryTableRefresh nextId="188">
    <queryTableFields count="17">
      <queryTableField id="167" name="GLD" tableColumnId="1"/>
      <queryTableField id="168" name="IEF" tableColumnId="2"/>
      <queryTableField id="182" name="LTPZ" tableColumnId="14"/>
      <queryTableField id="169" name="PDBC" tableColumnId="3"/>
      <queryTableField id="183" name="TIP" tableColumnId="15"/>
      <queryTableField id="170" name="TLT" tableColumnId="4"/>
      <queryTableField id="171" name="XLB" tableColumnId="5"/>
      <queryTableField id="172" name="XLC" tableColumnId="6"/>
      <queryTableField id="173" name="XLE" tableColumnId="7"/>
      <queryTableField id="174" name="XLF" tableColumnId="8"/>
      <queryTableField id="175" name="XLI" tableColumnId="9"/>
      <queryTableField id="176" name="XLK" tableColumnId="10"/>
      <queryTableField id="177" name="XLP" tableColumnId="11"/>
      <queryTableField id="178" name="XLRE" tableColumnId="12"/>
      <queryTableField id="179" name="XLU" tableColumnId="13"/>
      <queryTableField id="186" name="XLV" tableColumnId="16"/>
      <queryTableField id="187" name="XLY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A660B2D-1FF6-40DC-944D-79695F485C28}" autoFormatId="16" applyNumberFormats="0" applyBorderFormats="0" applyFontFormats="0" applyPatternFormats="0" applyAlignmentFormats="0" applyWidthHeightFormats="0">
  <queryTableRefresh nextId="177">
    <queryTableFields count="18">
      <queryTableField id="1" name="Date" tableColumnId="1"/>
      <queryTableField id="158" name="GLD_SMA" tableColumnId="14"/>
      <queryTableField id="160" name="IEF_SMA" tableColumnId="16"/>
      <queryTableField id="162" name="LTPZ_SMA" tableColumnId="18"/>
      <queryTableField id="157" name="PDBC_SMA" tableColumnId="13"/>
      <queryTableField id="161" name="TIP_SMA" tableColumnId="17"/>
      <queryTableField id="159" name="TLT_SMA" tableColumnId="15"/>
      <queryTableField id="147" name="XLB_SMA" tableColumnId="3"/>
      <queryTableField id="155" name="XLC_SMA" tableColumnId="11"/>
      <queryTableField id="153" name="XLE_SMA" tableColumnId="9"/>
      <queryTableField id="152" name="XLF_SMA" tableColumnId="8"/>
      <queryTableField id="146" name="XLI_SMA" tableColumnId="2"/>
      <queryTableField id="149" name="XLK_SMA" tableColumnId="5"/>
      <queryTableField id="148" name="XLP_SMA" tableColumnId="4"/>
      <queryTableField id="156" name="XLRE_SMA" tableColumnId="12"/>
      <queryTableField id="154" name="XLU_SMA" tableColumnId="10"/>
      <queryTableField id="151" name="XLV_SMA" tableColumnId="7"/>
      <queryTableField id="150" name="XLY_SMA" tableColumnId="6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51">
  <rv s="0">
    <v>https://www.bing.com/financeapi/forcetrigger?t=b1hbp2&amp;q=ARCX%3aXLC&amp;form=skydnc</v>
    <v>Learn more on Bing</v>
  </rv>
  <rv s="1">
    <v>en-US</v>
    <v>b1hbp2</v>
    <v>268435456</v>
    <v>1</v>
    <v>Powered by Refinitiv</v>
    <v>0</v>
    <v>Sel Sector:Comm Svc SPDR (ARCX:XLC)</v>
    <v>2</v>
    <v>3</v>
    <v>Finance</v>
    <v>4</v>
    <v>61.036200000000001</v>
    <v>44.86</v>
    <v>1.0899000000000001</v>
    <v>0.05</v>
    <v>-3.0149999999999999E-3</v>
    <v>8.3809999999999993E-4</v>
    <v>-0.18</v>
    <v>USD</v>
    <v>NYSE Arca</v>
    <v>ARCX</v>
    <v>1E-3</v>
    <v>59.88</v>
    <v>ETF</v>
    <v>45058.877867071096</v>
    <v>0</v>
    <v>59.325000000000003</v>
    <v>11311638034.17</v>
    <v>Sel Sector:Comm Svc SPDR</v>
    <v>59.77</v>
    <v>59.66</v>
    <v>59.71</v>
    <v>59.53</v>
    <v>XLC</v>
    <v>Sel Sector:Comm Svc SPDR (ARCX:XLC)</v>
    <v>4019763</v>
    <v>6960425</v>
  </rv>
  <rv s="2">
    <v>1</v>
  </rv>
  <rv s="0">
    <v>https://www.bing.com/financeapi/forcetrigger?t=a267zr&amp;q=ARCX%3aXLK&amp;form=skydnc</v>
    <v>Learn more on Bing</v>
  </rv>
  <rv s="1">
    <v>en-US</v>
    <v>a267zr</v>
    <v>268435456</v>
    <v>1</v>
    <v>Powered by Refinitiv</v>
    <v>0</v>
    <v>Sel Sector:Tech SPDR (ARCX:XLK)</v>
    <v>2</v>
    <v>3</v>
    <v>Finance</v>
    <v>4</v>
    <v>152.18</v>
    <v>112.97</v>
    <v>0.98429999999999995</v>
    <v>-0.2</v>
    <v>-5.3E-3</v>
    <v>-1.323E-3</v>
    <v>-0.8</v>
    <v>USD</v>
    <v>NYSE Arca</v>
    <v>ARCX</v>
    <v>1E-3</v>
    <v>151.63</v>
    <v>ETF</v>
    <v>45058.999054640626</v>
    <v>3</v>
    <v>149.78</v>
    <v>43295895426.910004</v>
    <v>Sel Sector:Tech SPDR</v>
    <v>151.41</v>
    <v>151.15</v>
    <v>150.94999999999999</v>
    <v>150.15</v>
    <v>XLK</v>
    <v>Sel Sector:Tech SPDR (ARCX:XLK)</v>
    <v>3953978</v>
    <v>5579540</v>
  </rv>
  <rv s="2">
    <v>4</v>
  </rv>
  <rv s="0">
    <v>https://www.bing.com/financeapi/forcetrigger?t=a268kr&amp;q=ARCX%3aXLY&amp;form=skydnc</v>
    <v>Learn more on Bing</v>
  </rv>
  <rv s="1">
    <v>en-US</v>
    <v>a268kr</v>
    <v>268435456</v>
    <v>1</v>
    <v>Powered by Refinitiv</v>
    <v>0</v>
    <v>Sel Sector:C Dsc SPDR (ARCX:XLY)</v>
    <v>2</v>
    <v>3</v>
    <v>Finance</v>
    <v>4</v>
    <v>174.76</v>
    <v>126</v>
    <v>0.98050000000000004</v>
    <v>-1.26</v>
    <v>-3.9229999999999994E-3</v>
    <v>-8.4510000000000002E-3</v>
    <v>-0.57999999999999996</v>
    <v>USD</v>
    <v>NYSE Arca</v>
    <v>ARCX</v>
    <v>1E-3</v>
    <v>149.99</v>
    <v>ETF</v>
    <v>45058.950802383595</v>
    <v>6</v>
    <v>146.94999999999999</v>
    <v>14413011263.360001</v>
    <v>Sel Sector:C Dsc SPDR</v>
    <v>149.6</v>
    <v>149.09</v>
    <v>147.83000000000001</v>
    <v>147.25</v>
    <v>XLY</v>
    <v>Sel Sector:C Dsc SPDR (ARCX:XLY)</v>
    <v>3778887</v>
    <v>4368821</v>
  </rv>
  <rv s="2">
    <v>7</v>
  </rv>
  <rv s="0">
    <v>https://www.bing.com/financeapi/forcetrigger?t=a1twnm&amp;q=ARCX%3aGLD&amp;form=skydnc</v>
    <v>Learn more on Bing</v>
  </rv>
  <rv s="1">
    <v>en-US</v>
    <v>a1twnm</v>
    <v>268435456</v>
    <v>1</v>
    <v>Powered by Refinitiv</v>
    <v>0</v>
    <v>SPDR Gold (ARCX:GLD)</v>
    <v>2</v>
    <v>3</v>
    <v>Finance</v>
    <v>4</v>
    <v>191.36</v>
    <v>150.5703</v>
    <v>0.81659999999999999</v>
    <v>-0.32</v>
    <v>4.818E-4</v>
    <v>-1.7100000000000001E-3</v>
    <v>0.09</v>
    <v>USD</v>
    <v>NYSE Arca</v>
    <v>ARCX</v>
    <v>4.0000000000000001E-3</v>
    <v>187.92</v>
    <v>ETF</v>
    <v>45058.99966974531</v>
    <v>9</v>
    <v>186.58</v>
    <v>59023544030.709999</v>
    <v>SPDR Gold</v>
    <v>187.43</v>
    <v>187.13</v>
    <v>186.81</v>
    <v>186.9</v>
    <v>GLD</v>
    <v>SPDR Gold (ARCX:GLD)</v>
    <v>7087462</v>
    <v>8803211</v>
  </rv>
  <rv s="2">
    <v>10</v>
  </rv>
  <rv s="0">
    <v>https://www.bing.com/financeapi/forcetrigger?t=a2686h&amp;q=ARCX%3aXLP&amp;form=skydnc</v>
    <v>Learn more on Bing</v>
  </rv>
  <rv s="1">
    <v>en-US</v>
    <v>a2686h</v>
    <v>268435456</v>
    <v>1</v>
    <v>Powered by Refinitiv</v>
    <v>0</v>
    <v>Sel Sector:C Stp SPDR (ARCX:XLP)</v>
    <v>2</v>
    <v>3</v>
    <v>Finance</v>
    <v>4</v>
    <v>77.819999999999993</v>
    <v>66.174999999999997</v>
    <v>0.99429999999999996</v>
    <v>0.3</v>
    <v>-5.1869999999999998E-4</v>
    <v>3.9050000000000001E-3</v>
    <v>-0.04</v>
    <v>USD</v>
    <v>NYSE Arca</v>
    <v>ARCX</v>
    <v>1E-3</v>
    <v>77.144999999999996</v>
    <v>ETF</v>
    <v>45058.9961625</v>
    <v>12</v>
    <v>76.734999999999999</v>
    <v>18787632981.459999</v>
    <v>Sel Sector:C Stp SPDR</v>
    <v>76.900000000000006</v>
    <v>76.819999999999993</v>
    <v>77.12</v>
    <v>77.08</v>
    <v>XLP</v>
    <v>Sel Sector:C Stp SPDR (ARCX:XLP)</v>
    <v>7012238</v>
    <v>10305696</v>
  </rv>
  <rv s="2">
    <v>13</v>
  </rv>
  <rv s="0">
    <v>https://www.bing.com/financeapi/forcetrigger?t=a1x5yc&amp;q=ARCX%3aLTPZ&amp;form=skydnc</v>
    <v>Learn more on Bing</v>
  </rv>
  <rv s="1">
    <v>en-US</v>
    <v>a1x5yc</v>
    <v>268435456</v>
    <v>1</v>
    <v>Powered by Refinitiv</v>
    <v>0</v>
    <v>PIMCO ETF:15+ Yr US TIPS (ARCX:LTPZ)</v>
    <v>2</v>
    <v>3</v>
    <v>Finance</v>
    <v>4</v>
    <v>73.466099999999997</v>
    <v>54.98</v>
    <v>2.2334999999999998</v>
    <v>-0.06</v>
    <v>-1.133E-2</v>
    <v>-9.8430000000000002E-4</v>
    <v>-0.69</v>
    <v>USD</v>
    <v>NYSE Arca</v>
    <v>ARCX</v>
    <v>2E-3</v>
    <v>61.19</v>
    <v>ETF</v>
    <v>45058.879201029689</v>
    <v>15</v>
    <v>60.85</v>
    <v>700678356.36000001</v>
    <v>PIMCO ETF:15+ Yr US TIPS</v>
    <v>61.1</v>
    <v>60.96</v>
    <v>60.9</v>
    <v>60.21</v>
    <v>LTPZ</v>
    <v>PIMCO ETF:15+ Yr US TIPS (ARCX:LTPZ)</v>
    <v>23016</v>
    <v>80599</v>
  </rv>
  <rv s="2">
    <v>16</v>
  </rv>
  <rv s="0">
    <v>https://www.bing.com/financeapi/forcetrigger?t=a1vbbh&amp;q=XNAS%3aIEF&amp;form=skydnc</v>
    <v>Learn more on Bing</v>
  </rv>
  <rv s="1">
    <v>en-US</v>
    <v>a1vbbh</v>
    <v>268435456</v>
    <v>1</v>
    <v>Powered by Refinitiv</v>
    <v>0</v>
    <v>iShares:7-10 Trs Bd ETF (XNAS:IEF)</v>
    <v>2</v>
    <v>3</v>
    <v>Finance</v>
    <v>4</v>
    <v>105.745</v>
    <v>92.48</v>
    <v>1.1583000000000001</v>
    <v>-0.6</v>
    <v>2.0110000000000002E-3</v>
    <v>-5.9960000000000005E-3</v>
    <v>0.2</v>
    <v>USD</v>
    <v>Nasdaq Stock Market</v>
    <v>XNAS</v>
    <v>1.5E-3</v>
    <v>100.07</v>
    <v>ETF</v>
    <v>45058.961442360938</v>
    <v>18</v>
    <v>99.44</v>
    <v>28445961345.5</v>
    <v>iShares:7-10 Trs Bd ETF</v>
    <v>99.99</v>
    <v>100.07</v>
    <v>99.47</v>
    <v>99.67</v>
    <v>IEF</v>
    <v>iShares:7-10 Trs Bd ETF (XNAS:IEF)</v>
    <v>5107312</v>
    <v>8765233</v>
  </rv>
  <rv s="2">
    <v>19</v>
  </rv>
  <rv s="0">
    <v>https://www.bing.com/financeapi/forcetrigger?t=a24b5r&amp;q=XNAS%3aTLT&amp;form=skydnc</v>
    <v>Learn more on Bing</v>
  </rv>
  <rv s="1">
    <v>en-US</v>
    <v>a24b5r</v>
    <v>268435456</v>
    <v>1</v>
    <v>Powered by Refinitiv</v>
    <v>0</v>
    <v>iShares:20+ Trs Bd ETF (XNAS:TLT)</v>
    <v>2</v>
    <v>3</v>
    <v>Finance</v>
    <v>4</v>
    <v>120.69</v>
    <v>91.85</v>
    <v>1.0685</v>
    <v>-0.88</v>
    <v>4.795E-4</v>
    <v>-8.3689999999999997E-3</v>
    <v>0.05</v>
    <v>USD</v>
    <v>Nasdaq Stock Market</v>
    <v>XNAS</v>
    <v>1.5E-3</v>
    <v>105.25</v>
    <v>ETF</v>
    <v>45058.997851921093</v>
    <v>21</v>
    <v>104.25</v>
    <v>36204063544.790001</v>
    <v>iShares:20+ Trs Bd ETF</v>
    <v>105.05</v>
    <v>105.15</v>
    <v>104.27</v>
    <v>104.32</v>
    <v>TLT</v>
    <v>iShares:20+ Trs Bd ETF (XNAS:TLT)</v>
    <v>14198538</v>
    <v>20367816</v>
  </rv>
  <rv s="2">
    <v>22</v>
  </rv>
  <rv s="0">
    <v>https://www.bing.com/financeapi/forcetrigger?t=a2491h&amp;q=ARCX%3aTIP&amp;form=skydnc</v>
    <v>Learn more on Bing</v>
  </rv>
  <rv s="1">
    <v>en-US</v>
    <v>a2491h</v>
    <v>268435456</v>
    <v>1</v>
    <v>Powered by Refinitiv</v>
    <v>0</v>
    <v>iShares:TIPS Bd ETF (ARCX:TIP)</v>
    <v>2</v>
    <v>3</v>
    <v>Finance</v>
    <v>4</v>
    <v>119.86</v>
    <v>104.63</v>
    <v>0.99770000000000003</v>
    <v>-0.39</v>
    <v>-9.1390000000000004E-4</v>
    <v>-3.552E-3</v>
    <v>-0.1</v>
    <v>USD</v>
    <v>NYSE Arca</v>
    <v>ARCX</v>
    <v>1.9E-3</v>
    <v>109.93</v>
    <v>ETF</v>
    <v>45058.845281747657</v>
    <v>24</v>
    <v>109.3942</v>
    <v>22645536080.23</v>
    <v>iShares:TIPS Bd ETF</v>
    <v>109.87</v>
    <v>109.81</v>
    <v>109.42</v>
    <v>109.32</v>
    <v>TIP</v>
    <v>iShares:TIPS Bd ETF (ARCX:TIP)</v>
    <v>1924293</v>
    <v>3248292</v>
  </rv>
  <rv s="2">
    <v>25</v>
  </rv>
  <rv s="0">
    <v>https://www.bing.com/financeapi/forcetrigger?t=a267lh&amp;q=ARCX%3aXLB&amp;form=skydnc</v>
    <v>Learn more on Bing</v>
  </rv>
  <rv s="1">
    <v>en-US</v>
    <v>a267lh</v>
    <v>268435456</v>
    <v>1</v>
    <v>Powered by Refinitiv</v>
    <v>0</v>
    <v>Sel Sector:Matrls SPDR (ARCX:XLB)</v>
    <v>2</v>
    <v>3</v>
    <v>Finance</v>
    <v>4</v>
    <v>88.224999999999994</v>
    <v>66.849999999999994</v>
    <v>0.99829999999999997</v>
    <v>0.14000000000000001</v>
    <v>1.2800000000000001E-3</v>
    <v>1.7960000000000001E-3</v>
    <v>0.1</v>
    <v>USD</v>
    <v>NYSE Arca</v>
    <v>ARCX</v>
    <v>1E-3</v>
    <v>78.45</v>
    <v>ETF</v>
    <v>45058.981593344528</v>
    <v>27</v>
    <v>77.430000000000007</v>
    <v>5856816208.8000002</v>
    <v>Sel Sector:Matrls SPDR</v>
    <v>78.31</v>
    <v>77.959999999999994</v>
    <v>78.099999999999994</v>
    <v>78.2</v>
    <v>XLB</v>
    <v>Sel Sector:Matrls SPDR (ARCX:XLB)</v>
    <v>4143615</v>
    <v>5514841</v>
  </rv>
  <rv s="2">
    <v>28</v>
  </rv>
  <rv s="0">
    <v>https://www.bing.com/financeapi/forcetrigger?t=a2689c&amp;q=ARCX%3aXLRE&amp;form=skydnc</v>
    <v>Learn more on Bing</v>
  </rv>
  <rv s="1">
    <v>en-US</v>
    <v>a2689c</v>
    <v>268435456</v>
    <v>1</v>
    <v>Powered by Refinitiv</v>
    <v>0</v>
    <v>Sel Sector:Rl Est SPDR (ARCX:XLRE)</v>
    <v>2</v>
    <v>3</v>
    <v>Finance</v>
    <v>4</v>
    <v>45.865000000000002</v>
    <v>33.125</v>
    <v>0.98499999999999999</v>
    <v>7.0000000000000007E-2</v>
    <v>2.4269999999999999E-3</v>
    <v>1.8909999999999999E-3</v>
    <v>0.09</v>
    <v>USD</v>
    <v>NYSE Arca</v>
    <v>ARCX</v>
    <v>1E-3</v>
    <v>37.159999999999997</v>
    <v>ETF</v>
    <v>45058.95584583281</v>
    <v>30</v>
    <v>36.784999999999997</v>
    <v>4556901181</v>
    <v>Sel Sector:Rl Est SPDR</v>
    <v>37.159999999999997</v>
    <v>37.020000000000003</v>
    <v>37.090000000000003</v>
    <v>37.18</v>
    <v>XLRE</v>
    <v>Sel Sector:Rl Est SPDR (ARCX:XLRE)</v>
    <v>2950237</v>
    <v>4609390</v>
  </rv>
  <rv s="2">
    <v>31</v>
  </rv>
  <rv s="0">
    <v>https://www.bing.com/financeapi/forcetrigger?t=a267ww&amp;q=ARCX%3aXLI&amp;form=skydnc</v>
    <v>Learn more on Bing</v>
  </rv>
  <rv s="1">
    <v>en-US</v>
    <v>a267ww</v>
    <v>268435456</v>
    <v>1</v>
    <v>Powered by Refinitiv</v>
    <v>0</v>
    <v>Sel Sector:Indust SPDR (ARCX:XLI)</v>
    <v>2</v>
    <v>3</v>
    <v>Finance</v>
    <v>4</v>
    <v>104.18</v>
    <v>82.75</v>
    <v>0.999</v>
    <v>7.0000000000000007E-2</v>
    <v>0</v>
    <v>7.113E-4</v>
    <v>0</v>
    <v>USD</v>
    <v>NYSE Arca</v>
    <v>ARCX</v>
    <v>1E-3</v>
    <v>99.144999999999996</v>
    <v>ETF</v>
    <v>45058.980176284378</v>
    <v>33</v>
    <v>97.745000000000005</v>
    <v>13231259217.200001</v>
    <v>Sel Sector:Indust SPDR</v>
    <v>98.84</v>
    <v>98.41</v>
    <v>98.48</v>
    <v>98.48</v>
    <v>XLI</v>
    <v>Sel Sector:Indust SPDR (ARCX:XLI)</v>
    <v>8552536</v>
    <v>10736906</v>
  </rv>
  <rv s="2">
    <v>34</v>
  </rv>
  <rv s="0">
    <v>https://www.bing.com/financeapi/forcetrigger?t=a268f2&amp;q=ARCX%3aXLU&amp;form=skydnc</v>
    <v>Learn more on Bing</v>
  </rv>
  <rv s="1">
    <v>en-US</v>
    <v>a268f2</v>
    <v>268435456</v>
    <v>1</v>
    <v>Powered by Refinitiv</v>
    <v>0</v>
    <v>Sel Sector:Util SPDR (ARCX:XLU)</v>
    <v>2</v>
    <v>3</v>
    <v>Finance</v>
    <v>4</v>
    <v>78.22</v>
    <v>60.35</v>
    <v>0.99639999999999995</v>
    <v>0.38</v>
    <v>2.8969999999999999E-4</v>
    <v>5.535E-3</v>
    <v>0.02</v>
    <v>USD</v>
    <v>NYSE Arca</v>
    <v>ARCX</v>
    <v>1E-3</v>
    <v>69.47</v>
    <v>ETF</v>
    <v>45058.995361596877</v>
    <v>36</v>
    <v>68.619900000000001</v>
    <v>16609836694.26</v>
    <v>Sel Sector:Util SPDR</v>
    <v>69.03</v>
    <v>68.650000000000006</v>
    <v>69.03</v>
    <v>69.05</v>
    <v>XLU</v>
    <v>Sel Sector:Util SPDR (ARCX:XLU)</v>
    <v>11874283</v>
    <v>10973640</v>
  </rv>
  <rv s="2">
    <v>37</v>
  </rv>
  <rv s="0">
    <v>https://www.bing.com/financeapi/forcetrigger?t=a268hw&amp;q=ARCX%3aXLV&amp;form=skydnc</v>
    <v>Learn more on Bing</v>
  </rv>
  <rv s="1">
    <v>en-US</v>
    <v>a268hw</v>
    <v>268435456</v>
    <v>1</v>
    <v>Powered by Refinitiv</v>
    <v>0</v>
    <v>Sel Sector:H Care SPDR (ARCX:XLV)</v>
    <v>2</v>
    <v>3</v>
    <v>Finance</v>
    <v>4</v>
    <v>141.77000000000001</v>
    <v>118.75</v>
    <v>1.0007999999999999</v>
    <v>-0.18</v>
    <v>-1.5129999999999999E-4</v>
    <v>-1.3600000000000001E-3</v>
    <v>-0.02</v>
    <v>USD</v>
    <v>NYSE Arca</v>
    <v>ARCX</v>
    <v>1E-3</v>
    <v>132.85</v>
    <v>ETF</v>
    <v>45058.980653310158</v>
    <v>39</v>
    <v>131.6</v>
    <v>39727627666.75</v>
    <v>Sel Sector:H Care SPDR</v>
    <v>132.57</v>
    <v>132.37</v>
    <v>132.19</v>
    <v>132.16999999999999</v>
    <v>XLV</v>
    <v>Sel Sector:H Care SPDR (ARCX:XLV)</v>
    <v>6626766</v>
    <v>8056169</v>
  </rv>
  <rv s="2">
    <v>40</v>
  </rv>
  <rv s="0">
    <v>https://www.bing.com/financeapi/forcetrigger?t=a1zmf2&amp;q=XNAS%3aPDBC&amp;form=skydnc</v>
    <v>Learn more on Bing</v>
  </rv>
  <rv s="1">
    <v>en-US</v>
    <v>a1zmf2</v>
    <v>268435456</v>
    <v>1</v>
    <v>Powered by Refinitiv</v>
    <v>0</v>
    <v>Invesco OYDCS No K-1 (XNAS:PDBC)</v>
    <v>2</v>
    <v>3</v>
    <v>Finance</v>
    <v>4</v>
    <v>20.759899999999998</v>
    <v>13.38</v>
    <v>0.46</v>
    <v>-0.09</v>
    <v>4.4149999999999997E-3</v>
    <v>-6.5790000000000006E-3</v>
    <v>0.06</v>
    <v>USD</v>
    <v>Nasdaq Stock Market</v>
    <v>XNAS</v>
    <v>5.5000000000000005E-3</v>
    <v>13.74</v>
    <v>ETF</v>
    <v>45058.999172430471</v>
    <v>42</v>
    <v>13.5601</v>
    <v>5179821293.1999998</v>
    <v>Invesco OYDCS No K-1</v>
    <v>13.7</v>
    <v>13.68</v>
    <v>13.59</v>
    <v>13.65</v>
    <v>PDBC</v>
    <v>Invesco OYDCS No K-1 (XNAS:PDBC)</v>
    <v>1578821</v>
    <v>3639250</v>
  </rv>
  <rv s="2">
    <v>43</v>
  </rv>
  <rv s="0">
    <v>https://www.bing.com/financeapi/forcetrigger?t=a267oc&amp;q=ARCX%3aXLE&amp;form=skydnc</v>
    <v>Learn more on Bing</v>
  </rv>
  <rv s="1">
    <v>en-US</v>
    <v>a267oc</v>
    <v>268435456</v>
    <v>1</v>
    <v>Powered by Refinitiv</v>
    <v>0</v>
    <v>Sel Sector:Energy SPDR (ARCX:XLE)</v>
    <v>2</v>
    <v>3</v>
    <v>Finance</v>
    <v>4</v>
    <v>94.71</v>
    <v>65.48</v>
    <v>1.1121000000000001</v>
    <v>0.12</v>
    <v>-2.1649999999999998E-3</v>
    <v>1.5310000000000002E-3</v>
    <v>-0.17</v>
    <v>USD</v>
    <v>NYSE Arca</v>
    <v>ARCX</v>
    <v>1E-3</v>
    <v>79.319900000000004</v>
    <v>ETF</v>
    <v>45058.996540485939</v>
    <v>45</v>
    <v>77.950100000000006</v>
    <v>38412845270.010002</v>
    <v>Sel Sector:Energy SPDR</v>
    <v>78.790000000000006</v>
    <v>78.400000000000006</v>
    <v>78.52</v>
    <v>78.349999999999994</v>
    <v>XLE</v>
    <v>Sel Sector:Energy SPDR (ARCX:XLE)</v>
    <v>18956635</v>
    <v>17686407</v>
  </rv>
  <rv s="2">
    <v>46</v>
  </rv>
  <rv s="0">
    <v>https://www.bing.com/financeapi/forcetrigger?t=a267r7&amp;q=ARCX%3aXLF&amp;form=skydnc</v>
    <v>Learn more on Bing</v>
  </rv>
  <rv s="1">
    <v>en-US</v>
    <v>a267r7</v>
    <v>268435456</v>
    <v>1</v>
    <v>Powered by Refinitiv</v>
    <v>0</v>
    <v>Sel Sector:Finl S SPDR (ARCX:XLF)</v>
    <v>2</v>
    <v>3</v>
    <v>Finance</v>
    <v>4</v>
    <v>37.105200000000004</v>
    <v>29.59</v>
    <v>0.99790000000000001</v>
    <v>-0.13</v>
    <v>-1.8809999999999999E-3</v>
    <v>-4.0590000000000001E-3</v>
    <v>-0.06</v>
    <v>USD</v>
    <v>NYSE Arca</v>
    <v>ARCX</v>
    <v>1E-3</v>
    <v>32.24</v>
    <v>ETF</v>
    <v>45058.999401851564</v>
    <v>48</v>
    <v>31.69</v>
    <v>32172187747.77</v>
    <v>Sel Sector:Finl S SPDR</v>
    <v>32.24</v>
    <v>32.03</v>
    <v>31.9</v>
    <v>31.84</v>
    <v>XLF</v>
    <v>Sel Sector:Finl S SPDR (ARCX:XLF)</v>
    <v>36253024</v>
    <v>49486594</v>
  </rv>
  <rv s="2">
    <v>49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Price (Extended hours)"/>
    <k n="Ticker symbol" t="s"/>
    <k n="UniqueName" t="s"/>
    <k n="Volume"/>
    <k n="Volume averag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7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Last trade time</v>
      <v t="s">Ticker symbol</v>
      <v t="s">Exchange abbreviation</v>
      <v t="s">Change</v>
      <v t="s">Change (Extended hours)</v>
      <v t="s">Expense ratio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Instrument type</v>
      <v t="s">_Flags</v>
      <v t="s">UniqueName</v>
      <v t="s">_DisplayString</v>
      <v t="s">LearnMoreOnLink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2</v>
      <v>1</v>
      <v>3</v>
      <v>1</v>
      <v>1</v>
      <v>1</v>
      <v>4</v>
      <v>5</v>
      <v>6</v>
      <v>1</v>
      <v>1</v>
      <v>5</v>
      <v>1</v>
      <v>4</v>
      <v>7</v>
      <v>8</v>
      <v>1</v>
      <v>1</v>
      <v>5</v>
    </spb>
    <spb s="4">
      <v>at close</v>
      <v>from previous close</v>
      <v>Source: Nasdaq</v>
      <v>from previous close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Volume average" t="i"/>
    <k n="Last trade time" t="i"/>
    <k n="`%EntityServiceId" t="i"/>
    <k n="Price (Extended hours)" t="i"/>
    <k n="Change (Extended hours)" t="i"/>
    <k n="Change % (Extended hours)" t="i"/>
  </s>
  <s>
    <k n="Price" t="s"/>
    <k n="Change" t="s"/>
    <k n="Exchange" t="s"/>
    <k n="Change (%)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2" formatCode="0.00"/>
    </x:dxf>
    <x:dxf>
      <x:numFmt numFmtId="0" formatCode="General"/>
    </x:dxf>
    <x:dxf>
      <x:numFmt numFmtId="27" formatCode="m/d/yyyy\ hh:mm"/>
    </x:dxf>
    <x:dxf>
      <x:numFmt numFmtId="14" formatCode="0.00%"/>
    </x:dxf>
    <x:dxf>
      <x:numFmt numFmtId="3" formatCode="#,##0"/>
    </x:dxf>
    <x:dxf>
      <x:numFmt numFmtId="4" formatCode="#,##0.0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0">
      <rpv i="0">0.00</rpv>
    </rSty>
  </richStyles>
</richStyleSheet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B10913-CBBD-416E-86DC-A179BE78C3E8}" name="Table35231227" displayName="Table35231227" ref="A10:J29" totalsRowCount="1" headerRowDxfId="34" tableBorderDxfId="33">
  <autoFilter ref="A10:J28" xr:uid="{3DA7D557-3544-4C92-960F-DABC7E3FD32C}"/>
  <sortState xmlns:xlrd2="http://schemas.microsoft.com/office/spreadsheetml/2017/richdata2" ref="A11:J28">
    <sortCondition descending="1" ref="I10:I28"/>
  </sortState>
  <tableColumns count="10">
    <tableColumn id="13" xr3:uid="{4D062C57-1807-4053-9862-FED86267DEA7}" name="In Trade" dataDxfId="32"/>
    <tableColumn id="14" xr3:uid="{E03E9963-16C3-4D83-BE7A-79A2444C6167}" name="Sell Signal" dataDxfId="31">
      <calculatedColumnFormula array="1">IF(AND(Table35231227[[#This Row],[Ticker]]&lt;&gt;$A$5:$E$5, (A11="X")),"SELL","")</calculatedColumnFormula>
    </tableColumn>
    <tableColumn id="15" xr3:uid="{D00F3EDE-47EE-41B3-85BE-59E6E6CBCCC8}" name="Sell SMA" dataDxfId="30">
      <calculatedColumnFormula>IF(AND(A11="X",Table35231227[[#This Row],[SMA]]="Below SMA"),"SELL","")</calculatedColumnFormula>
    </tableColumn>
    <tableColumn id="16" xr3:uid="{8CCD7C20-F236-498F-A737-E26996840793}" name="Buy Signal" dataDxfId="29">
      <calculatedColumnFormula array="1">IF(AND(OR(Table35231227[[#This Row],[Ticker]]=$A$5:$E$5), AND(A11="",Table35231227[[#This Row],[SMA]]="Above SMA")),"BUY","")</calculatedColumnFormula>
    </tableColumn>
    <tableColumn id="4" xr3:uid="{F7FC473A-CA98-4A61-948C-A56F56C80EF1}" name="SMA" dataDxfId="28" totalsRowDxfId="27"/>
    <tableColumn id="5" xr3:uid="{D4546283-1093-4E8C-A16C-9AFAE142EEE2}" name="Ticker" dataDxfId="26" totalsRowDxfId="25"/>
    <tableColumn id="6" xr3:uid="{DCE65EB2-0DCF-4588-8EEE-14579351721F}" name="Symbol" dataDxfId="24" totalsRowDxfId="23"/>
    <tableColumn id="8" xr3:uid="{0A731BBA-05B7-47A7-BE59-0565A331F8E5}" name="Price" dataDxfId="22" totalsRowDxfId="21">
      <calculatedColumnFormula array="1">_FV(G11,"Price")</calculatedColumnFormula>
    </tableColumn>
    <tableColumn id="9" xr3:uid="{E86CC417-EDFB-4BC0-8A66-3ADA0A331A02}" name="YTD Return" dataDxfId="20" totalsRowDxfId="19" dataCellStyle="Percent">
      <calculatedColumnFormula array="1">(H11-#REF!)/#REF!</calculatedColumnFormula>
    </tableColumn>
    <tableColumn id="11" xr3:uid="{C462CC34-296B-460E-9E19-8883850AE1BE}" name="Target %" totalsRowFunction="custom" dataDxfId="18" totalsRowDxfId="17">
      <totalsRowFormula>SUM(Table35231227[Target %])</totalsRow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6A9EAB-5DFC-4C74-8A16-FA94CBFEEADD}" name="Table_US_Sector_MOM" displayName="Table_US_Sector_MOM" ref="A1:R14" tableType="queryTable" totalsRowShown="0">
  <autoFilter ref="A1:R14" xr:uid="{926A9EAB-5DFC-4C74-8A16-FA94CBFEEADD}"/>
  <tableColumns count="18">
    <tableColumn id="1" xr3:uid="{D48BC288-8683-4715-B4E4-18868E051953}" uniqueName="1" name="Date" queryTableFieldId="1" dataDxfId="16"/>
    <tableColumn id="27" xr3:uid="{CE55D864-486C-4E5C-A483-2A8378BFFF31}" uniqueName="27" name="GLD" queryTableFieldId="319"/>
    <tableColumn id="31" xr3:uid="{E0A5B815-3BAB-44F8-AD16-05C28D81875F}" uniqueName="31" name="IEF" queryTableFieldId="323"/>
    <tableColumn id="2" xr3:uid="{A16B01E9-141E-424B-838F-8709C8F8A705}" uniqueName="2" name="LTPZ" queryTableFieldId="324"/>
    <tableColumn id="25" xr3:uid="{FBD37049-DAAC-4884-82D0-513982F564CF}" uniqueName="25" name="PDBC" queryTableFieldId="317"/>
    <tableColumn id="4" xr3:uid="{0EF3423B-AB69-41AD-B8EA-BC8CD0374D17}" uniqueName="4" name="TIP" queryTableFieldId="325"/>
    <tableColumn id="29" xr3:uid="{C6367E91-C80D-4976-8C76-C1873455E24B}" uniqueName="29" name="TLT" queryTableFieldId="321"/>
    <tableColumn id="5" xr3:uid="{33D6689A-B224-43D3-BBFE-F16CB8D7B775}" uniqueName="5" name="XLB" queryTableFieldId="297"/>
    <tableColumn id="21" xr3:uid="{56CC0612-426B-46A4-AA31-995B060118AF}" uniqueName="21" name="XLC" queryTableFieldId="313"/>
    <tableColumn id="17" xr3:uid="{AD395565-CA58-4366-88F5-49CBE5AD30D6}" uniqueName="17" name="XLE" queryTableFieldId="309"/>
    <tableColumn id="15" xr3:uid="{F77D71EB-B689-4237-9A89-3899A79C30B1}" uniqueName="15" name="XLF" queryTableFieldId="307"/>
    <tableColumn id="3" xr3:uid="{F613EAB5-BA15-495A-8146-67D1EBC974A1}" uniqueName="3" name="XLI" queryTableFieldId="295"/>
    <tableColumn id="9" xr3:uid="{7D24D305-6B08-4346-993E-4E4D0B4D7BCD}" uniqueName="9" name="XLK" queryTableFieldId="301"/>
    <tableColumn id="7" xr3:uid="{EE1B9ED7-9FE3-4BEE-AFB6-D9C5E3C06E67}" uniqueName="7" name="XLP" queryTableFieldId="299"/>
    <tableColumn id="23" xr3:uid="{95BB34F1-57F5-4F6A-989C-F18793E5E937}" uniqueName="23" name="XLRE" queryTableFieldId="315"/>
    <tableColumn id="19" xr3:uid="{808CE3C9-BC71-4D33-BFA7-52A94BB02E30}" uniqueName="19" name="XLU" queryTableFieldId="311"/>
    <tableColumn id="13" xr3:uid="{E1FA3356-433A-4DF7-8E53-41C6CBE85864}" uniqueName="13" name="XLV" queryTableFieldId="305"/>
    <tableColumn id="11" xr3:uid="{78EAC50F-78B5-4FB8-8D1F-7F9648A99794}" uniqueName="11" name="XLY" queryTableFieldId="30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67A3F6-1BCA-4EB3-A907-6D0AEFBD3E37}" name="Table_US_Sector_Y" displayName="Table_US_Sector_Y" ref="A1:Q2" tableType="queryTable" totalsRowShown="0">
  <autoFilter ref="A1:Q2" xr:uid="{2167A3F6-1BCA-4EB3-A907-6D0AEFBD3E37}"/>
  <tableColumns count="17">
    <tableColumn id="1" xr3:uid="{CDAC02FE-5BC8-4DEA-9EA6-FF9F762E71A7}" uniqueName="1" name="GLD" queryTableFieldId="167" dataDxfId="15"/>
    <tableColumn id="2" xr3:uid="{C240D4E5-BBB6-4E1B-8183-FE89952D521C}" uniqueName="2" name="IEF" queryTableFieldId="168" dataDxfId="14"/>
    <tableColumn id="14" xr3:uid="{8902506B-FB20-4885-9A27-05792849A384}" uniqueName="14" name="LTPZ" queryTableFieldId="182" dataDxfId="13"/>
    <tableColumn id="3" xr3:uid="{550B3FF6-DF60-4E1D-9F73-912BD6CF45A9}" uniqueName="3" name="PDBC" queryTableFieldId="169" dataDxfId="12"/>
    <tableColumn id="15" xr3:uid="{B383506B-1CE8-4F6A-B81A-D7E2D1D1D3DF}" uniqueName="15" name="TIP" queryTableFieldId="183" dataDxfId="11"/>
    <tableColumn id="4" xr3:uid="{91E3BF3B-CAEB-42E8-87F2-BC50120E8AC8}" uniqueName="4" name="TLT" queryTableFieldId="170" dataDxfId="10"/>
    <tableColumn id="5" xr3:uid="{1D076955-7344-488F-99E4-D30AF34F0285}" uniqueName="5" name="XLB" queryTableFieldId="171" dataDxfId="9"/>
    <tableColumn id="6" xr3:uid="{6F7668A3-690E-4400-9D98-BA15FEA7EA43}" uniqueName="6" name="XLC" queryTableFieldId="172" dataDxfId="8"/>
    <tableColumn id="7" xr3:uid="{B7A16C3C-06EB-4F9E-9B84-694C723BA638}" uniqueName="7" name="XLE" queryTableFieldId="173" dataDxfId="7"/>
    <tableColumn id="8" xr3:uid="{76A61CB2-B1B0-4A9A-8BAD-A0C81A0AAF13}" uniqueName="8" name="XLF" queryTableFieldId="174" dataDxfId="6"/>
    <tableColumn id="9" xr3:uid="{1685FF2A-672B-4C59-8DBF-6BCE658061B3}" uniqueName="9" name="XLI" queryTableFieldId="175" dataDxfId="5"/>
    <tableColumn id="10" xr3:uid="{94967300-3727-472D-9730-D4EF216153AE}" uniqueName="10" name="XLK" queryTableFieldId="176" dataDxfId="4"/>
    <tableColumn id="11" xr3:uid="{C855D900-C7BF-499B-A435-83508CF568D6}" uniqueName="11" name="XLP" queryTableFieldId="177" dataDxfId="3"/>
    <tableColumn id="12" xr3:uid="{DA9935B5-AF53-4F32-B208-1A2347F347E0}" uniqueName="12" name="XLRE" queryTableFieldId="178" dataDxfId="2"/>
    <tableColumn id="13" xr3:uid="{2460C7E7-228F-4A81-A5D6-D5408A737583}" uniqueName="13" name="XLU" queryTableFieldId="179" dataDxfId="1"/>
    <tableColumn id="16" xr3:uid="{763A598E-B9A5-4DCA-A6E9-516311028A48}" uniqueName="16" name="XLV" queryTableFieldId="186"/>
    <tableColumn id="17" xr3:uid="{06B7C94A-54F1-4C60-B1FE-84C0AA46A6C2}" uniqueName="17" name="XLY" queryTableFieldId="18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9FC1F3-01BB-4E1F-AB25-FF4FC2C05F35}" name="Table_US_Sector_SMA" displayName="Table_US_Sector_SMA" ref="A1:R2" tableType="queryTable" totalsRowShown="0">
  <autoFilter ref="A1:R2" xr:uid="{AC9FC1F3-01BB-4E1F-AB25-FF4FC2C05F35}"/>
  <tableColumns count="18">
    <tableColumn id="1" xr3:uid="{4E32D702-8ECA-47F6-BA23-7F083FA5D0A2}" uniqueName="1" name="Date" queryTableFieldId="1" dataDxfId="0"/>
    <tableColumn id="14" xr3:uid="{B0E2544E-6440-4AB3-97EB-3A7C3B798B16}" uniqueName="14" name="GLD_SMA" queryTableFieldId="158"/>
    <tableColumn id="16" xr3:uid="{60BA662F-F792-4E17-BF2D-AFAF7C356B1D}" uniqueName="16" name="IEF_SMA" queryTableFieldId="160"/>
    <tableColumn id="18" xr3:uid="{E5502995-C345-436C-AD9F-4360554A6AD8}" uniqueName="18" name="LTPZ_SMA" queryTableFieldId="162"/>
    <tableColumn id="13" xr3:uid="{037A62ED-1AEE-423F-9CBA-D898E777EB77}" uniqueName="13" name="PDBC_SMA" queryTableFieldId="157"/>
    <tableColumn id="17" xr3:uid="{7FEE1F7E-5386-43EE-8EE4-484EB491FECE}" uniqueName="17" name="TIP_SMA" queryTableFieldId="161"/>
    <tableColumn id="15" xr3:uid="{EE6B0C16-DC1B-43E0-A91B-243DEFBD81F4}" uniqueName="15" name="TLT_SMA" queryTableFieldId="159"/>
    <tableColumn id="3" xr3:uid="{B1B7D0A8-0370-4612-889A-53C6BFB03242}" uniqueName="3" name="XLB_SMA" queryTableFieldId="147"/>
    <tableColumn id="11" xr3:uid="{4C57D25A-0671-4D0F-A75F-0C1006D0A26B}" uniqueName="11" name="XLC_SMA" queryTableFieldId="155"/>
    <tableColumn id="9" xr3:uid="{21ED0F06-0DC3-468D-9C6C-4CB4D12142A6}" uniqueName="9" name="XLE_SMA" queryTableFieldId="153"/>
    <tableColumn id="8" xr3:uid="{04E5A0A1-0539-40A1-8B26-62C286F4AF6A}" uniqueName="8" name="XLF_SMA" queryTableFieldId="152"/>
    <tableColumn id="2" xr3:uid="{47866B34-AFE1-40CD-A338-E76F342C7FDB}" uniqueName="2" name="XLI_SMA" queryTableFieldId="146"/>
    <tableColumn id="5" xr3:uid="{CAB891B3-9A8A-4B1C-A2AA-501B89776D1D}" uniqueName="5" name="XLK_SMA" queryTableFieldId="149"/>
    <tableColumn id="4" xr3:uid="{D1956619-9EBF-4370-933E-5B200B7BA808}" uniqueName="4" name="XLP_SMA" queryTableFieldId="148"/>
    <tableColumn id="12" xr3:uid="{93641ADA-3FE4-45DC-91C4-F18CABB81B01}" uniqueName="12" name="XLRE_SMA" queryTableFieldId="156"/>
    <tableColumn id="10" xr3:uid="{94D7C91E-FAB2-416C-938C-F40697F35E58}" uniqueName="10" name="XLU_SMA" queryTableFieldId="154"/>
    <tableColumn id="7" xr3:uid="{176D2130-3E7F-402A-9015-A50C06D258AD}" uniqueName="7" name="XLV_SMA" queryTableFieldId="151"/>
    <tableColumn id="6" xr3:uid="{2B3BBFD9-1229-4B5F-AFE8-D6CDA8974959}" uniqueName="6" name="XLY_SMA" queryTableFieldId="1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A092-4E8A-4EB3-B3A9-C015C345172E}">
  <dimension ref="A1:X55"/>
  <sheetViews>
    <sheetView tabSelected="1" zoomScaleNormal="100" workbookViewId="0">
      <selection activeCell="G4" sqref="G4"/>
    </sheetView>
  </sheetViews>
  <sheetFormatPr defaultRowHeight="15" x14ac:dyDescent="0.25"/>
  <cols>
    <col min="1" max="3" width="14.7109375" customWidth="1"/>
    <col min="4" max="6" width="14.7109375" style="2" customWidth="1"/>
    <col min="7" max="7" width="45.7109375" style="29" customWidth="1"/>
    <col min="8" max="12" width="12.7109375" style="2" customWidth="1"/>
    <col min="13" max="22" width="12.7109375" customWidth="1"/>
  </cols>
  <sheetData>
    <row r="1" spans="1:24" ht="15" customHeight="1" thickBot="1" x14ac:dyDescent="0.3">
      <c r="A1" s="17"/>
      <c r="B1" s="17"/>
      <c r="C1" s="46"/>
      <c r="D1" s="46"/>
      <c r="N1" s="25"/>
      <c r="O1" s="25"/>
      <c r="P1" s="25"/>
      <c r="Q1" s="25"/>
    </row>
    <row r="2" spans="1:24" ht="15" customHeight="1" x14ac:dyDescent="0.25">
      <c r="A2" s="49" t="s">
        <v>18</v>
      </c>
      <c r="B2" s="50"/>
      <c r="C2" s="50"/>
      <c r="D2" s="50"/>
      <c r="E2" s="51"/>
      <c r="N2" s="25"/>
      <c r="O2" s="25"/>
      <c r="P2" s="25"/>
      <c r="Q2" s="25"/>
    </row>
    <row r="3" spans="1:24" ht="15.75" customHeight="1" x14ac:dyDescent="0.25">
      <c r="A3" s="52"/>
      <c r="B3" s="53"/>
      <c r="C3" s="53"/>
      <c r="D3" s="53"/>
      <c r="E3" s="54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4" ht="15.75" customHeight="1" x14ac:dyDescent="0.25">
      <c r="A4" s="23"/>
      <c r="B4" s="41"/>
      <c r="C4" s="41"/>
      <c r="D4" s="41"/>
      <c r="E4" s="24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spans="1:24" ht="15.75" x14ac:dyDescent="0.25">
      <c r="A5" s="33" t="str" cm="1">
        <f t="array" ref="A5:E6">_xlfn._xlws.SORT(_xlfn._xlws.FILTER('Momentum Matrix'!$B$1:$R$2, 'Momentum Matrix'!$B$2:$R$2&gt;=LARGE('Momentum Matrix'!$B$2:$R$2, 5)), 1, -1)</f>
        <v>GLD</v>
      </c>
      <c r="B5" s="42" t="str">
        <v>XLC</v>
      </c>
      <c r="C5" s="42" t="str">
        <v>XLK</v>
      </c>
      <c r="D5" s="42" t="str">
        <v>XLP</v>
      </c>
      <c r="E5" s="34" t="str">
        <v>XLV</v>
      </c>
      <c r="N5" s="41"/>
      <c r="T5" s="41"/>
      <c r="U5" s="41"/>
      <c r="V5" s="41"/>
      <c r="W5" s="41"/>
      <c r="X5" s="41"/>
    </row>
    <row r="6" spans="1:24" ht="16.5" thickBot="1" x14ac:dyDescent="0.3">
      <c r="A6" s="35">
        <v>9.9461484290012558E-2</v>
      </c>
      <c r="B6" s="36">
        <v>7.8535810850785356E-2</v>
      </c>
      <c r="C6" s="36">
        <v>8.6820569146725604E-2</v>
      </c>
      <c r="D6" s="36">
        <v>4.4893448257947742E-2</v>
      </c>
      <c r="E6" s="37">
        <v>1.8185677438843494E-2</v>
      </c>
      <c r="M6" s="41"/>
      <c r="N6" s="41"/>
      <c r="O6" s="43"/>
      <c r="P6" s="43"/>
      <c r="Q6" s="43"/>
      <c r="R6" s="43"/>
      <c r="S6" s="43"/>
      <c r="T6" s="44"/>
      <c r="U6" s="41"/>
      <c r="V6" s="41"/>
      <c r="W6" s="41"/>
      <c r="X6" s="41"/>
    </row>
    <row r="7" spans="1:24" ht="15.75" customHeight="1" x14ac:dyDescent="0.25"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</row>
    <row r="8" spans="1:24" ht="15.75" customHeight="1" x14ac:dyDescent="0.25">
      <c r="A8" s="47" t="s">
        <v>19</v>
      </c>
      <c r="B8" s="48"/>
      <c r="C8" s="48"/>
      <c r="D8" s="48"/>
      <c r="E8" s="25"/>
      <c r="F8" s="25"/>
      <c r="G8" s="30"/>
      <c r="H8" s="14"/>
      <c r="I8" s="14"/>
      <c r="J8" s="14"/>
      <c r="K8" s="14"/>
      <c r="L8" s="14"/>
      <c r="M8" s="25"/>
      <c r="N8" s="25"/>
      <c r="O8" s="25"/>
      <c r="P8" s="25"/>
      <c r="Q8" s="25"/>
      <c r="R8" s="25"/>
      <c r="S8" s="30"/>
      <c r="T8" s="14"/>
      <c r="U8" s="14"/>
      <c r="V8" s="14"/>
      <c r="W8" s="14"/>
    </row>
    <row r="9" spans="1:24" ht="15.75" customHeight="1" x14ac:dyDescent="0.25">
      <c r="A9" s="48"/>
      <c r="B9" s="48"/>
      <c r="C9" s="48"/>
      <c r="D9" s="48"/>
      <c r="E9" s="25"/>
      <c r="F9" s="25"/>
      <c r="G9" s="30"/>
      <c r="H9" s="14"/>
      <c r="I9" s="14"/>
      <c r="J9" s="14"/>
      <c r="K9" s="14"/>
      <c r="L9" s="14"/>
      <c r="M9" s="25"/>
      <c r="N9" s="25"/>
      <c r="O9" s="25"/>
      <c r="P9" s="25"/>
      <c r="Q9" s="25"/>
      <c r="R9" s="25"/>
      <c r="S9" s="30"/>
      <c r="T9" s="14"/>
      <c r="U9" s="14"/>
      <c r="V9" s="14"/>
      <c r="W9" s="14"/>
    </row>
    <row r="10" spans="1:24" ht="30" customHeight="1" x14ac:dyDescent="0.25">
      <c r="A10" s="32" t="s">
        <v>1</v>
      </c>
      <c r="B10" s="32" t="s">
        <v>2</v>
      </c>
      <c r="C10" s="32" t="s">
        <v>16</v>
      </c>
      <c r="D10" s="32" t="s">
        <v>3</v>
      </c>
      <c r="E10" s="32" t="s">
        <v>4</v>
      </c>
      <c r="F10" s="32" t="s">
        <v>9</v>
      </c>
      <c r="G10" s="32" t="s">
        <v>5</v>
      </c>
      <c r="H10" s="32" t="s">
        <v>20</v>
      </c>
      <c r="I10" s="32" t="s">
        <v>6</v>
      </c>
      <c r="J10" s="32" t="s">
        <v>7</v>
      </c>
      <c r="K10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</row>
    <row r="11" spans="1:24" ht="15.75" customHeight="1" x14ac:dyDescent="0.25">
      <c r="A11" s="4"/>
      <c r="B11" s="4" t="str" cm="1">
        <f t="array" ref="B11">IF(AND(Table35231227[[#This Row],[Ticker]]&lt;&gt;$A$5:$E$5, (A11="X")),"SELL","")</f>
        <v/>
      </c>
      <c r="C11" s="4" t="str">
        <f>IF(AND(A11="X",Table35231227[[#This Row],[SMA]]="Below SMA"),"SELL","")</f>
        <v/>
      </c>
      <c r="D11" s="4" t="str" cm="1">
        <f t="array" ref="D11">IF(AND(OR(Table35231227[[#This Row],[Ticker]]=$A$5:$E$5), AND(A11="",Table35231227[[#This Row],[SMA]]="Above SMA")),"BUY","")</f>
        <v>BUY</v>
      </c>
      <c r="E11" s="7" t="str" cm="1">
        <f t="array" ref="E11">IF(H11 &gt; Table_US_Sector_SMA[XLC_SMA], "Above SMA", "Below SMA")</f>
        <v>Above SMA</v>
      </c>
      <c r="F11" s="4" t="s">
        <v>31</v>
      </c>
      <c r="G11" s="28" t="e" vm="1">
        <v>#VALUE!</v>
      </c>
      <c r="H11" s="6" cm="1">
        <f t="array" ref="H11">_FV(G11,"Price")</f>
        <v>59.71</v>
      </c>
      <c r="I11" s="8" cm="1">
        <f t="array" ref="I11">(H11-Table_US_Sector_Y[XLC])/Table_US_Sector_Y[XLC]</f>
        <v>0.23170666709264262</v>
      </c>
      <c r="J11" s="26" t="str">
        <f t="shared" ref="J11:J27" si="0">IF(A11="x", 20%, "0%")</f>
        <v>0%</v>
      </c>
      <c r="K11"/>
      <c r="L11" s="4"/>
      <c r="M11" s="4"/>
      <c r="N11" s="4"/>
      <c r="O11" s="4"/>
      <c r="P11" s="4"/>
      <c r="Q11" s="4"/>
      <c r="R11" s="28"/>
      <c r="S11" s="6"/>
      <c r="T11" s="45"/>
      <c r="U11" s="26"/>
      <c r="V11" s="12"/>
    </row>
    <row r="12" spans="1:24" ht="15.75" customHeight="1" x14ac:dyDescent="0.25">
      <c r="A12" s="4"/>
      <c r="B12" s="4" t="str" cm="1">
        <f t="array" ref="B12">IF(AND(Table35231227[[#This Row],[Ticker]]&lt;&gt;$A$5:$E$5, (A12="X")),"SELL","")</f>
        <v/>
      </c>
      <c r="C12" s="4" t="str">
        <f>IF(AND(A12="X",Table35231227[[#This Row],[SMA]]="Below SMA"),"SELL","")</f>
        <v/>
      </c>
      <c r="D12" s="4" t="str" cm="1">
        <f t="array" ref="D12">IF(AND(OR(Table35231227[[#This Row],[Ticker]]=$A$5:$E$5), AND(A12="",Table35231227[[#This Row],[SMA]]="Above SMA")),"BUY","")</f>
        <v>BUY</v>
      </c>
      <c r="E12" s="7" t="str" cm="1">
        <f t="array" ref="E12">IF(H12 &gt; Table_US_Sector_SMA[XLK_SMA], "Above SMA", "Below SMA")</f>
        <v>Above SMA</v>
      </c>
      <c r="F12" s="4" t="s">
        <v>25</v>
      </c>
      <c r="G12" s="28" t="e" vm="2">
        <v>#VALUE!</v>
      </c>
      <c r="H12" s="6" cm="1">
        <f t="array" ref="H12">_FV(G12,"Price")</f>
        <v>150.94999999999999</v>
      </c>
      <c r="I12" s="8" cm="1">
        <f t="array" ref="I12">(H12-Table_US_Sector_Y[XLK])/Table_US_Sector_Y[XLK]</f>
        <v>0.2273505758064279</v>
      </c>
      <c r="J12" s="26" t="str">
        <f t="shared" si="0"/>
        <v>0%</v>
      </c>
      <c r="K12"/>
      <c r="L12" s="4"/>
      <c r="M12" s="4"/>
      <c r="N12" s="4"/>
      <c r="O12" s="4"/>
      <c r="P12" s="4"/>
      <c r="Q12" s="4"/>
      <c r="R12" s="28"/>
      <c r="S12" s="6"/>
      <c r="T12" s="45"/>
      <c r="U12" s="26"/>
      <c r="V12" s="12"/>
    </row>
    <row r="13" spans="1:24" ht="15.75" x14ac:dyDescent="0.25">
      <c r="A13" s="4"/>
      <c r="B13" s="4" t="str" cm="1">
        <f t="array" ref="B13">IF(AND(Table35231227[[#This Row],[Ticker]]&lt;&gt;$A$5:$E$5, (A13="X")),"SELL","")</f>
        <v/>
      </c>
      <c r="C13" s="4" t="str">
        <f>IF(AND(A13="X",Table35231227[[#This Row],[SMA]]="Below SMA"),"SELL","")</f>
        <v/>
      </c>
      <c r="D13" s="4" t="str" cm="1">
        <f t="array" ref="D13">IF(AND(OR(Table35231227[[#This Row],[Ticker]]=$A$5:$E$5), AND(A13="",Table35231227[[#This Row],[SMA]]="Above SMA")),"BUY","")</f>
        <v/>
      </c>
      <c r="E13" s="7" t="str" cm="1">
        <f t="array" ref="E13">IF(H13 &gt; Table_US_Sector_SMA[XLY_SMA], "Above SMA", "Below SMA")</f>
        <v>Above SMA</v>
      </c>
      <c r="F13" s="4" t="s">
        <v>26</v>
      </c>
      <c r="G13" s="28" t="e" vm="3">
        <v>#VALUE!</v>
      </c>
      <c r="H13" s="6" cm="1">
        <f t="array" ref="H13">_FV(G13,"Price")</f>
        <v>147.83000000000001</v>
      </c>
      <c r="I13" s="8" cm="1">
        <f t="array" ref="I13">(H13-Table_US_Sector_Y[XLY])/Table_US_Sector_Y[XLY]</f>
        <v>0.15492731328354781</v>
      </c>
      <c r="J13" s="26" t="str">
        <f t="shared" si="0"/>
        <v>0%</v>
      </c>
      <c r="K13"/>
      <c r="L13" s="4"/>
      <c r="M13" s="4"/>
      <c r="N13" s="4"/>
      <c r="O13" s="4"/>
      <c r="P13" s="4"/>
      <c r="Q13" s="4"/>
      <c r="R13" s="28"/>
      <c r="S13" s="6"/>
      <c r="T13" s="45"/>
      <c r="U13" s="26"/>
      <c r="V13" s="12"/>
    </row>
    <row r="14" spans="1:24" ht="15.75" x14ac:dyDescent="0.25">
      <c r="A14" s="4"/>
      <c r="B14" s="4" t="str" cm="1">
        <f t="array" ref="B14">IF(AND(Table35231227[[#This Row],[Ticker]]&lt;&gt;$A$5:$E$5, (A14="X")),"SELL","")</f>
        <v/>
      </c>
      <c r="C14" s="4" t="str">
        <f>IF(AND(A14="X",Table35231227[[#This Row],[SMA]]="Below SMA"),"SELL","")</f>
        <v/>
      </c>
      <c r="D14" s="4" t="str" cm="1">
        <f t="array" ref="D14">IF(AND(OR(Table35231227[[#This Row],[Ticker]]=$A$5:$E$5), AND(A14="",Table35231227[[#This Row],[SMA]]="Above SMA")),"BUY","")</f>
        <v>BUY</v>
      </c>
      <c r="E14" s="7" t="str" cm="1">
        <f t="array" ref="E14">IF(H14 &gt; Table_US_Sector_SMA[GLD_SMA], "Above SMA", "Below SMA")</f>
        <v>Above SMA</v>
      </c>
      <c r="F14" s="4" t="s">
        <v>34</v>
      </c>
      <c r="G14" s="28" t="e" vm="4">
        <v>#VALUE!</v>
      </c>
      <c r="H14" s="6" cm="1">
        <f t="array" ref="H14">_FV(G14,"Price")</f>
        <v>186.81</v>
      </c>
      <c r="I14" s="8" cm="1">
        <f t="array" ref="I14">(H14-Table_US_Sector_Y[GLD])/Table_US_Sector_Y[GLD]</f>
        <v>9.2072972443550699E-2</v>
      </c>
      <c r="J14" s="26" t="str">
        <f t="shared" si="0"/>
        <v>0%</v>
      </c>
      <c r="K14"/>
      <c r="L14" s="4"/>
      <c r="M14" s="4"/>
      <c r="N14" s="4"/>
      <c r="O14" s="4"/>
      <c r="P14" s="4"/>
      <c r="Q14" s="4"/>
      <c r="R14" s="28"/>
      <c r="S14" s="6"/>
      <c r="T14" s="45"/>
      <c r="U14" s="26"/>
      <c r="V14" s="12"/>
    </row>
    <row r="15" spans="1:24" ht="15.75" x14ac:dyDescent="0.25">
      <c r="A15" s="4"/>
      <c r="B15" s="4" t="str" cm="1">
        <f t="array" ref="B15">IF(AND(Table35231227[[#This Row],[Ticker]]&lt;&gt;$A$5:$E$5, (A15="X")),"SELL","")</f>
        <v/>
      </c>
      <c r="C15" s="4" t="str">
        <f>IF(AND(A15="X",Table35231227[[#This Row],[SMA]]="Below SMA"),"SELL","")</f>
        <v/>
      </c>
      <c r="D15" s="4" t="str" cm="1">
        <f t="array" ref="D15">IF(AND(OR(Table35231227[[#This Row],[Ticker]]=$A$5:$E$5), AND(A15="",Table35231227[[#This Row],[SMA]]="Above SMA")),"BUY","")</f>
        <v>BUY</v>
      </c>
      <c r="E15" s="7" t="str" cm="1">
        <f t="array" ref="E15">IF(H15 &gt; Table_US_Sector_SMA[XLP_SMA], "Above SMA", "Below SMA")</f>
        <v>Above SMA</v>
      </c>
      <c r="F15" s="4" t="s">
        <v>24</v>
      </c>
      <c r="G15" s="28" t="e" vm="5">
        <v>#VALUE!</v>
      </c>
      <c r="H15" s="6" cm="1">
        <f t="array" ref="H15">_FV(G15,"Price")</f>
        <v>77.12</v>
      </c>
      <c r="I15" s="8" cm="1">
        <f t="array" ref="I15">(H15-Table_US_Sector_Y[XLP])/Table_US_Sector_Y[XLP]</f>
        <v>4.3365342563585263E-2</v>
      </c>
      <c r="J15" s="26" t="str">
        <f t="shared" si="0"/>
        <v>0%</v>
      </c>
      <c r="K15"/>
      <c r="L15" s="4"/>
      <c r="M15" s="4"/>
      <c r="N15" s="4"/>
      <c r="O15" s="4"/>
      <c r="P15" s="4"/>
      <c r="Q15" s="4"/>
      <c r="R15" s="28"/>
      <c r="S15" s="6"/>
      <c r="T15" s="45"/>
      <c r="U15" s="26"/>
      <c r="V15" s="12"/>
    </row>
    <row r="16" spans="1:24" ht="15.75" x14ac:dyDescent="0.25">
      <c r="A16" s="4"/>
      <c r="B16" s="4" t="str" cm="1">
        <f t="array" ref="B16">IF(AND(Table35231227[[#This Row],[Ticker]]&lt;&gt;$A$5:$E$5, (A16="X")),"SELL","")</f>
        <v/>
      </c>
      <c r="C16" s="4" t="str">
        <f>IF(AND(A16="X",Table35231227[[#This Row],[SMA]]="Below SMA"),"SELL","")</f>
        <v/>
      </c>
      <c r="D16" s="4" t="str" cm="1">
        <f t="array" ref="D16">IF(AND(OR(Table35231227[[#This Row],[Ticker]]=$A$5:$E$5), AND(A16="",Table35231227[[#This Row],[SMA]]="Above SMA")),"BUY","")</f>
        <v/>
      </c>
      <c r="E16" s="7" t="str" cm="1">
        <f t="array" ref="E16">IF(H16 &gt; Table_US_Sector_SMA[LTPZ_SMA], "Above SMA", "Below SMA")</f>
        <v>Above SMA</v>
      </c>
      <c r="F16" s="4" t="s">
        <v>52</v>
      </c>
      <c r="G16" s="28" t="e" vm="6">
        <v>#VALUE!</v>
      </c>
      <c r="H16" s="6" cm="1">
        <f t="array" ref="H16">_FV(G16,"Price")</f>
        <v>60.9</v>
      </c>
      <c r="I16" s="8" cm="1">
        <f t="array" ref="I16">(H16-Table_US_Sector_Y[LTPZ])/Table_US_Sector_Y[LTPZ]</f>
        <v>4.1146895472555151E-2</v>
      </c>
      <c r="J16" s="26" t="str">
        <f t="shared" si="0"/>
        <v>0%</v>
      </c>
      <c r="K16"/>
      <c r="L16" s="4"/>
      <c r="M16" s="4"/>
      <c r="N16" s="4"/>
      <c r="O16" s="4"/>
      <c r="P16" s="4"/>
      <c r="Q16" s="4"/>
      <c r="R16" s="28"/>
      <c r="S16" s="6"/>
      <c r="T16" s="45"/>
      <c r="U16" s="26"/>
      <c r="V16" s="12"/>
    </row>
    <row r="17" spans="1:22" ht="15.75" x14ac:dyDescent="0.25">
      <c r="A17" s="4"/>
      <c r="B17" s="4" t="str" cm="1">
        <f t="array" ref="B17">IF(AND(Table35231227[[#This Row],[Ticker]]&lt;&gt;$A$5:$E$5, (A17="X")),"SELL","")</f>
        <v/>
      </c>
      <c r="C17" s="4" t="str">
        <f>IF(AND(A17="X",Table35231227[[#This Row],[SMA]]="Below SMA"),"SELL","")</f>
        <v/>
      </c>
      <c r="D17" s="4" t="str" cm="1">
        <f t="array" ref="D17">IF(AND(OR(Table35231227[[#This Row],[Ticker]]=$A$5:$E$5), AND(A17="",Table35231227[[#This Row],[SMA]]="Above SMA")),"BUY","")</f>
        <v/>
      </c>
      <c r="E17" s="7" t="str" cm="1">
        <f t="array" ref="E17">IF(H17 &gt; Table_US_Sector_SMA[IEF_SMA], "Above SMA", "Below SMA")</f>
        <v>Above SMA</v>
      </c>
      <c r="F17" s="4" t="s">
        <v>36</v>
      </c>
      <c r="G17" s="28" t="e" vm="7">
        <v>#VALUE!</v>
      </c>
      <c r="H17" s="6" cm="1">
        <f t="array" ref="H17">_FV(G17,"Price")</f>
        <v>99.47</v>
      </c>
      <c r="I17" s="8" cm="1">
        <f t="array" ref="I17">(H17-Table_US_Sector_Y[IEF])/Table_US_Sector_Y[IEF]</f>
        <v>3.9322384218555856E-2</v>
      </c>
      <c r="J17" s="26" t="str">
        <f t="shared" si="0"/>
        <v>0%</v>
      </c>
      <c r="K17"/>
      <c r="L17" s="4"/>
      <c r="M17" s="4"/>
      <c r="N17" s="4"/>
      <c r="O17" s="4"/>
      <c r="P17" s="4"/>
      <c r="Q17" s="4"/>
      <c r="R17" s="28"/>
      <c r="S17" s="6"/>
      <c r="T17" s="45"/>
      <c r="U17" s="26"/>
      <c r="V17" s="12"/>
    </row>
    <row r="18" spans="1:22" ht="15.75" x14ac:dyDescent="0.25">
      <c r="A18" s="4"/>
      <c r="B18" s="4" t="str" cm="1">
        <f t="array" ref="B18">IF(AND(Table35231227[[#This Row],[Ticker]]&lt;&gt;$A$5:$E$5, (A18="X")),"SELL","")</f>
        <v/>
      </c>
      <c r="C18" s="4" t="str">
        <f>IF(AND(A18="X",Table35231227[[#This Row],[SMA]]="Below SMA"),"SELL","")</f>
        <v/>
      </c>
      <c r="D18" s="4" t="str" cm="1">
        <f t="array" ref="D18">IF(AND(OR(Table35231227[[#This Row],[Ticker]]=$A$5:$E$5), AND(A18="",Table35231227[[#This Row],[SMA]]="Above SMA")),"BUY","")</f>
        <v/>
      </c>
      <c r="E18" s="7" t="str" cm="1">
        <f t="array" ref="E18">IF(H18 &gt; Table_US_Sector_SMA[TLT_SMA], "Above SMA", "Below SMA")</f>
        <v>Above SMA</v>
      </c>
      <c r="F18" s="4" t="s">
        <v>35</v>
      </c>
      <c r="G18" s="28" t="e" vm="8">
        <v>#VALUE!</v>
      </c>
      <c r="H18" s="6" cm="1">
        <f t="array" ref="H18">_FV(G18,"Price")</f>
        <v>104.27</v>
      </c>
      <c r="I18" s="8" cm="1">
        <f t="array" ref="I18">(H18-Table_US_Sector_Y[TLT])/Table_US_Sector_Y[TLT]</f>
        <v>3.8110350289237094E-2</v>
      </c>
      <c r="J18" s="26" t="str">
        <f t="shared" si="0"/>
        <v>0%</v>
      </c>
      <c r="K18"/>
      <c r="L18" s="4"/>
      <c r="M18" s="4"/>
      <c r="N18" s="4"/>
      <c r="O18" s="4"/>
      <c r="P18" s="4"/>
      <c r="Q18" s="4"/>
      <c r="R18" s="28"/>
      <c r="S18" s="6"/>
      <c r="T18" s="45"/>
      <c r="U18" s="26"/>
      <c r="V18" s="12"/>
    </row>
    <row r="19" spans="1:22" ht="15.75" x14ac:dyDescent="0.25">
      <c r="A19" s="4"/>
      <c r="B19" s="4" t="str" cm="1">
        <f t="array" ref="B19">IF(AND(Table35231227[[#This Row],[Ticker]]&lt;&gt;$A$5:$E$5, (A19="X")),"SELL","")</f>
        <v/>
      </c>
      <c r="C19" s="4" t="str">
        <f>IF(AND(A19="X",Table35231227[[#This Row],[SMA]]="Below SMA"),"SELL","")</f>
        <v/>
      </c>
      <c r="D19" s="4" t="str" cm="1">
        <f t="array" ref="D19">IF(AND(OR(Table35231227[[#This Row],[Ticker]]=$A$5:$E$5), AND(A19="",Table35231227[[#This Row],[SMA]]="Above SMA")),"BUY","")</f>
        <v/>
      </c>
      <c r="E19" s="7" t="str" cm="1">
        <f t="array" ref="E19">IF(H19 &gt; Table_US_Sector_SMA[TIP_SMA], "Above SMA", "Below SMA")</f>
        <v>Above SMA</v>
      </c>
      <c r="F19" s="4" t="s">
        <v>53</v>
      </c>
      <c r="G19" s="28" t="e" vm="9">
        <v>#VALUE!</v>
      </c>
      <c r="H19" s="6" cm="1">
        <f t="array" ref="H19">_FV(G19,"Price")</f>
        <v>109.42</v>
      </c>
      <c r="I19" s="8" cm="1">
        <f t="array" ref="I19">(H19-Table_US_Sector_Y[TIP])/Table_US_Sector_Y[TIP]</f>
        <v>3.0844865372157276E-2</v>
      </c>
      <c r="J19" s="26" t="str">
        <f t="shared" si="0"/>
        <v>0%</v>
      </c>
      <c r="K19"/>
      <c r="L19" s="4"/>
      <c r="M19" s="4"/>
      <c r="N19" s="4"/>
      <c r="O19" s="4"/>
      <c r="P19" s="4"/>
      <c r="Q19" s="4"/>
      <c r="R19" s="28"/>
      <c r="S19" s="6"/>
      <c r="T19" s="45"/>
      <c r="U19" s="26"/>
      <c r="V19" s="12"/>
    </row>
    <row r="20" spans="1:22" ht="15.75" x14ac:dyDescent="0.25">
      <c r="A20" s="4"/>
      <c r="B20" s="4" t="str" cm="1">
        <f t="array" ref="B20">IF(AND(Table35231227[[#This Row],[Ticker]]&lt;&gt;$A$5:$E$5, (A20="X")),"SELL","")</f>
        <v/>
      </c>
      <c r="C20" s="4" t="str">
        <f>IF(AND(A20="X",Table35231227[[#This Row],[SMA]]="Below SMA"),"SELL","")</f>
        <v/>
      </c>
      <c r="D20" s="4" t="str" cm="1">
        <f t="array" ref="D20">IF(AND(OR(Table35231227[[#This Row],[Ticker]]=$A$5:$E$5), AND(A20="",Table35231227[[#This Row],[SMA]]="Above SMA")),"BUY","")</f>
        <v/>
      </c>
      <c r="E20" s="7" t="str" cm="1">
        <f t="array" ref="E20">IF(H20 &gt; Table_US_Sector_SMA[XLB_SMA], "Above SMA", "Below SMA")</f>
        <v>Above SMA</v>
      </c>
      <c r="F20" s="4" t="s">
        <v>23</v>
      </c>
      <c r="G20" s="28" t="e" vm="10">
        <v>#VALUE!</v>
      </c>
      <c r="H20" s="6" cm="1">
        <f t="array" ref="H20">_FV(G20,"Price")</f>
        <v>78.099999999999994</v>
      </c>
      <c r="I20" s="8" cm="1">
        <f t="array" ref="I20">(H20-Table_US_Sector_Y[XLB])/Table_US_Sector_Y[XLB]</f>
        <v>1.0820745047466437E-2</v>
      </c>
      <c r="J20" s="26" t="str">
        <f t="shared" si="0"/>
        <v>0%</v>
      </c>
      <c r="K20"/>
      <c r="L20" s="4"/>
      <c r="M20" s="4"/>
      <c r="N20" s="4"/>
      <c r="O20" s="4"/>
      <c r="P20" s="4"/>
      <c r="Q20" s="4"/>
      <c r="R20" s="28"/>
      <c r="S20" s="6"/>
      <c r="T20" s="45"/>
      <c r="U20" s="26"/>
      <c r="V20" s="12"/>
    </row>
    <row r="21" spans="1:22" ht="15.75" x14ac:dyDescent="0.25">
      <c r="A21" s="4"/>
      <c r="B21" s="4" t="str" cm="1">
        <f t="array" ref="B21">IF(AND(Table35231227[[#This Row],[Ticker]]&lt;&gt;$A$5:$E$5, (A21="X")),"SELL","")</f>
        <v/>
      </c>
      <c r="C21" s="4" t="str">
        <f>IF(AND(A21="X",Table35231227[[#This Row],[SMA]]="Below SMA"),"SELL","")</f>
        <v/>
      </c>
      <c r="D21" s="4" t="str" cm="1">
        <f t="array" ref="D21">IF(AND(OR(Table35231227[[#This Row],[Ticker]]=$A$5:$E$5), AND(A21="",Table35231227[[#This Row],[SMA]]="Above SMA")),"BUY","")</f>
        <v/>
      </c>
      <c r="E21" s="7" t="str" cm="1">
        <f t="array" ref="E21">IF(H21 &gt; Table_US_Sector_SMA[XLRE_SMA], "Above SMA", "Below SMA")</f>
        <v>Below SMA</v>
      </c>
      <c r="F21" s="4" t="s">
        <v>32</v>
      </c>
      <c r="G21" s="28" t="e" vm="11">
        <v>#VALUE!</v>
      </c>
      <c r="H21" s="6" cm="1">
        <f t="array" ref="H21">_FV(G21,"Price")</f>
        <v>37.090000000000003</v>
      </c>
      <c r="I21" s="8" cm="1">
        <f t="array" ref="I21">(H21-Table_US_Sector_Y[XLRE])/Table_US_Sector_Y[XLRE]</f>
        <v>7.6596393848781105E-3</v>
      </c>
      <c r="J21" s="26" t="str">
        <f t="shared" si="0"/>
        <v>0%</v>
      </c>
      <c r="K21"/>
      <c r="L21" s="4"/>
      <c r="M21" s="4"/>
      <c r="N21" s="4"/>
      <c r="O21" s="4"/>
      <c r="P21" s="4"/>
      <c r="Q21" s="4"/>
      <c r="R21" s="28"/>
      <c r="S21" s="6"/>
      <c r="T21" s="45"/>
      <c r="U21" s="26"/>
      <c r="V21" s="12"/>
    </row>
    <row r="22" spans="1:22" ht="15.75" x14ac:dyDescent="0.25">
      <c r="A22" s="4"/>
      <c r="B22" s="4" t="str" cm="1">
        <f t="array" ref="B22">IF(AND(Table35231227[[#This Row],[Ticker]]&lt;&gt;$A$5:$E$5, (A22="X")),"SELL","")</f>
        <v/>
      </c>
      <c r="C22" s="4" t="str">
        <f>IF(AND(A22="X",Table35231227[[#This Row],[SMA]]="Below SMA"),"SELL","")</f>
        <v/>
      </c>
      <c r="D22" s="4" t="str" cm="1">
        <f t="array" ref="D22">IF(AND(OR(Table35231227[[#This Row],[Ticker]]=$A$5:$E$5), AND(A22="",Table35231227[[#This Row],[SMA]]="Above SMA")),"BUY","")</f>
        <v/>
      </c>
      <c r="E22" s="7" t="str" cm="1">
        <f t="array" ref="E22">IF(H22 &gt; Table_US_Sector_SMA[XLI_SMA], "Above SMA", "Below SMA")</f>
        <v>Above SMA</v>
      </c>
      <c r="F22" s="4" t="s">
        <v>22</v>
      </c>
      <c r="G22" s="28" t="e" vm="12">
        <v>#VALUE!</v>
      </c>
      <c r="H22" s="6" cm="1">
        <f t="array" ref="H22">_FV(G22,"Price")</f>
        <v>98.48</v>
      </c>
      <c r="I22" s="8" cm="1">
        <f t="array" ref="I22">(H22-Table_US_Sector_Y[XLI])/Table_US_Sector_Y[XLI]</f>
        <v>4.7150072057409714E-3</v>
      </c>
      <c r="J22" s="26" t="str">
        <f t="shared" si="0"/>
        <v>0%</v>
      </c>
      <c r="K22"/>
      <c r="L22" s="4"/>
      <c r="M22" s="4"/>
      <c r="N22" s="4"/>
      <c r="O22" s="4"/>
      <c r="P22" s="4"/>
      <c r="Q22" s="4"/>
      <c r="R22" s="28"/>
      <c r="S22" s="6"/>
      <c r="T22" s="45"/>
      <c r="U22" s="26"/>
      <c r="V22" s="12"/>
    </row>
    <row r="23" spans="1:22" ht="15.75" x14ac:dyDescent="0.25">
      <c r="A23" s="4"/>
      <c r="B23" s="4" t="str" cm="1">
        <f t="array" ref="B23">IF(AND(Table35231227[[#This Row],[Ticker]]&lt;&gt;$A$5:$E$5, (A23="X")),"SELL","")</f>
        <v/>
      </c>
      <c r="C23" s="4" t="str">
        <f>IF(AND(A23="X",Table35231227[[#This Row],[SMA]]="Below SMA"),"SELL","")</f>
        <v/>
      </c>
      <c r="D23" s="4" t="str" cm="1">
        <f t="array" ref="D23">IF(AND(OR(Table35231227[[#This Row],[Ticker]]=$A$5:$E$5), AND(A23="",Table35231227[[#This Row],[SMA]]="Above SMA")),"BUY","")</f>
        <v/>
      </c>
      <c r="E23" s="7" t="str" cm="1">
        <f t="array" ref="E23">IF(H23 &gt; Table_US_Sector_SMA[XLU_SMA], "Above SMA", "Below SMA")</f>
        <v>Above SMA</v>
      </c>
      <c r="F23" s="4" t="s">
        <v>30</v>
      </c>
      <c r="G23" s="28" t="e" vm="13">
        <v>#VALUE!</v>
      </c>
      <c r="H23" s="6" cm="1">
        <f t="array" ref="H23">_FV(G23,"Price")</f>
        <v>69.03</v>
      </c>
      <c r="I23" s="8" cm="1">
        <f t="array" ref="I23">(H23-Table_US_Sector_Y[XLU])/Table_US_Sector_Y[XLU]</f>
        <v>-1.3634069245876316E-2</v>
      </c>
      <c r="J23" s="26" t="str">
        <f t="shared" si="0"/>
        <v>0%</v>
      </c>
      <c r="K23"/>
      <c r="L23" s="4"/>
      <c r="M23" s="4"/>
      <c r="N23" s="4"/>
      <c r="O23" s="4"/>
      <c r="P23" s="4"/>
      <c r="Q23" s="4"/>
      <c r="R23" s="28"/>
      <c r="S23" s="6"/>
      <c r="T23" s="45"/>
      <c r="U23" s="26"/>
      <c r="V23" s="12"/>
    </row>
    <row r="24" spans="1:22" ht="15.75" x14ac:dyDescent="0.25">
      <c r="A24" s="4"/>
      <c r="B24" s="4" t="str" cm="1">
        <f t="array" ref="B24">IF(AND(Table35231227[[#This Row],[Ticker]]&lt;&gt;$A$5:$E$5, (A24="X")),"SELL","")</f>
        <v/>
      </c>
      <c r="C24" s="4" t="str">
        <f>IF(AND(A24="X",Table35231227[[#This Row],[SMA]]="Below SMA"),"SELL","")</f>
        <v/>
      </c>
      <c r="D24" s="4" t="str" cm="1">
        <f t="array" ref="D24">IF(AND(OR(Table35231227[[#This Row],[Ticker]]=$A$5:$E$5), AND(A24="",Table35231227[[#This Row],[SMA]]="Above SMA")),"BUY","")</f>
        <v>BUY</v>
      </c>
      <c r="E24" s="7" t="str" cm="1">
        <f t="array" ref="E24">IF(H24 &gt; Table_US_Sector_SMA[XLV_SMA], "Above SMA", "Below SMA")</f>
        <v>Above SMA</v>
      </c>
      <c r="F24" s="4" t="s">
        <v>27</v>
      </c>
      <c r="G24" s="28" t="e" vm="14">
        <v>#VALUE!</v>
      </c>
      <c r="H24" s="6" cm="1">
        <f t="array" ref="H24">_FV(G24,"Price")</f>
        <v>132.19</v>
      </c>
      <c r="I24" s="8" cm="1">
        <f t="array" ref="I24">(H24-Table_US_Sector_Y[XLV])/Table_US_Sector_Y[XLV]</f>
        <v>-2.033369388155512E-2</v>
      </c>
      <c r="J24" s="26" t="str">
        <f t="shared" si="0"/>
        <v>0%</v>
      </c>
      <c r="K24"/>
      <c r="L24" s="4"/>
      <c r="M24" s="4"/>
      <c r="N24" s="4"/>
      <c r="O24" s="4"/>
      <c r="P24" s="4"/>
      <c r="Q24" s="4"/>
      <c r="R24" s="28"/>
      <c r="S24" s="6"/>
      <c r="T24" s="45"/>
      <c r="U24" s="26"/>
      <c r="V24" s="12"/>
    </row>
    <row r="25" spans="1:22" ht="15.75" x14ac:dyDescent="0.25">
      <c r="A25" s="4"/>
      <c r="B25" s="4" t="str" cm="1">
        <f t="array" ref="B25">IF(AND(Table35231227[[#This Row],[Ticker]]&lt;&gt;$A$5:$E$5, (A25="X")),"SELL","")</f>
        <v/>
      </c>
      <c r="C25" s="4" t="str">
        <f>IF(AND(A25="X",Table35231227[[#This Row],[SMA]]="Below SMA"),"SELL","")</f>
        <v/>
      </c>
      <c r="D25" s="4" t="str" cm="1">
        <f t="array" ref="D25">IF(AND(OR(Table35231227[[#This Row],[Ticker]]=$A$5:$E$5), AND(A25="",Table35231227[[#This Row],[SMA]]="Above SMA")),"BUY","")</f>
        <v/>
      </c>
      <c r="E25" s="7" t="str" cm="1">
        <f t="array" ref="E25">IF(H25 &gt; Table_US_Sector_SMA[PDBC_SMA], "Above SMA", "Below SMA")</f>
        <v>Below SMA</v>
      </c>
      <c r="F25" s="4" t="s">
        <v>33</v>
      </c>
      <c r="G25" s="28" t="e" vm="15">
        <v>#VALUE!</v>
      </c>
      <c r="H25" s="6" cm="1">
        <f t="array" ref="H25">_FV(G25,"Price")</f>
        <v>13.59</v>
      </c>
      <c r="I25" s="8" cm="1">
        <f t="array" ref="I25">(H25-Table_US_Sector_Y[PDBC])/Table_US_Sector_Y[PDBC]</f>
        <v>-5.6904917147474726E-2</v>
      </c>
      <c r="J25" s="26" t="str">
        <f t="shared" si="0"/>
        <v>0%</v>
      </c>
      <c r="K25"/>
      <c r="L25" s="4"/>
      <c r="M25" s="4"/>
      <c r="N25" s="4"/>
      <c r="O25" s="4"/>
      <c r="P25" s="4"/>
      <c r="Q25" s="4"/>
      <c r="R25" s="28"/>
      <c r="S25" s="6"/>
      <c r="T25" s="45"/>
      <c r="U25" s="26"/>
      <c r="V25" s="12"/>
    </row>
    <row r="26" spans="1:22" ht="15.75" x14ac:dyDescent="0.25">
      <c r="A26" s="4"/>
      <c r="B26" s="4" t="str" cm="1">
        <f t="array" ref="B26">IF(AND(Table35231227[[#This Row],[Ticker]]&lt;&gt;$A$5:$E$5, (A26="X")),"SELL","")</f>
        <v/>
      </c>
      <c r="C26" s="4" t="str">
        <f>IF(AND(A26="X",Table35231227[[#This Row],[SMA]]="Below SMA"),"SELL","")</f>
        <v/>
      </c>
      <c r="D26" s="4" t="str" cm="1">
        <f t="array" ref="D26">IF(AND(OR(Table35231227[[#This Row],[Ticker]]=$A$5:$E$5), AND(A26="",Table35231227[[#This Row],[SMA]]="Above SMA")),"BUY","")</f>
        <v/>
      </c>
      <c r="E26" s="7" t="str" cm="1">
        <f t="array" ref="E26">IF(H26 &gt; Table_US_Sector_SMA[XLE_SMA], "Above SMA", "Below SMA")</f>
        <v>Below SMA</v>
      </c>
      <c r="F26" s="4" t="s">
        <v>29</v>
      </c>
      <c r="G26" s="28" t="e" vm="16">
        <v>#VALUE!</v>
      </c>
      <c r="H26" s="6" cm="1">
        <f t="array" ref="H26">_FV(G26,"Price")</f>
        <v>78.52</v>
      </c>
      <c r="I26" s="8" cm="1">
        <f t="array" ref="I26">(H26-Table_US_Sector_Y[XLE])/Table_US_Sector_Y[XLE]</f>
        <v>-5.9958860877425191E-2</v>
      </c>
      <c r="J26" s="26" t="str">
        <f t="shared" si="0"/>
        <v>0%</v>
      </c>
      <c r="K26"/>
      <c r="L26" s="4"/>
      <c r="M26" s="4"/>
      <c r="N26" s="4"/>
      <c r="O26" s="4"/>
      <c r="P26" s="4"/>
      <c r="Q26" s="4"/>
      <c r="R26" s="28"/>
      <c r="S26" s="6"/>
      <c r="T26" s="45"/>
      <c r="U26" s="26"/>
      <c r="V26" s="12"/>
    </row>
    <row r="27" spans="1:22" ht="15.75" x14ac:dyDescent="0.25">
      <c r="A27" s="4"/>
      <c r="B27" s="4" t="str" cm="1">
        <f t="array" ref="B27">IF(AND(Table35231227[[#This Row],[Ticker]]&lt;&gt;$A$5:$E$5, (A27="X")),"SELL","")</f>
        <v/>
      </c>
      <c r="C27" s="4" t="str">
        <f>IF(AND(A27="X",Table35231227[[#This Row],[SMA]]="Below SMA"),"SELL","")</f>
        <v/>
      </c>
      <c r="D27" s="4" t="str" cm="1">
        <f t="array" ref="D27">IF(AND(OR(Table35231227[[#This Row],[Ticker]]=$A$5:$E$5), AND(A27="",Table35231227[[#This Row],[SMA]]="Above SMA")),"BUY","")</f>
        <v/>
      </c>
      <c r="E27" s="7" t="str" cm="1">
        <f t="array" ref="E27">IF(H27 &gt; Table_US_Sector_SMA[XLF_SMA], "Above SMA", "Below SMA")</f>
        <v>Below SMA</v>
      </c>
      <c r="F27" s="4" t="s">
        <v>28</v>
      </c>
      <c r="G27" s="28" t="e" vm="17">
        <v>#VALUE!</v>
      </c>
      <c r="H27" s="6" cm="1">
        <f t="array" ref="H27">_FV(G27,"Price")</f>
        <v>31.9</v>
      </c>
      <c r="I27" s="8" cm="1">
        <f t="array" ref="I27">(H27-Table_US_Sector_Y[XLF])/Table_US_Sector_Y[XLF]</f>
        <v>-6.5899612950789499E-2</v>
      </c>
      <c r="J27" s="26" t="str">
        <f t="shared" si="0"/>
        <v>0%</v>
      </c>
      <c r="K27"/>
      <c r="L27" s="4"/>
      <c r="M27" s="4"/>
      <c r="N27" s="4"/>
      <c r="O27" s="4"/>
      <c r="P27" s="4"/>
      <c r="Q27" s="4"/>
      <c r="R27" s="28"/>
      <c r="S27" s="6"/>
      <c r="T27" s="45"/>
      <c r="U27" s="26"/>
      <c r="V27" s="12"/>
    </row>
    <row r="28" spans="1:22" ht="15.75" x14ac:dyDescent="0.25">
      <c r="A28" s="4"/>
      <c r="B28" s="4" t="str" cm="1">
        <f t="array" ref="B28">IF(AND(Table35231227[[#This Row],[Ticker]]&lt;&gt;$A$5:$E$5, (A28="X")),"SELL","")</f>
        <v/>
      </c>
      <c r="C28" s="4" t="str">
        <f>IF(AND(A28="X",Table35231227[[#This Row],[SMA]]="Below SMA"),"SELL","")</f>
        <v/>
      </c>
      <c r="D28" s="4" t="str" cm="1">
        <f t="array" ref="D28">IF(AND(OR(Table35231227[[#This Row],[Ticker]]=$A$5:$E$5), AND(A28="",Table35231227[[#This Row],[SMA]]="Above SMA")),"BUY","")</f>
        <v/>
      </c>
      <c r="E28" s="38"/>
      <c r="F28" s="4" t="s">
        <v>21</v>
      </c>
      <c r="G28" s="28" t="s">
        <v>8</v>
      </c>
      <c r="H28" s="6">
        <v>1</v>
      </c>
      <c r="I28" s="8"/>
      <c r="J28" s="26">
        <f>1-(SUM(J11:J27))</f>
        <v>1</v>
      </c>
      <c r="K28"/>
      <c r="L28" s="4"/>
      <c r="M28" s="4"/>
      <c r="N28" s="4"/>
      <c r="O28" s="4"/>
      <c r="P28" s="4"/>
      <c r="Q28" s="4"/>
      <c r="R28" s="28"/>
      <c r="S28" s="6"/>
      <c r="T28" s="45"/>
      <c r="U28" s="26"/>
      <c r="V28" s="12"/>
    </row>
    <row r="29" spans="1:22" ht="15.75" x14ac:dyDescent="0.25">
      <c r="D29"/>
      <c r="E29" s="7"/>
      <c r="F29" s="4"/>
      <c r="G29" s="28"/>
      <c r="H29" s="6"/>
      <c r="I29" s="11"/>
      <c r="J29" s="5">
        <f>SUM(Table35231227[Target %])</f>
        <v>1</v>
      </c>
      <c r="K29"/>
      <c r="L29"/>
      <c r="P29" s="4"/>
      <c r="Q29" s="4"/>
      <c r="R29" s="28"/>
      <c r="S29" s="6"/>
      <c r="T29" s="26"/>
      <c r="U29" s="5"/>
    </row>
    <row r="30" spans="1:22" x14ac:dyDescent="0.25">
      <c r="G30" s="31"/>
      <c r="H30" s="3"/>
    </row>
    <row r="32" spans="1:22" x14ac:dyDescent="0.25">
      <c r="F32" s="29"/>
      <c r="Q32" s="9"/>
    </row>
    <row r="34" spans="9:19" ht="23.25" x14ac:dyDescent="0.25">
      <c r="I34" s="25"/>
      <c r="J34" s="27"/>
      <c r="K34" s="27"/>
      <c r="L34" s="27"/>
      <c r="M34" s="25"/>
      <c r="N34" s="25"/>
      <c r="O34" s="30"/>
      <c r="P34" s="14"/>
      <c r="Q34" s="14"/>
      <c r="R34" s="14"/>
      <c r="S34" s="14"/>
    </row>
    <row r="35" spans="9:19" ht="23.25" x14ac:dyDescent="0.25">
      <c r="I35" s="27"/>
      <c r="J35" s="27"/>
      <c r="K35" s="27"/>
      <c r="L35" s="27"/>
      <c r="M35" s="25"/>
      <c r="N35" s="25"/>
      <c r="O35" s="30"/>
      <c r="P35" s="14"/>
      <c r="Q35" s="14"/>
      <c r="R35" s="14"/>
      <c r="S35" s="14"/>
    </row>
    <row r="36" spans="9:19" ht="21" x14ac:dyDescent="0.25"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 spans="9:19" ht="15.75" x14ac:dyDescent="0.25">
      <c r="I37" s="4"/>
      <c r="J37" s="4"/>
      <c r="K37" s="4"/>
      <c r="L37" s="4"/>
      <c r="M37" s="4"/>
      <c r="N37" s="4"/>
      <c r="O37" s="28"/>
      <c r="P37" s="6"/>
      <c r="Q37" s="40"/>
      <c r="R37" s="26"/>
      <c r="S37" s="12"/>
    </row>
    <row r="38" spans="9:19" ht="15.75" x14ac:dyDescent="0.25">
      <c r="I38" s="4"/>
      <c r="J38" s="4"/>
      <c r="K38" s="4"/>
      <c r="L38" s="4"/>
      <c r="M38" s="4"/>
      <c r="N38" s="4"/>
      <c r="O38" s="28"/>
      <c r="P38" s="6"/>
      <c r="Q38" s="40"/>
      <c r="R38" s="26"/>
      <c r="S38" s="12"/>
    </row>
    <row r="39" spans="9:19" ht="15.75" x14ac:dyDescent="0.25">
      <c r="I39" s="4"/>
      <c r="J39" s="4"/>
      <c r="K39" s="4"/>
      <c r="L39" s="4"/>
      <c r="M39" s="4"/>
      <c r="N39" s="4"/>
      <c r="O39" s="28"/>
      <c r="P39" s="6"/>
      <c r="Q39" s="40"/>
      <c r="R39" s="26"/>
      <c r="S39" s="12"/>
    </row>
    <row r="40" spans="9:19" ht="15.75" x14ac:dyDescent="0.25">
      <c r="I40" s="4"/>
      <c r="J40" s="4"/>
      <c r="K40" s="4"/>
      <c r="L40" s="4"/>
      <c r="M40" s="4"/>
      <c r="N40" s="4"/>
      <c r="O40" s="28"/>
      <c r="P40" s="6"/>
      <c r="Q40" s="40"/>
      <c r="R40" s="26"/>
      <c r="S40" s="12"/>
    </row>
    <row r="41" spans="9:19" ht="15.75" x14ac:dyDescent="0.25">
      <c r="I41" s="4"/>
      <c r="J41" s="4"/>
      <c r="K41" s="4"/>
      <c r="L41" s="4"/>
      <c r="M41" s="4"/>
      <c r="N41" s="4"/>
      <c r="O41" s="28"/>
      <c r="P41" s="6"/>
      <c r="Q41" s="40"/>
      <c r="R41" s="26"/>
      <c r="S41" s="12"/>
    </row>
    <row r="42" spans="9:19" ht="15.75" x14ac:dyDescent="0.25">
      <c r="I42" s="4"/>
      <c r="J42" s="4"/>
      <c r="K42" s="4"/>
      <c r="L42" s="4"/>
      <c r="M42" s="4"/>
      <c r="N42" s="4"/>
      <c r="O42" s="28"/>
      <c r="P42" s="6"/>
      <c r="Q42" s="40"/>
      <c r="R42" s="26"/>
      <c r="S42" s="12"/>
    </row>
    <row r="43" spans="9:19" ht="15.75" x14ac:dyDescent="0.25">
      <c r="I43" s="4"/>
      <c r="J43" s="4"/>
      <c r="K43" s="4"/>
      <c r="L43" s="4"/>
      <c r="M43" s="4"/>
      <c r="N43" s="4"/>
      <c r="O43" s="28"/>
      <c r="P43" s="6"/>
      <c r="Q43" s="40"/>
      <c r="R43" s="26"/>
      <c r="S43" s="12"/>
    </row>
    <row r="44" spans="9:19" ht="15.75" x14ac:dyDescent="0.25">
      <c r="I44" s="4"/>
      <c r="J44" s="4"/>
      <c r="K44" s="4"/>
      <c r="L44" s="4"/>
      <c r="M44" s="4"/>
      <c r="N44" s="4"/>
      <c r="O44" s="28"/>
      <c r="P44" s="6"/>
      <c r="Q44" s="40"/>
      <c r="R44" s="26"/>
      <c r="S44" s="12"/>
    </row>
    <row r="45" spans="9:19" ht="15.75" x14ac:dyDescent="0.25">
      <c r="I45" s="4"/>
      <c r="J45" s="4"/>
      <c r="K45" s="4"/>
      <c r="L45" s="4"/>
      <c r="M45" s="4"/>
      <c r="N45" s="4"/>
      <c r="O45" s="28"/>
      <c r="P45" s="6"/>
      <c r="Q45" s="40"/>
      <c r="R45" s="26"/>
      <c r="S45" s="12"/>
    </row>
    <row r="46" spans="9:19" ht="15.75" x14ac:dyDescent="0.25">
      <c r="I46" s="4"/>
      <c r="J46" s="4"/>
      <c r="K46" s="4"/>
      <c r="L46" s="4"/>
      <c r="M46" s="4"/>
      <c r="N46" s="4"/>
      <c r="O46" s="28"/>
      <c r="P46" s="6"/>
      <c r="Q46" s="40"/>
      <c r="R46" s="26"/>
      <c r="S46" s="12"/>
    </row>
    <row r="47" spans="9:19" ht="15.75" x14ac:dyDescent="0.25">
      <c r="I47" s="4"/>
      <c r="J47" s="4"/>
      <c r="K47" s="4"/>
      <c r="L47" s="4"/>
      <c r="M47" s="4"/>
      <c r="N47" s="4"/>
      <c r="O47" s="28"/>
      <c r="P47" s="6"/>
      <c r="Q47" s="40"/>
      <c r="R47" s="26"/>
      <c r="S47" s="12"/>
    </row>
    <row r="48" spans="9:19" ht="15.75" x14ac:dyDescent="0.25">
      <c r="I48" s="4"/>
      <c r="J48" s="4"/>
      <c r="K48" s="4"/>
      <c r="L48" s="4"/>
      <c r="M48" s="4"/>
      <c r="N48" s="4"/>
      <c r="O48" s="28"/>
      <c r="P48" s="6"/>
      <c r="Q48" s="40"/>
      <c r="R48" s="26"/>
      <c r="S48" s="12"/>
    </row>
    <row r="49" spans="9:19" ht="15.75" x14ac:dyDescent="0.25">
      <c r="I49" s="4"/>
      <c r="J49" s="4"/>
      <c r="K49" s="4"/>
      <c r="L49" s="4"/>
      <c r="M49" s="4"/>
      <c r="N49" s="4"/>
      <c r="O49" s="28"/>
      <c r="P49" s="6"/>
      <c r="Q49" s="40"/>
      <c r="R49" s="26"/>
      <c r="S49" s="12"/>
    </row>
    <row r="50" spans="9:19" ht="15.75" x14ac:dyDescent="0.25">
      <c r="I50" s="4"/>
      <c r="J50" s="4"/>
      <c r="K50" s="4"/>
      <c r="L50" s="4"/>
      <c r="M50" s="4"/>
      <c r="N50" s="4"/>
      <c r="O50" s="28"/>
      <c r="P50" s="6"/>
      <c r="Q50" s="40"/>
      <c r="R50" s="26"/>
      <c r="S50" s="12"/>
    </row>
    <row r="51" spans="9:19" ht="15.75" x14ac:dyDescent="0.25">
      <c r="I51" s="4"/>
      <c r="J51" s="4"/>
      <c r="K51" s="4"/>
      <c r="L51" s="4"/>
      <c r="M51" s="4"/>
      <c r="N51" s="4"/>
      <c r="O51" s="28"/>
      <c r="P51" s="6"/>
      <c r="Q51" s="40"/>
      <c r="R51" s="26"/>
      <c r="S51" s="12"/>
    </row>
    <row r="52" spans="9:19" ht="15.75" x14ac:dyDescent="0.25">
      <c r="I52" s="4"/>
      <c r="J52" s="4"/>
      <c r="K52" s="4"/>
      <c r="L52" s="4"/>
      <c r="M52" s="4"/>
      <c r="N52" s="4"/>
      <c r="O52" s="28"/>
      <c r="P52" s="6"/>
      <c r="Q52" s="40"/>
      <c r="R52" s="26"/>
      <c r="S52" s="12"/>
    </row>
    <row r="53" spans="9:19" ht="15.75" x14ac:dyDescent="0.25">
      <c r="I53" s="4"/>
      <c r="J53" s="4"/>
      <c r="K53" s="4"/>
      <c r="L53" s="4"/>
      <c r="M53" s="4"/>
      <c r="N53" s="4"/>
      <c r="O53" s="28"/>
      <c r="P53" s="6"/>
      <c r="Q53" s="40"/>
      <c r="R53" s="26"/>
      <c r="S53" s="12"/>
    </row>
    <row r="54" spans="9:19" ht="15.75" x14ac:dyDescent="0.25">
      <c r="I54" s="4"/>
      <c r="J54" s="4"/>
      <c r="K54" s="4"/>
      <c r="L54" s="4"/>
      <c r="M54" s="4"/>
      <c r="N54" s="4"/>
      <c r="O54" s="28"/>
      <c r="P54" s="6"/>
      <c r="Q54" s="40"/>
      <c r="R54" s="26"/>
      <c r="S54" s="12"/>
    </row>
    <row r="55" spans="9:19" ht="15.75" x14ac:dyDescent="0.25">
      <c r="I55"/>
      <c r="J55"/>
      <c r="K55"/>
      <c r="L55"/>
      <c r="M55" s="4"/>
      <c r="N55" s="4"/>
      <c r="O55" s="28"/>
      <c r="P55" s="6"/>
      <c r="Q55" s="26"/>
      <c r="R55" s="5"/>
    </row>
  </sheetData>
  <mergeCells count="2">
    <mergeCell ref="A8:D9"/>
    <mergeCell ref="A2:E3"/>
  </mergeCells>
  <phoneticPr fontId="3" type="noConversion"/>
  <conditionalFormatting sqref="E11:G28">
    <cfRule type="containsText" dxfId="48" priority="13" operator="containsText" text="Below">
      <formula>NOT(ISERROR(SEARCH("Below",E11)))</formula>
    </cfRule>
    <cfRule type="containsText" dxfId="47" priority="14" operator="containsText" text="Above">
      <formula>NOT(ISERROR(SEARCH("Above",E11)))</formula>
    </cfRule>
  </conditionalFormatting>
  <conditionalFormatting sqref="G30:H30">
    <cfRule type="containsText" dxfId="46" priority="11" operator="containsText" text="Below">
      <formula>NOT(ISERROR(SEARCH("Below",G30)))</formula>
    </cfRule>
    <cfRule type="containsText" dxfId="45" priority="12" operator="containsText" text="Above">
      <formula>NOT(ISERROR(SEARCH("Above",G30)))</formula>
    </cfRule>
  </conditionalFormatting>
  <conditionalFormatting sqref="I11:I28">
    <cfRule type="cellIs" dxfId="44" priority="9" operator="between">
      <formula>-0.000001</formula>
      <formula>-100</formula>
    </cfRule>
    <cfRule type="cellIs" dxfId="43" priority="10" operator="between">
      <formula>0</formula>
      <formula>100</formula>
    </cfRule>
  </conditionalFormatting>
  <conditionalFormatting sqref="P11:R28">
    <cfRule type="containsText" dxfId="42" priority="7" operator="containsText" text="Below">
      <formula>NOT(ISERROR(SEARCH("Below",P11)))</formula>
    </cfRule>
    <cfRule type="containsText" dxfId="41" priority="8" operator="containsText" text="Above">
      <formula>NOT(ISERROR(SEARCH("Above",P11)))</formula>
    </cfRule>
  </conditionalFormatting>
  <conditionalFormatting sqref="T11:T28">
    <cfRule type="cellIs" dxfId="40" priority="5" operator="between">
      <formula>-0.000001</formula>
      <formula>-100</formula>
    </cfRule>
    <cfRule type="cellIs" dxfId="39" priority="6" operator="between">
      <formula>0</formula>
      <formula>100</formula>
    </cfRule>
  </conditionalFormatting>
  <conditionalFormatting sqref="M37:O54">
    <cfRule type="containsText" dxfId="38" priority="3" operator="containsText" text="Below">
      <formula>NOT(ISERROR(SEARCH("Below",M37)))</formula>
    </cfRule>
    <cfRule type="containsText" dxfId="37" priority="4" operator="containsText" text="Above">
      <formula>NOT(ISERROR(SEARCH("Above",M37)))</formula>
    </cfRule>
  </conditionalFormatting>
  <conditionalFormatting sqref="Q37:Q54">
    <cfRule type="cellIs" dxfId="36" priority="1" operator="between">
      <formula>-0.000001</formula>
      <formula>-100</formula>
    </cfRule>
    <cfRule type="cellIs" dxfId="35" priority="2" operator="between">
      <formula>0</formula>
      <formula>100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DBE2-A028-4B3B-8F39-6C4AFC18C9A5}">
  <dimension ref="A1:CG9"/>
  <sheetViews>
    <sheetView zoomScale="60" zoomScaleNormal="60" workbookViewId="0">
      <selection activeCell="D11" sqref="D11"/>
    </sheetView>
  </sheetViews>
  <sheetFormatPr defaultRowHeight="15" x14ac:dyDescent="0.25"/>
  <cols>
    <col min="1" max="77" width="12.7109375" customWidth="1"/>
  </cols>
  <sheetData>
    <row r="1" spans="1:85" ht="15.75" thickBot="1" x14ac:dyDescent="0.3">
      <c r="A1" s="19"/>
      <c r="B1" s="20" t="str">
        <f>Table_US_Sector_MOM[[#Headers],[GLD]]</f>
        <v>GLD</v>
      </c>
      <c r="C1" s="20" t="str">
        <f>Table_US_Sector_MOM[[#Headers],[IEF]]</f>
        <v>IEF</v>
      </c>
      <c r="D1" s="20" t="str">
        <f>Table_US_Sector_MOM[[#Headers],[LTPZ]]</f>
        <v>LTPZ</v>
      </c>
      <c r="E1" s="20" t="str">
        <f>Table_US_Sector_MOM[[#Headers],[PDBC]]</f>
        <v>PDBC</v>
      </c>
      <c r="F1" s="20" t="str">
        <f>Table_US_Sector_MOM[[#Headers],[TIP]]</f>
        <v>TIP</v>
      </c>
      <c r="G1" s="20" t="str">
        <f>Table_US_Sector_MOM[[#Headers],[TLT]]</f>
        <v>TLT</v>
      </c>
      <c r="H1" s="20" t="str">
        <f>Table_US_Sector_MOM[[#Headers],[XLB]]</f>
        <v>XLB</v>
      </c>
      <c r="I1" s="20" t="str">
        <f>Table_US_Sector_MOM[[#Headers],[XLC]]</f>
        <v>XLC</v>
      </c>
      <c r="J1" s="20" t="str">
        <f>Table_US_Sector_MOM[[#Headers],[XLE]]</f>
        <v>XLE</v>
      </c>
      <c r="K1" s="20" t="str">
        <f>Table_US_Sector_MOM[[#Headers],[XLF]]</f>
        <v>XLF</v>
      </c>
      <c r="L1" s="20" t="str">
        <f>Table_US_Sector_MOM[[#Headers],[XLI]]</f>
        <v>XLI</v>
      </c>
      <c r="M1" s="20" t="str">
        <f>Table_US_Sector_MOM[[#Headers],[XLK]]</f>
        <v>XLK</v>
      </c>
      <c r="N1" s="20" t="str">
        <f>Table_US_Sector_MOM[[#Headers],[XLP]]</f>
        <v>XLP</v>
      </c>
      <c r="O1" s="20" t="str">
        <f>Table_US_Sector_MOM[[#Headers],[XLRE]]</f>
        <v>XLRE</v>
      </c>
      <c r="P1" s="20" t="str">
        <f>Table_US_Sector_MOM[[#Headers],[XLU]]</f>
        <v>XLU</v>
      </c>
      <c r="Q1" s="20" t="str">
        <f>Table_US_Sector_MOM[[#Headers],[XLV]]</f>
        <v>XLV</v>
      </c>
      <c r="R1" s="20" t="str">
        <f>Table_US_Sector_MOM[[#Headers],[XLY]]</f>
        <v>XLY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</row>
    <row r="2" spans="1:85" ht="19.5" thickBot="1" x14ac:dyDescent="0.35">
      <c r="A2" s="21" t="s">
        <v>17</v>
      </c>
      <c r="B2" s="22">
        <f t="shared" ref="B2:R2" si="0">IF(B3 &gt; 0, B3, 0%)</f>
        <v>9.9461484290012558E-2</v>
      </c>
      <c r="C2" s="22">
        <f t="shared" si="0"/>
        <v>1.321422073799039E-2</v>
      </c>
      <c r="D2" s="22">
        <f t="shared" si="0"/>
        <v>0</v>
      </c>
      <c r="E2" s="22">
        <f t="shared" si="0"/>
        <v>0</v>
      </c>
      <c r="F2" s="22">
        <f t="shared" si="0"/>
        <v>0</v>
      </c>
      <c r="G2" s="22">
        <f t="shared" si="0"/>
        <v>0</v>
      </c>
      <c r="H2" s="22">
        <f t="shared" si="0"/>
        <v>0</v>
      </c>
      <c r="I2" s="22">
        <f t="shared" si="0"/>
        <v>7.8535810850785356E-2</v>
      </c>
      <c r="J2" s="22">
        <f t="shared" si="0"/>
        <v>0</v>
      </c>
      <c r="K2" s="22">
        <f t="shared" si="0"/>
        <v>0</v>
      </c>
      <c r="L2" s="22">
        <f t="shared" si="0"/>
        <v>1.7820001405455921E-2</v>
      </c>
      <c r="M2" s="22">
        <f t="shared" si="0"/>
        <v>8.6820569146725604E-2</v>
      </c>
      <c r="N2" s="22">
        <f t="shared" si="0"/>
        <v>4.4893448257947742E-2</v>
      </c>
      <c r="O2" s="22">
        <f t="shared" si="0"/>
        <v>0</v>
      </c>
      <c r="P2" s="22">
        <f t="shared" si="0"/>
        <v>0</v>
      </c>
      <c r="Q2" s="22">
        <f t="shared" si="0"/>
        <v>1.8185677438843494E-2</v>
      </c>
      <c r="R2" s="22">
        <f t="shared" si="0"/>
        <v>0</v>
      </c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</row>
    <row r="3" spans="1:85" ht="15.75" x14ac:dyDescent="0.25">
      <c r="A3" s="10" t="s">
        <v>15</v>
      </c>
      <c r="B3" s="18">
        <f t="shared" ref="B3:R3" si="1">AVERAGE(B4:B8)</f>
        <v>9.9461484290012558E-2</v>
      </c>
      <c r="C3" s="18">
        <f t="shared" si="1"/>
        <v>1.321422073799039E-2</v>
      </c>
      <c r="D3" s="18">
        <f t="shared" si="1"/>
        <v>-1.9212172829655039E-2</v>
      </c>
      <c r="E3" s="18">
        <f t="shared" si="1"/>
        <v>-9.4513328499308963E-2</v>
      </c>
      <c r="F3" s="18">
        <f t="shared" si="1"/>
        <v>-2.6767150557720497E-4</v>
      </c>
      <c r="G3" s="18">
        <f t="shared" si="1"/>
        <v>-1.2798119724994294E-2</v>
      </c>
      <c r="H3" s="18">
        <f t="shared" si="1"/>
        <v>-2.1126475352503539E-2</v>
      </c>
      <c r="I3" s="18">
        <f t="shared" si="1"/>
        <v>7.8535810850785356E-2</v>
      </c>
      <c r="J3" s="18">
        <f t="shared" si="1"/>
        <v>-4.4833973263106272E-2</v>
      </c>
      <c r="K3" s="18">
        <f t="shared" si="1"/>
        <v>-6.325457731509157E-2</v>
      </c>
      <c r="L3" s="18">
        <f t="shared" si="1"/>
        <v>1.7820001405455921E-2</v>
      </c>
      <c r="M3" s="18">
        <f t="shared" si="1"/>
        <v>8.6820569146725604E-2</v>
      </c>
      <c r="N3" s="18">
        <f t="shared" si="1"/>
        <v>4.4893448257947742E-2</v>
      </c>
      <c r="O3" s="18">
        <f t="shared" si="1"/>
        <v>-5.5958621379514309E-2</v>
      </c>
      <c r="P3" s="18">
        <f t="shared" si="1"/>
        <v>-8.4185650136787693E-3</v>
      </c>
      <c r="Q3" s="18">
        <f t="shared" si="1"/>
        <v>1.8185677438843494E-2</v>
      </c>
      <c r="R3" s="18">
        <f t="shared" si="1"/>
        <v>-7.8870045388470082E-3</v>
      </c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</row>
    <row r="4" spans="1:85" ht="15.75" x14ac:dyDescent="0.25">
      <c r="A4" s="10" t="s">
        <v>10</v>
      </c>
      <c r="B4" s="18">
        <f>((1+US_Sector_MOM!B14)*(1+US_Sector_MOM!B13)*(1+US_Sector_MOM!B12)*(1+US_Sector_MOM!B11)*(1+US_Sector_MOM!B10)*(1+US_Sector_MOM!B9)*(1+US_Sector_MOM!B8)*(1+US_Sector_MOM!B7)*(1+US_Sector_MOM!B6)*(1+US_Sector_MOM!B5)*(1+US_Sector_MOM!B4)*(1+US_Sector_MOM!B3))-1</f>
        <v>9.1562453107578712E-2</v>
      </c>
      <c r="C4" s="18">
        <f>((1+US_Sector_MOM!C14)*(1+US_Sector_MOM!C13)*(1+US_Sector_MOM!C12)*(1+US_Sector_MOM!C11)*(1+US_Sector_MOM!C10)*(1+US_Sector_MOM!C9)*(1+US_Sector_MOM!C8)*(1+US_Sector_MOM!C7)*(1+US_Sector_MOM!C6)*(1+US_Sector_MOM!C5)*(1+US_Sector_MOM!C4)*(1+US_Sector_MOM!C3))-1</f>
        <v>-1.4967393828785092E-2</v>
      </c>
      <c r="D4" s="18">
        <f>((1+US_Sector_MOM!D14)*(1+US_Sector_MOM!D13)*(1+US_Sector_MOM!D12)*(1+US_Sector_MOM!D11)*(1+US_Sector_MOM!D10)*(1+US_Sector_MOM!D9)*(1+US_Sector_MOM!D8)*(1+US_Sector_MOM!D7)*(1+US_Sector_MOM!D6)*(1+US_Sector_MOM!D5)*(1+US_Sector_MOM!D4)*(1+US_Sector_MOM!D3))-1</f>
        <v>-8.8292550101571887E-2</v>
      </c>
      <c r="E4" s="18">
        <f>((1+US_Sector_MOM!E14)*(1+US_Sector_MOM!E13)*(1+US_Sector_MOM!E12)*(1+US_Sector_MOM!E11)*(1+US_Sector_MOM!E10)*(1+US_Sector_MOM!E9)*(1+US_Sector_MOM!E8)*(1+US_Sector_MOM!E7)*(1+US_Sector_MOM!E6)*(1+US_Sector_MOM!E5)*(1+US_Sector_MOM!E4)*(1+US_Sector_MOM!E3))-1</f>
        <v>-0.20992492535115581</v>
      </c>
      <c r="F4" s="18">
        <f>((1+US_Sector_MOM!F14)*(1+US_Sector_MOM!F13)*(1+US_Sector_MOM!F12)*(1+US_Sector_MOM!F11)*(1+US_Sector_MOM!F10)*(1+US_Sector_MOM!F9)*(1+US_Sector_MOM!F8)*(1+US_Sector_MOM!F7)*(1+US_Sector_MOM!F6)*(1+US_Sector_MOM!F5)*(1+US_Sector_MOM!F4)*(1+US_Sector_MOM!F3))-1</f>
        <v>-3.3059461535287604E-2</v>
      </c>
      <c r="G4" s="18">
        <f>((1+US_Sector_MOM!G14)*(1+US_Sector_MOM!G13)*(1+US_Sector_MOM!G12)*(1+US_Sector_MOM!G11)*(1+US_Sector_MOM!G10)*(1+US_Sector_MOM!G9)*(1+US_Sector_MOM!G8)*(1+US_Sector_MOM!G7)*(1+US_Sector_MOM!G6)*(1+US_Sector_MOM!G5)*(1+US_Sector_MOM!G4)*(1+US_Sector_MOM!G3))-1</f>
        <v>-8.058690930187673E-2</v>
      </c>
      <c r="H4" s="18">
        <f>((1+US_Sector_MOM!H14)*(1+US_Sector_MOM!H13)*(1+US_Sector_MOM!H12)*(1+US_Sector_MOM!H11)*(1+US_Sector_MOM!H10)*(1+US_Sector_MOM!H9)*(1+US_Sector_MOM!H8)*(1+US_Sector_MOM!H7)*(1+US_Sector_MOM!H6)*(1+US_Sector_MOM!H5)*(1+US_Sector_MOM!H4)*(1+US_Sector_MOM!H3))-1</f>
        <v>-7.0744011324574974E-2</v>
      </c>
      <c r="I4" s="18">
        <f>((1+US_Sector_MOM!I14)*(1+US_Sector_MOM!I13)*(1+US_Sector_MOM!I12)*(1+US_Sector_MOM!I11)*(1+US_Sector_MOM!I10)*(1+US_Sector_MOM!I9)*(1+US_Sector_MOM!I8)*(1+US_Sector_MOM!I7)*(1+US_Sector_MOM!I6)*(1+US_Sector_MOM!I5)*(1+US_Sector_MOM!I4)*(1+US_Sector_MOM!I3))-1</f>
        <v>1.879954915900317E-3</v>
      </c>
      <c r="J4" s="18">
        <f>((1+US_Sector_MOM!J14)*(1+US_Sector_MOM!J13)*(1+US_Sector_MOM!J12)*(1+US_Sector_MOM!J11)*(1+US_Sector_MOM!J10)*(1+US_Sector_MOM!J9)*(1+US_Sector_MOM!J8)*(1+US_Sector_MOM!J7)*(1+US_Sector_MOM!J6)*(1+US_Sector_MOM!J5)*(1+US_Sector_MOM!J4)*(1+US_Sector_MOM!J3))-1</f>
        <v>-6.0329509134597892E-2</v>
      </c>
      <c r="K4" s="18">
        <f>((1+US_Sector_MOM!K14)*(1+US_Sector_MOM!K13)*(1+US_Sector_MOM!K12)*(1+US_Sector_MOM!K11)*(1+US_Sector_MOM!K10)*(1+US_Sector_MOM!K9)*(1+US_Sector_MOM!K8)*(1+US_Sector_MOM!K7)*(1+US_Sector_MOM!K6)*(1+US_Sector_MOM!K5)*(1+US_Sector_MOM!K4)*(1+US_Sector_MOM!K3))-1</f>
        <v>-8.0859609725547843E-2</v>
      </c>
      <c r="L4" s="18">
        <f>((1+US_Sector_MOM!L14)*(1+US_Sector_MOM!L13)*(1+US_Sector_MOM!L12)*(1+US_Sector_MOM!L11)*(1+US_Sector_MOM!L10)*(1+US_Sector_MOM!L9)*(1+US_Sector_MOM!L8)*(1+US_Sector_MOM!L7)*(1+US_Sector_MOM!L6)*(1+US_Sector_MOM!L5)*(1+US_Sector_MOM!L4)*(1+US_Sector_MOM!L3))-1</f>
        <v>5.8816537721203987E-2</v>
      </c>
      <c r="M4" s="18">
        <f>((1+US_Sector_MOM!M14)*(1+US_Sector_MOM!M13)*(1+US_Sector_MOM!M12)*(1+US_Sector_MOM!M11)*(1+US_Sector_MOM!M10)*(1+US_Sector_MOM!M9)*(1+US_Sector_MOM!M8)*(1+US_Sector_MOM!M7)*(1+US_Sector_MOM!M6)*(1+US_Sector_MOM!M5)*(1+US_Sector_MOM!M4)*(1+US_Sector_MOM!M3))-1</f>
        <v>8.5706255246671637E-2</v>
      </c>
      <c r="N4" s="18">
        <f>((1+US_Sector_MOM!N14)*(1+US_Sector_MOM!N13)*(1+US_Sector_MOM!N12)*(1+US_Sector_MOM!N11)*(1+US_Sector_MOM!N10)*(1+US_Sector_MOM!N9)*(1+US_Sector_MOM!N8)*(1+US_Sector_MOM!N7)*(1+US_Sector_MOM!N6)*(1+US_Sector_MOM!N5)*(1+US_Sector_MOM!N4)*(1+US_Sector_MOM!N3))-1</f>
        <v>6.2763488941059764E-2</v>
      </c>
      <c r="O4" s="18">
        <f>((1+US_Sector_MOM!O14)*(1+US_Sector_MOM!O13)*(1+US_Sector_MOM!O12)*(1+US_Sector_MOM!O11)*(1+US_Sector_MOM!O10)*(1+US_Sector_MOM!O9)*(1+US_Sector_MOM!O8)*(1+US_Sector_MOM!O7)*(1+US_Sector_MOM!O6)*(1+US_Sector_MOM!O5)*(1+US_Sector_MOM!O4)*(1+US_Sector_MOM!O3))-1</f>
        <v>-0.1309642121129555</v>
      </c>
      <c r="P4" s="18">
        <f>((1+US_Sector_MOM!P14)*(1+US_Sector_MOM!P13)*(1+US_Sector_MOM!P12)*(1+US_Sector_MOM!P11)*(1+US_Sector_MOM!P10)*(1+US_Sector_MOM!P9)*(1+US_Sector_MOM!P8)*(1+US_Sector_MOM!P7)*(1+US_Sector_MOM!P6)*(1+US_Sector_MOM!P5)*(1+US_Sector_MOM!P4)*(1+US_Sector_MOM!P3))-1</f>
        <v>-4.281645273674195E-2</v>
      </c>
      <c r="Q4" s="18">
        <f>((1+US_Sector_MOM!Q14)*(1+US_Sector_MOM!Q13)*(1+US_Sector_MOM!Q12)*(1+US_Sector_MOM!Q11)*(1+US_Sector_MOM!Q10)*(1+US_Sector_MOM!Q9)*(1+US_Sector_MOM!Q8)*(1+US_Sector_MOM!Q7)*(1+US_Sector_MOM!Q6)*(1+US_Sector_MOM!Q5)*(1+US_Sector_MOM!Q4)*(1+US_Sector_MOM!Q3))-1</f>
        <v>1.6018897060816828E-2</v>
      </c>
      <c r="R4" s="18">
        <f>((1+US_Sector_MOM!R14)*(1+US_Sector_MOM!R13)*(1+US_Sector_MOM!R12)*(1+US_Sector_MOM!R11)*(1+US_Sector_MOM!R10)*(1+US_Sector_MOM!R9)*(1+US_Sector_MOM!R8)*(1+US_Sector_MOM!R7)*(1+US_Sector_MOM!R6)*(1+US_Sector_MOM!R5)*(1+US_Sector_MOM!R4)*(1+US_Sector_MOM!R3))-1</f>
        <v>-3.3626418436072614E-2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</row>
    <row r="5" spans="1:85" ht="15.75" x14ac:dyDescent="0.25">
      <c r="A5" s="10" t="s">
        <v>11</v>
      </c>
      <c r="B5" s="18">
        <f>((1+US_Sector_MOM!B14)*(1+US_Sector_MOM!B13)*(1+US_Sector_MOM!B12)*(1+US_Sector_MOM!B11)*(1+US_Sector_MOM!B10)*(1+US_Sector_MOM!B9)*(1+US_Sector_MOM!B8)*(1+US_Sector_MOM!B7)*(1+US_Sector_MOM!B6))-1</f>
        <v>0.17291387296644278</v>
      </c>
      <c r="C5" s="18">
        <f>((1+US_Sector_MOM!C14)*(1+US_Sector_MOM!C13)*(1+US_Sector_MOM!C12)*(1+US_Sector_MOM!C11)*(1+US_Sector_MOM!C10)*(1+US_Sector_MOM!C9)*(1+US_Sector_MOM!C8)*(1+US_Sector_MOM!C7)*(1+US_Sector_MOM!C6))-1</f>
        <v>3.7143892705817638E-3</v>
      </c>
      <c r="D5" s="18">
        <f>((1+US_Sector_MOM!D14)*(1+US_Sector_MOM!D13)*(1+US_Sector_MOM!D12)*(1+US_Sector_MOM!D11)*(1+US_Sector_MOM!D10)*(1+US_Sector_MOM!D9)*(1+US_Sector_MOM!D8)*(1+US_Sector_MOM!D7)*(1+US_Sector_MOM!D6))-1</f>
        <v>-6.1110447202227469E-2</v>
      </c>
      <c r="E5" s="18">
        <f>((1+US_Sector_MOM!E14)*(1+US_Sector_MOM!E13)*(1+US_Sector_MOM!E12)*(1+US_Sector_MOM!E11)*(1+US_Sector_MOM!E10)*(1+US_Sector_MOM!E9)*(1+US_Sector_MOM!E8)*(1+US_Sector_MOM!E7)*(1+US_Sector_MOM!E6))-1</f>
        <v>-0.11258700371320951</v>
      </c>
      <c r="F5" s="18">
        <f>((1+US_Sector_MOM!F14)*(1+US_Sector_MOM!F13)*(1+US_Sector_MOM!F12)*(1+US_Sector_MOM!F11)*(1+US_Sector_MOM!F10)*(1+US_Sector_MOM!F9)*(1+US_Sector_MOM!F8)*(1+US_Sector_MOM!F7)*(1+US_Sector_MOM!F6))-1</f>
        <v>-1.6609017228732759E-2</v>
      </c>
      <c r="G5" s="18">
        <f>((1+US_Sector_MOM!G14)*(1+US_Sector_MOM!G13)*(1+US_Sector_MOM!G12)*(1+US_Sector_MOM!G11)*(1+US_Sector_MOM!G10)*(1+US_Sector_MOM!G9)*(1+US_Sector_MOM!G8)*(1+US_Sector_MOM!G7)*(1+US_Sector_MOM!G6))-1</f>
        <v>-4.7448862207954079E-2</v>
      </c>
      <c r="H5" s="18">
        <f>((1+US_Sector_MOM!H14)*(1+US_Sector_MOM!H13)*(1+US_Sector_MOM!H12)*(1+US_Sector_MOM!H11)*(1+US_Sector_MOM!H10)*(1+US_Sector_MOM!H9)*(1+US_Sector_MOM!H8)*(1+US_Sector_MOM!H7)*(1+US_Sector_MOM!H6))-1</f>
        <v>5.2835961414785748E-2</v>
      </c>
      <c r="I5" s="18">
        <f>((1+US_Sector_MOM!I14)*(1+US_Sector_MOM!I13)*(1+US_Sector_MOM!I12)*(1+US_Sector_MOM!I11)*(1+US_Sector_MOM!I10)*(1+US_Sector_MOM!I9)*(1+US_Sector_MOM!I8)*(1+US_Sector_MOM!I7)*(1+US_Sector_MOM!I6))-1</f>
        <v>0.10606013925688451</v>
      </c>
      <c r="J5" s="18">
        <f>((1+US_Sector_MOM!J14)*(1+US_Sector_MOM!J13)*(1+US_Sector_MOM!J12)*(1+US_Sector_MOM!J11)*(1+US_Sector_MOM!J10)*(1+US_Sector_MOM!J9)*(1+US_Sector_MOM!J8)*(1+US_Sector_MOM!J7)*(1+US_Sector_MOM!J6))-1</f>
        <v>6.5908114188972799E-3</v>
      </c>
      <c r="K5" s="18">
        <f>((1+US_Sector_MOM!K14)*(1+US_Sector_MOM!K13)*(1+US_Sector_MOM!K12)*(1+US_Sector_MOM!K11)*(1+US_Sector_MOM!K10)*(1+US_Sector_MOM!K9)*(1+US_Sector_MOM!K8)*(1+US_Sector_MOM!K7)*(1+US_Sector_MOM!K6))-1</f>
        <v>-1.8788402676298999E-2</v>
      </c>
      <c r="L5" s="18">
        <f>((1+US_Sector_MOM!L14)*(1+US_Sector_MOM!L13)*(1+US_Sector_MOM!L12)*(1+US_Sector_MOM!L11)*(1+US_Sector_MOM!L10)*(1+US_Sector_MOM!L9)*(1+US_Sector_MOM!L8)*(1+US_Sector_MOM!L7)*(1+US_Sector_MOM!L6))-1</f>
        <v>7.4266897333294501E-2</v>
      </c>
      <c r="M5" s="18">
        <f>((1+US_Sector_MOM!M14)*(1+US_Sector_MOM!M13)*(1+US_Sector_MOM!M12)*(1+US_Sector_MOM!M11)*(1+US_Sector_MOM!M10)*(1+US_Sector_MOM!M9)*(1+US_Sector_MOM!M8)*(1+US_Sector_MOM!M7)*(1+US_Sector_MOM!M6))-1</f>
        <v>0.12444345632165654</v>
      </c>
      <c r="N5" s="18">
        <f>((1+US_Sector_MOM!N14)*(1+US_Sector_MOM!N13)*(1+US_Sector_MOM!N12)*(1+US_Sector_MOM!N11)*(1+US_Sector_MOM!N10)*(1+US_Sector_MOM!N9)*(1+US_Sector_MOM!N8)*(1+US_Sector_MOM!N7)*(1+US_Sector_MOM!N6))-1</f>
        <v>7.4464730010823432E-2</v>
      </c>
      <c r="O5" s="18">
        <f>((1+US_Sector_MOM!O14)*(1+US_Sector_MOM!O13)*(1+US_Sector_MOM!O12)*(1+US_Sector_MOM!O11)*(1+US_Sector_MOM!O10)*(1+US_Sector_MOM!O9)*(1+US_Sector_MOM!O8)*(1+US_Sector_MOM!O7)*(1+US_Sector_MOM!O6))-1</f>
        <v>-8.9080892672378731E-2</v>
      </c>
      <c r="P5" s="18">
        <f>((1+US_Sector_MOM!P14)*(1+US_Sector_MOM!P13)*(1+US_Sector_MOM!P12)*(1+US_Sector_MOM!P11)*(1+US_Sector_MOM!P10)*(1+US_Sector_MOM!P9)*(1+US_Sector_MOM!P8)*(1+US_Sector_MOM!P7)*(1+US_Sector_MOM!P6))-1</f>
        <v>-5.0543183867787556E-2</v>
      </c>
      <c r="Q5" s="18">
        <f>((1+US_Sector_MOM!Q14)*(1+US_Sector_MOM!Q13)*(1+US_Sector_MOM!Q12)*(1+US_Sector_MOM!Q11)*(1+US_Sector_MOM!Q10)*(1+US_Sector_MOM!Q9)*(1+US_Sector_MOM!Q8)*(1+US_Sector_MOM!Q7)*(1+US_Sector_MOM!Q6))-1</f>
        <v>7.232602498610663E-2</v>
      </c>
      <c r="R5" s="18">
        <f>((1+US_Sector_MOM!R14)*(1+US_Sector_MOM!R13)*(1+US_Sector_MOM!R12)*(1+US_Sector_MOM!R11)*(1+US_Sector_MOM!R10)*(1+US_Sector_MOM!R9)*(1+US_Sector_MOM!R8)*(1+US_Sector_MOM!R7)*(1+US_Sector_MOM!R6))-1</f>
        <v>-4.1869817068708071E-2</v>
      </c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</row>
    <row r="6" spans="1:85" ht="15.75" x14ac:dyDescent="0.25">
      <c r="A6" s="10" t="s">
        <v>12</v>
      </c>
      <c r="B6" s="18">
        <f>((1+US_Sector_MOM!B14)*(1+US_Sector_MOM!B13)*(1+US_Sector_MOM!B12)*(1+US_Sector_MOM!B11)*(1+US_Sector_MOM!B10)*(1+US_Sector_MOM!B9))-1</f>
        <v>0.13348704766638186</v>
      </c>
      <c r="C6" s="18">
        <f>((1+US_Sector_MOM!C14)*(1+US_Sector_MOM!C13)*(1+US_Sector_MOM!C12)*(1+US_Sector_MOM!C11)*(1+US_Sector_MOM!C10)*(1+US_Sector_MOM!C9))-1</f>
        <v>3.1873664029337334E-2</v>
      </c>
      <c r="D6" s="18">
        <f>((1+US_Sector_MOM!D14)*(1+US_Sector_MOM!D13)*(1+US_Sector_MOM!D12)*(1+US_Sector_MOM!D11)*(1+US_Sector_MOM!D10)*(1+US_Sector_MOM!D9))-1</f>
        <v>2.2466954822459417E-2</v>
      </c>
      <c r="E6" s="18">
        <f>((1+US_Sector_MOM!E14)*(1+US_Sector_MOM!E13)*(1+US_Sector_MOM!E12)*(1+US_Sector_MOM!E11)*(1+US_Sector_MOM!E10)*(1+US_Sector_MOM!E9))-1</f>
        <v>-0.10485685804753941</v>
      </c>
      <c r="F6" s="18">
        <f>((1+US_Sector_MOM!F14)*(1+US_Sector_MOM!F13)*(1+US_Sector_MOM!F12)*(1+US_Sector_MOM!F11)*(1+US_Sector_MOM!F10)*(1+US_Sector_MOM!F9))-1</f>
        <v>2.0896785405072116E-2</v>
      </c>
      <c r="G6" s="18">
        <f>((1+US_Sector_MOM!G14)*(1+US_Sector_MOM!G13)*(1+US_Sector_MOM!G12)*(1+US_Sector_MOM!G11)*(1+US_Sector_MOM!G10)*(1+US_Sector_MOM!G9))-1</f>
        <v>3.0203700550324841E-2</v>
      </c>
      <c r="H6" s="18">
        <f>((1+US_Sector_MOM!H14)*(1+US_Sector_MOM!H13)*(1+US_Sector_MOM!H12)*(1+US_Sector_MOM!H11)*(1+US_Sector_MOM!H10)*(1+US_Sector_MOM!H9))-1</f>
        <v>-4.5947576676686586E-2</v>
      </c>
      <c r="I6" s="18">
        <f>((1+US_Sector_MOM!I14)*(1+US_Sector_MOM!I13)*(1+US_Sector_MOM!I12)*(1+US_Sector_MOM!I11)*(1+US_Sector_MOM!I10)*(1+US_Sector_MOM!I9))-1</f>
        <v>0.16522345806235794</v>
      </c>
      <c r="J6" s="18">
        <f>((1+US_Sector_MOM!J14)*(1+US_Sector_MOM!J13)*(1+US_Sector_MOM!J12)*(1+US_Sector_MOM!J11)*(1+US_Sector_MOM!J10)*(1+US_Sector_MOM!J9))-1</f>
        <v>-0.12060758708864139</v>
      </c>
      <c r="K6" s="18">
        <f>((1+US_Sector_MOM!K14)*(1+US_Sector_MOM!K13)*(1+US_Sector_MOM!K12)*(1+US_Sector_MOM!K11)*(1+US_Sector_MOM!K10)*(1+US_Sector_MOM!K9))-1</f>
        <v>-0.11155754843069099</v>
      </c>
      <c r="L6" s="18">
        <f>((1+US_Sector_MOM!L14)*(1+US_Sector_MOM!L13)*(1+US_Sector_MOM!L12)*(1+US_Sector_MOM!L11)*(1+US_Sector_MOM!L10)*(1+US_Sector_MOM!L9))-1</f>
        <v>-2.3240097249424774E-2</v>
      </c>
      <c r="M6" s="18">
        <f>((1+US_Sector_MOM!M14)*(1+US_Sector_MOM!M13)*(1+US_Sector_MOM!M12)*(1+US_Sector_MOM!M11)*(1+US_Sector_MOM!M10)*(1+US_Sector_MOM!M9))-1</f>
        <v>0.11589888680370408</v>
      </c>
      <c r="N6" s="18">
        <f>((1+US_Sector_MOM!N14)*(1+US_Sector_MOM!N13)*(1+US_Sector_MOM!N12)*(1+US_Sector_MOM!N11)*(1+US_Sector_MOM!N10)*(1+US_Sector_MOM!N9))-1</f>
        <v>1.1095139102348384E-2</v>
      </c>
      <c r="O6" s="18">
        <f>((1+US_Sector_MOM!O14)*(1+US_Sector_MOM!O13)*(1+US_Sector_MOM!O12)*(1+US_Sector_MOM!O11)*(1+US_Sector_MOM!O10)*(1+US_Sector_MOM!O9))-1</f>
        <v>-3.7256391112942211E-2</v>
      </c>
      <c r="P6" s="18">
        <f>((1+US_Sector_MOM!P14)*(1+US_Sector_MOM!P13)*(1+US_Sector_MOM!P12)*(1+US_Sector_MOM!P11)*(1+US_Sector_MOM!P10)*(1+US_Sector_MOM!P9))-1</f>
        <v>-1.8510736296478258E-2</v>
      </c>
      <c r="Q6" s="18">
        <f>((1+US_Sector_MOM!Q14)*(1+US_Sector_MOM!Q13)*(1+US_Sector_MOM!Q12)*(1+US_Sector_MOM!Q11)*(1+US_Sector_MOM!Q10)*(1+US_Sector_MOM!Q9))-1</f>
        <v>-4.1488634998216645E-2</v>
      </c>
      <c r="R6" s="18">
        <f>((1+US_Sector_MOM!R14)*(1+US_Sector_MOM!R13)*(1+US_Sector_MOM!R12)*(1+US_Sector_MOM!R11)*(1+US_Sector_MOM!R10)*(1+US_Sector_MOM!R9))-1</f>
        <v>1.7223162463509967E-2</v>
      </c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</row>
    <row r="7" spans="1:85" ht="15.75" x14ac:dyDescent="0.25">
      <c r="A7" s="10" t="s">
        <v>13</v>
      </c>
      <c r="B7" s="18">
        <f>((1+'Momentum Matrix'!B14)*(1+US_Sector_MOM!B13)*(1+US_Sector_MOM!B12))-1</f>
        <v>8.8467454237563858E-2</v>
      </c>
      <c r="C7" s="18">
        <f>((1+'Momentum Matrix'!C14)*(1+US_Sector_MOM!C13)*(1+US_Sector_MOM!C12))-1</f>
        <v>4.5661555998786074E-2</v>
      </c>
      <c r="D7" s="18">
        <f>((1+'Momentum Matrix'!D14)*(1+US_Sector_MOM!D13)*(1+US_Sector_MOM!D12))-1</f>
        <v>3.1859452782497799E-2</v>
      </c>
      <c r="E7" s="18">
        <f>((1+'Momentum Matrix'!E14)*(1+US_Sector_MOM!E13)*(1+US_Sector_MOM!E12))-1</f>
        <v>-5.6219203288516706E-3</v>
      </c>
      <c r="F7" s="18">
        <f>((1+'Momentum Matrix'!F14)*(1+US_Sector_MOM!F13)*(1+US_Sector_MOM!F12))-1</f>
        <v>2.9175878933337396E-2</v>
      </c>
      <c r="G7" s="18">
        <f>((1+'Momentum Matrix'!G14)*(1+US_Sector_MOM!G13)*(1+US_Sector_MOM!G12))-1</f>
        <v>5.1940737666157588E-2</v>
      </c>
      <c r="H7" s="18">
        <f>((1+'Momentum Matrix'!H14)*(1+US_Sector_MOM!H13)*(1+US_Sector_MOM!H12))-1</f>
        <v>-1.1360803747555104E-2</v>
      </c>
      <c r="I7" s="18">
        <f>((1+'Momentum Matrix'!I14)*(1+US_Sector_MOM!I13)*(1+US_Sector_MOM!I12))-1</f>
        <v>0.12268749595144124</v>
      </c>
      <c r="J7" s="18">
        <f>((1+'Momentum Matrix'!J14)*(1+US_Sector_MOM!J13)*(1+US_Sector_MOM!J12))-1</f>
        <v>2.7822381411547248E-2</v>
      </c>
      <c r="K7" s="18">
        <f>((1+'Momentum Matrix'!K14)*(1+US_Sector_MOM!K13)*(1+US_Sector_MOM!K12))-1</f>
        <v>-6.6779758045552806E-2</v>
      </c>
      <c r="L7" s="18">
        <f>((1+'Momentum Matrix'!L14)*(1+US_Sector_MOM!L13)*(1+US_Sector_MOM!L12))-1</f>
        <v>-5.5433643471302085E-3</v>
      </c>
      <c r="M7" s="18">
        <f>((1+'Momentum Matrix'!M14)*(1+US_Sector_MOM!M13)*(1+US_Sector_MOM!M12))-1</f>
        <v>0.10725868205144029</v>
      </c>
      <c r="N7" s="18">
        <f>((1+'Momentum Matrix'!N14)*(1+US_Sector_MOM!N13)*(1+US_Sector_MOM!N12))-1</f>
        <v>8.0276110569388326E-2</v>
      </c>
      <c r="O7" s="18">
        <f>((1+'Momentum Matrix'!O14)*(1+US_Sector_MOM!O13)*(1+US_Sector_MOM!O12))-1</f>
        <v>-5.0081713327487787E-3</v>
      </c>
      <c r="P7" s="18">
        <f>((1+'Momentum Matrix'!P14)*(1+US_Sector_MOM!P13)*(1+US_Sector_MOM!P12))-1</f>
        <v>6.9052766447716518E-2</v>
      </c>
      <c r="Q7" s="18">
        <f>((1+'Momentum Matrix'!Q14)*(1+US_Sector_MOM!Q13)*(1+US_Sector_MOM!Q12))-1</f>
        <v>5.410727089470968E-2</v>
      </c>
      <c r="R7" s="18">
        <f>((1+'Momentum Matrix'!R14)*(1+US_Sector_MOM!R13)*(1+US_Sector_MOM!R12))-1</f>
        <v>1.9040936720450041E-2</v>
      </c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</row>
    <row r="8" spans="1:85" ht="15.75" x14ac:dyDescent="0.25">
      <c r="A8" s="10" t="s">
        <v>14</v>
      </c>
      <c r="B8" s="18">
        <f>US_Sector_MOM!B14</f>
        <v>1.0876593472095575E-2</v>
      </c>
      <c r="C8" s="18">
        <f>US_Sector_MOM!C14</f>
        <v>-2.1111177996813169E-4</v>
      </c>
      <c r="D8" s="18">
        <f>US_Sector_MOM!D14</f>
        <v>-9.8427444943305353E-4</v>
      </c>
      <c r="E8" s="18">
        <f>US_Sector_MOM!E14</f>
        <v>-3.957593505578838E-2</v>
      </c>
      <c r="F8" s="18">
        <f>US_Sector_MOM!F14</f>
        <v>-1.7425431022751736E-3</v>
      </c>
      <c r="G8" s="18">
        <f>US_Sector_MOM!G14</f>
        <v>-1.8099265331623093E-2</v>
      </c>
      <c r="H8" s="18">
        <f>US_Sector_MOM!H14</f>
        <v>-3.0415946428486773E-2</v>
      </c>
      <c r="I8" s="18">
        <f>US_Sector_MOM!I14</f>
        <v>-3.1719939326572133E-3</v>
      </c>
      <c r="J8" s="18">
        <f>US_Sector_MOM!J14</f>
        <v>-7.7645962922736622E-2</v>
      </c>
      <c r="K8" s="18">
        <f>US_Sector_MOM!K14</f>
        <v>-3.8287567697367186E-2</v>
      </c>
      <c r="L8" s="18">
        <f>US_Sector_MOM!L14</f>
        <v>-1.5199966430663903E-2</v>
      </c>
      <c r="M8" s="18">
        <f>US_Sector_MOM!M14</f>
        <v>7.9556531015545495E-4</v>
      </c>
      <c r="N8" s="18">
        <f>US_Sector_MOM!N14</f>
        <v>-4.1322273338811888E-3</v>
      </c>
      <c r="O8" s="18">
        <f>US_Sector_MOM!O14</f>
        <v>-1.7483439666546308E-2</v>
      </c>
      <c r="P8" s="18">
        <f>US_Sector_MOM!P14</f>
        <v>7.2478138489739941E-4</v>
      </c>
      <c r="Q8" s="18">
        <f>US_Sector_MOM!Q14</f>
        <v>-1.0035170749199018E-2</v>
      </c>
      <c r="R8" s="18">
        <f>US_Sector_MOM!R14</f>
        <v>-2.0288637341436822E-4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</row>
    <row r="9" spans="1:85" ht="15.75" x14ac:dyDescent="0.25">
      <c r="A9" s="13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6"/>
      <c r="Q9" s="16"/>
      <c r="R9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EBB2-BCCB-4C73-BC88-8DAD1D77DAE8}">
  <dimension ref="A1:R14"/>
  <sheetViews>
    <sheetView zoomScale="70" zoomScaleNormal="70" workbookViewId="0">
      <selection activeCell="E52" sqref="E52"/>
    </sheetView>
  </sheetViews>
  <sheetFormatPr defaultRowHeight="15" x14ac:dyDescent="0.25"/>
  <cols>
    <col min="1" max="1" width="11.5703125" bestFit="1" customWidth="1"/>
    <col min="2" max="18" width="15.85546875" bestFit="1" customWidth="1"/>
    <col min="19" max="19" width="14.85546875" bestFit="1" customWidth="1"/>
    <col min="20" max="20" width="16.28515625" bestFit="1" customWidth="1"/>
    <col min="21" max="21" width="14.85546875" bestFit="1" customWidth="1"/>
    <col min="22" max="22" width="16.28515625" bestFit="1" customWidth="1"/>
    <col min="23" max="23" width="14.85546875" bestFit="1" customWidth="1"/>
    <col min="24" max="24" width="17.7109375" bestFit="1" customWidth="1"/>
    <col min="25" max="25" width="14.85546875" bestFit="1" customWidth="1"/>
    <col min="26" max="26" width="18.140625" bestFit="1" customWidth="1"/>
    <col min="27" max="27" width="14.85546875" bestFit="1" customWidth="1"/>
    <col min="28" max="28" width="16.42578125" bestFit="1" customWidth="1"/>
    <col min="29" max="29" width="14.85546875" bestFit="1" customWidth="1"/>
    <col min="30" max="30" width="15.85546875" bestFit="1" customWidth="1"/>
    <col min="31" max="31" width="14.85546875" bestFit="1" customWidth="1"/>
    <col min="32" max="32" width="15" bestFit="1" customWidth="1"/>
    <col min="33" max="33" width="14.85546875" bestFit="1" customWidth="1"/>
    <col min="34" max="34" width="15.7109375" bestFit="1" customWidth="1"/>
    <col min="35" max="35" width="14.85546875" bestFit="1" customWidth="1"/>
    <col min="36" max="36" width="15.85546875" bestFit="1" customWidth="1"/>
    <col min="37" max="37" width="14.85546875" bestFit="1" customWidth="1"/>
    <col min="38" max="38" width="16.85546875" bestFit="1" customWidth="1"/>
    <col min="39" max="39" width="14.85546875" bestFit="1" customWidth="1"/>
    <col min="40" max="40" width="16.28515625" bestFit="1" customWidth="1"/>
    <col min="41" max="41" width="14.85546875" bestFit="1" customWidth="1"/>
    <col min="42" max="42" width="16.42578125" bestFit="1" customWidth="1"/>
    <col min="43" max="43" width="14.85546875" bestFit="1" customWidth="1"/>
    <col min="44" max="44" width="16.85546875" bestFit="1" customWidth="1"/>
    <col min="45" max="45" width="14.85546875" bestFit="1" customWidth="1"/>
    <col min="46" max="46" width="16.28515625" bestFit="1" customWidth="1"/>
    <col min="47" max="47" width="14.85546875" bestFit="1" customWidth="1"/>
    <col min="48" max="48" width="16.42578125" bestFit="1" customWidth="1"/>
    <col min="49" max="49" width="14.85546875" bestFit="1" customWidth="1"/>
    <col min="50" max="50" width="15.42578125" bestFit="1" customWidth="1"/>
    <col min="51" max="51" width="14.85546875" bestFit="1" customWidth="1"/>
    <col min="52" max="52" width="16.7109375" bestFit="1" customWidth="1"/>
    <col min="53" max="53" width="14.85546875" bestFit="1" customWidth="1"/>
    <col min="54" max="54" width="16.7109375" bestFit="1" customWidth="1"/>
    <col min="55" max="55" width="14.85546875" bestFit="1" customWidth="1"/>
    <col min="56" max="56" width="16.42578125" bestFit="1" customWidth="1"/>
    <col min="57" max="57" width="14.85546875" bestFit="1" customWidth="1"/>
    <col min="58" max="58" width="16.7109375" bestFit="1" customWidth="1"/>
    <col min="59" max="59" width="14.85546875" bestFit="1" customWidth="1"/>
    <col min="60" max="60" width="16.28515625" bestFit="1" customWidth="1"/>
    <col min="61" max="61" width="14.85546875" bestFit="1" customWidth="1"/>
    <col min="62" max="62" width="16.28515625" bestFit="1" customWidth="1"/>
    <col min="63" max="63" width="14.85546875" bestFit="1" customWidth="1"/>
    <col min="64" max="64" width="22.42578125" bestFit="1" customWidth="1"/>
    <col min="65" max="65" width="20.5703125" bestFit="1" customWidth="1"/>
    <col min="66" max="66" width="16.28515625" bestFit="1" customWidth="1"/>
    <col min="67" max="67" width="14.85546875" bestFit="1" customWidth="1"/>
    <col min="68" max="68" width="16.42578125" bestFit="1" customWidth="1"/>
    <col min="69" max="69" width="14.85546875" bestFit="1" customWidth="1"/>
    <col min="70" max="70" width="18.140625" bestFit="1" customWidth="1"/>
    <col min="71" max="71" width="14.85546875" bestFit="1" customWidth="1"/>
    <col min="72" max="72" width="15.28515625" bestFit="1" customWidth="1"/>
    <col min="73" max="73" width="14.85546875" bestFit="1" customWidth="1"/>
    <col min="74" max="74" width="16.28515625" bestFit="1" customWidth="1"/>
    <col min="75" max="75" width="14.85546875" bestFit="1" customWidth="1"/>
    <col min="76" max="76" width="17.140625" bestFit="1" customWidth="1"/>
    <col min="77" max="77" width="14.85546875" bestFit="1" customWidth="1"/>
    <col min="78" max="78" width="15" bestFit="1" customWidth="1"/>
    <col min="79" max="79" width="14.85546875" bestFit="1" customWidth="1"/>
    <col min="80" max="80" width="17.140625" bestFit="1" customWidth="1"/>
    <col min="81" max="81" width="14.85546875" bestFit="1" customWidth="1"/>
    <col min="82" max="82" width="16.7109375" bestFit="1" customWidth="1"/>
    <col min="83" max="85" width="14.85546875" bestFit="1" customWidth="1"/>
    <col min="86" max="86" width="18.140625" bestFit="1" customWidth="1"/>
    <col min="87" max="87" width="14.85546875" bestFit="1" customWidth="1"/>
    <col min="88" max="88" width="16.85546875" bestFit="1" customWidth="1"/>
    <col min="89" max="89" width="14.85546875" bestFit="1" customWidth="1"/>
    <col min="90" max="90" width="18.28515625" bestFit="1" customWidth="1"/>
    <col min="91" max="91" width="14.85546875" bestFit="1" customWidth="1"/>
    <col min="92" max="92" width="17.28515625" bestFit="1" customWidth="1"/>
    <col min="93" max="93" width="14.85546875" bestFit="1" customWidth="1"/>
    <col min="94" max="94" width="15.42578125" bestFit="1" customWidth="1"/>
    <col min="95" max="95" width="14.85546875" bestFit="1" customWidth="1"/>
    <col min="96" max="96" width="15.42578125" bestFit="1" customWidth="1"/>
    <col min="97" max="97" width="14.85546875" bestFit="1" customWidth="1"/>
    <col min="98" max="98" width="15.42578125" bestFit="1" customWidth="1"/>
    <col min="99" max="99" width="14.85546875" bestFit="1" customWidth="1"/>
    <col min="100" max="100" width="15.42578125" bestFit="1" customWidth="1"/>
    <col min="101" max="101" width="8.85546875" bestFit="1" customWidth="1"/>
    <col min="102" max="102" width="15.7109375" bestFit="1" customWidth="1"/>
    <col min="103" max="103" width="14.85546875" bestFit="1" customWidth="1"/>
    <col min="104" max="104" width="15.7109375" bestFit="1" customWidth="1"/>
    <col min="105" max="105" width="14.85546875" bestFit="1" customWidth="1"/>
    <col min="106" max="106" width="15.28515625" bestFit="1" customWidth="1"/>
    <col min="107" max="107" width="14.85546875" bestFit="1" customWidth="1"/>
    <col min="108" max="108" width="15" bestFit="1" customWidth="1"/>
    <col min="109" max="109" width="14.85546875" bestFit="1" customWidth="1"/>
    <col min="110" max="110" width="15.42578125" bestFit="1" customWidth="1"/>
    <col min="111" max="111" width="14.85546875" bestFit="1" customWidth="1"/>
    <col min="112" max="112" width="15" bestFit="1" customWidth="1"/>
    <col min="113" max="113" width="14.85546875" bestFit="1" customWidth="1"/>
    <col min="114" max="114" width="17.42578125" bestFit="1" customWidth="1"/>
    <col min="115" max="115" width="14.85546875" bestFit="1" customWidth="1"/>
    <col min="116" max="116" width="16.85546875" bestFit="1" customWidth="1"/>
    <col min="117" max="117" width="14.85546875" bestFit="1" customWidth="1"/>
    <col min="118" max="118" width="16.42578125" bestFit="1" customWidth="1"/>
    <col min="119" max="119" width="14.85546875" bestFit="1" customWidth="1"/>
    <col min="120" max="120" width="18.28515625" bestFit="1" customWidth="1"/>
    <col min="121" max="121" width="14.85546875" bestFit="1" customWidth="1"/>
    <col min="122" max="122" width="17.85546875" bestFit="1" customWidth="1"/>
    <col min="123" max="123" width="14.85546875" bestFit="1" customWidth="1"/>
    <col min="124" max="124" width="16.85546875" bestFit="1" customWidth="1"/>
    <col min="125" max="125" width="14.85546875" bestFit="1" customWidth="1"/>
    <col min="126" max="126" width="17.140625" bestFit="1" customWidth="1"/>
    <col min="127" max="127" width="14.85546875" bestFit="1" customWidth="1"/>
    <col min="128" max="128" width="17.140625" bestFit="1" customWidth="1"/>
    <col min="129" max="129" width="14.85546875" bestFit="1" customWidth="1"/>
    <col min="130" max="130" width="16.42578125" bestFit="1" customWidth="1"/>
    <col min="131" max="131" width="14.85546875" bestFit="1" customWidth="1"/>
    <col min="132" max="132" width="15.28515625" bestFit="1" customWidth="1"/>
    <col min="133" max="133" width="8.7109375" bestFit="1" customWidth="1"/>
    <col min="134" max="134" width="17.42578125" bestFit="1" customWidth="1"/>
    <col min="135" max="135" width="14.85546875" bestFit="1" customWidth="1"/>
    <col min="136" max="136" width="18.7109375" bestFit="1" customWidth="1"/>
    <col min="137" max="137" width="14.85546875" bestFit="1" customWidth="1"/>
    <col min="138" max="138" width="17.42578125" bestFit="1" customWidth="1"/>
    <col min="139" max="139" width="14.85546875" bestFit="1" customWidth="1"/>
    <col min="140" max="140" width="18.140625" bestFit="1" customWidth="1"/>
    <col min="141" max="141" width="14.85546875" bestFit="1" customWidth="1"/>
    <col min="142" max="142" width="16.42578125" bestFit="1" customWidth="1"/>
    <col min="143" max="143" width="14.85546875" bestFit="1" customWidth="1"/>
    <col min="144" max="144" width="16.42578125" bestFit="1" customWidth="1"/>
    <col min="145" max="145" width="14.85546875" bestFit="1" customWidth="1"/>
    <col min="146" max="146" width="17.140625" bestFit="1" customWidth="1"/>
    <col min="147" max="147" width="14.85546875" bestFit="1" customWidth="1"/>
    <col min="148" max="148" width="17.140625" bestFit="1" customWidth="1"/>
    <col min="149" max="149" width="14.85546875" bestFit="1" customWidth="1"/>
    <col min="150" max="150" width="15.42578125" bestFit="1" customWidth="1"/>
    <col min="151" max="151" width="14.85546875" bestFit="1" customWidth="1"/>
    <col min="152" max="152" width="17.140625" bestFit="1" customWidth="1"/>
    <col min="153" max="153" width="14.85546875" bestFit="1" customWidth="1"/>
    <col min="154" max="154" width="18.140625" bestFit="1" customWidth="1"/>
    <col min="155" max="155" width="14.85546875" bestFit="1" customWidth="1"/>
    <col min="156" max="156" width="17.140625" bestFit="1" customWidth="1"/>
    <col min="157" max="157" width="14.85546875" bestFit="1" customWidth="1"/>
    <col min="158" max="158" width="18.5703125" bestFit="1" customWidth="1"/>
    <col min="159" max="159" width="14.85546875" customWidth="1"/>
    <col min="160" max="160" width="18.140625" bestFit="1" customWidth="1"/>
    <col min="161" max="161" width="14.85546875" customWidth="1"/>
    <col min="162" max="162" width="16.42578125" bestFit="1" customWidth="1"/>
    <col min="163" max="163" width="14.85546875" bestFit="1" customWidth="1"/>
    <col min="164" max="164" width="18.28515625" bestFit="1" customWidth="1"/>
    <col min="165" max="165" width="14.85546875" customWidth="1"/>
    <col min="166" max="166" width="16.42578125" bestFit="1" customWidth="1"/>
    <col min="167" max="167" width="14.85546875" customWidth="1"/>
    <col min="168" max="168" width="17.140625" bestFit="1" customWidth="1"/>
    <col min="169" max="169" width="14.85546875" customWidth="1"/>
    <col min="170" max="170" width="17.140625" bestFit="1" customWidth="1"/>
    <col min="171" max="171" width="14.85546875" customWidth="1"/>
    <col min="172" max="172" width="17.85546875" bestFit="1" customWidth="1"/>
    <col min="173" max="173" width="14.85546875" customWidth="1"/>
    <col min="174" max="174" width="17.140625" bestFit="1" customWidth="1"/>
    <col min="175" max="175" width="14.85546875" customWidth="1"/>
    <col min="176" max="176" width="18.140625" bestFit="1" customWidth="1"/>
    <col min="177" max="177" width="14.85546875" customWidth="1"/>
    <col min="178" max="178" width="15.42578125" bestFit="1" customWidth="1"/>
    <col min="179" max="179" width="14.85546875" customWidth="1"/>
    <col min="180" max="180" width="17.140625" bestFit="1" customWidth="1"/>
    <col min="181" max="181" width="14.85546875" customWidth="1"/>
    <col min="182" max="182" width="17.140625" bestFit="1" customWidth="1"/>
    <col min="183" max="183" width="14.85546875" customWidth="1"/>
    <col min="184" max="184" width="17.85546875" bestFit="1" customWidth="1"/>
    <col min="185" max="185" width="14.85546875" customWidth="1"/>
    <col min="186" max="186" width="17.140625" bestFit="1" customWidth="1"/>
    <col min="187" max="187" width="14.85546875" bestFit="1" customWidth="1"/>
    <col min="188" max="188" width="18.140625" bestFit="1" customWidth="1"/>
    <col min="189" max="189" width="14.85546875" customWidth="1"/>
    <col min="190" max="190" width="15.42578125" bestFit="1" customWidth="1"/>
    <col min="191" max="191" width="14.85546875" bestFit="1" customWidth="1"/>
    <col min="192" max="192" width="17.140625" bestFit="1" customWidth="1"/>
    <col min="193" max="193" width="14.85546875" bestFit="1" customWidth="1"/>
    <col min="194" max="194" width="18.140625" bestFit="1" customWidth="1"/>
    <col min="195" max="195" width="14.85546875" bestFit="1" customWidth="1"/>
    <col min="196" max="196" width="11.140625" bestFit="1" customWidth="1"/>
    <col min="197" max="197" width="12" bestFit="1" customWidth="1"/>
    <col min="198" max="198" width="12.42578125" bestFit="1" customWidth="1"/>
    <col min="199" max="199" width="12" bestFit="1" customWidth="1"/>
  </cols>
  <sheetData>
    <row r="1" spans="1:18" x14ac:dyDescent="0.25">
      <c r="A1" t="s">
        <v>0</v>
      </c>
      <c r="B1" t="s">
        <v>34</v>
      </c>
      <c r="C1" t="s">
        <v>36</v>
      </c>
      <c r="D1" t="s">
        <v>52</v>
      </c>
      <c r="E1" t="s">
        <v>33</v>
      </c>
      <c r="F1" t="s">
        <v>53</v>
      </c>
      <c r="G1" t="s">
        <v>35</v>
      </c>
      <c r="H1" t="s">
        <v>23</v>
      </c>
      <c r="I1" t="s">
        <v>31</v>
      </c>
      <c r="J1" t="s">
        <v>29</v>
      </c>
      <c r="K1" t="s">
        <v>28</v>
      </c>
      <c r="L1" t="s">
        <v>22</v>
      </c>
      <c r="M1" t="s">
        <v>25</v>
      </c>
      <c r="N1" t="s">
        <v>24</v>
      </c>
      <c r="O1" t="s">
        <v>32</v>
      </c>
      <c r="P1" t="s">
        <v>30</v>
      </c>
      <c r="Q1" t="s">
        <v>27</v>
      </c>
      <c r="R1" t="s">
        <v>26</v>
      </c>
    </row>
    <row r="2" spans="1:18" x14ac:dyDescent="0.25">
      <c r="A2" s="1">
        <v>44712</v>
      </c>
      <c r="B2">
        <v>-3.261547766106776E-2</v>
      </c>
      <c r="C2">
        <v>6.184124674094349E-3</v>
      </c>
      <c r="D2">
        <v>-5.8956441080479371E-2</v>
      </c>
      <c r="E2">
        <v>4.6112607315808241E-2</v>
      </c>
      <c r="F2">
        <v>-9.9223744383680756E-3</v>
      </c>
      <c r="G2">
        <v>-2.2533028868606308E-2</v>
      </c>
      <c r="H2">
        <v>1.1760569647684127E-2</v>
      </c>
      <c r="I2">
        <v>1.8963721864803773E-2</v>
      </c>
      <c r="J2">
        <v>0.16034590437041962</v>
      </c>
      <c r="K2">
        <v>2.7818127304469753E-2</v>
      </c>
      <c r="L2">
        <v>-4.6248301195707109E-3</v>
      </c>
      <c r="M2">
        <v>-6.8588955116015704E-3</v>
      </c>
      <c r="N2">
        <v>-4.0829520794442686E-2</v>
      </c>
      <c r="O2">
        <v>-5.1072920895058438E-2</v>
      </c>
      <c r="P2">
        <v>4.3081640213047168E-2</v>
      </c>
      <c r="Q2">
        <v>1.4889926452585689E-2</v>
      </c>
      <c r="R2">
        <v>-5.1203378579552816E-2</v>
      </c>
    </row>
    <row r="3" spans="1:18" x14ac:dyDescent="0.25">
      <c r="A3" s="1">
        <v>44742</v>
      </c>
      <c r="B3">
        <v>-1.5659651077124748E-2</v>
      </c>
      <c r="C3">
        <v>-8.6344362933422625E-3</v>
      </c>
      <c r="D3">
        <v>-6.6991143892726424E-2</v>
      </c>
      <c r="E3">
        <v>-7.5345877414444429E-2</v>
      </c>
      <c r="F3">
        <v>-3.1155096963075612E-2</v>
      </c>
      <c r="G3">
        <v>-1.2745627518031877E-2</v>
      </c>
      <c r="H3">
        <v>-0.13856301564572815</v>
      </c>
      <c r="I3">
        <v>-9.602261296899417E-2</v>
      </c>
      <c r="J3">
        <v>-0.17073464460370613</v>
      </c>
      <c r="K3">
        <v>-0.10860877028825622</v>
      </c>
      <c r="L3">
        <v>-7.3669942814919787E-2</v>
      </c>
      <c r="M3">
        <v>-9.255720677320578E-2</v>
      </c>
      <c r="N3">
        <v>-2.3472371313730811E-2</v>
      </c>
      <c r="O3">
        <v>-6.8547307687735759E-2</v>
      </c>
      <c r="P3">
        <v>-4.8954534125324245E-2</v>
      </c>
      <c r="Q3">
        <v>-2.6080449022161778E-2</v>
      </c>
      <c r="R3">
        <v>-0.10833509055388035</v>
      </c>
    </row>
    <row r="4" spans="1:18" x14ac:dyDescent="0.25">
      <c r="A4" s="1">
        <v>44773</v>
      </c>
      <c r="B4">
        <v>-2.5881517491311956E-2</v>
      </c>
      <c r="C4">
        <v>2.9614632535140517E-2</v>
      </c>
      <c r="D4">
        <v>8.6238829505316694E-2</v>
      </c>
      <c r="E4">
        <v>-2.3281640459263508E-2</v>
      </c>
      <c r="F4">
        <v>4.3098524273661232E-2</v>
      </c>
      <c r="G4">
        <v>2.4310129323899643E-2</v>
      </c>
      <c r="H4">
        <v>6.1548895604526699E-2</v>
      </c>
      <c r="I4">
        <v>3.8695362238018394E-2</v>
      </c>
      <c r="J4">
        <v>9.6629726628745916E-2</v>
      </c>
      <c r="K4">
        <v>7.186005304608023E-2</v>
      </c>
      <c r="L4">
        <v>9.5030955908684378E-2</v>
      </c>
      <c r="M4">
        <v>0.13451851640425927</v>
      </c>
      <c r="N4">
        <v>3.2003248903403447E-2</v>
      </c>
      <c r="O4">
        <v>8.5168749397865229E-2</v>
      </c>
      <c r="P4">
        <v>5.447036606388167E-2</v>
      </c>
      <c r="Q4">
        <v>3.2439095262070117E-2</v>
      </c>
      <c r="R4">
        <v>0.18439079068508324</v>
      </c>
    </row>
    <row r="5" spans="1:18" x14ac:dyDescent="0.25">
      <c r="A5" s="1">
        <v>44804</v>
      </c>
      <c r="B5">
        <v>-2.9433282458306786E-2</v>
      </c>
      <c r="C5">
        <v>-3.8538449331109836E-2</v>
      </c>
      <c r="D5">
        <v>-4.1857934385273521E-2</v>
      </c>
      <c r="E5">
        <v>-1.4188421933873929E-2</v>
      </c>
      <c r="F5">
        <v>-2.7042306215374179E-2</v>
      </c>
      <c r="G5">
        <v>-4.553095173376509E-2</v>
      </c>
      <c r="H5">
        <v>-3.4813715950699931E-2</v>
      </c>
      <c r="I5">
        <v>-3.530242456504662E-2</v>
      </c>
      <c r="J5">
        <v>2.6523960056231699E-2</v>
      </c>
      <c r="K5">
        <v>-1.957870445465193E-2</v>
      </c>
      <c r="L5">
        <v>-2.8335424415564914E-2</v>
      </c>
      <c r="M5">
        <v>-6.2127343395212642E-2</v>
      </c>
      <c r="N5">
        <v>-1.852585807128726E-2</v>
      </c>
      <c r="O5">
        <v>-5.6156979107540472E-2</v>
      </c>
      <c r="P5">
        <v>5.2737674244618393E-3</v>
      </c>
      <c r="Q5">
        <v>-5.7703856981781154E-2</v>
      </c>
      <c r="R5">
        <v>-4.4955012118987892E-2</v>
      </c>
    </row>
    <row r="6" spans="1:18" x14ac:dyDescent="0.25">
      <c r="A6" s="1">
        <v>44834</v>
      </c>
      <c r="B6">
        <v>-2.8881810636775085E-2</v>
      </c>
      <c r="C6">
        <v>-4.7349686869778251E-2</v>
      </c>
      <c r="D6">
        <v>-0.1492265905858452</v>
      </c>
      <c r="E6">
        <v>-6.8508941822991498E-2</v>
      </c>
      <c r="F6">
        <v>-6.7323403541631355E-2</v>
      </c>
      <c r="G6">
        <v>-8.23510068577753E-2</v>
      </c>
      <c r="H6">
        <v>-9.302932150872345E-2</v>
      </c>
      <c r="I6">
        <v>-0.11748351150760317</v>
      </c>
      <c r="J6">
        <v>-9.5587255801961701E-2</v>
      </c>
      <c r="K6">
        <v>-7.6559591895259516E-2</v>
      </c>
      <c r="L6">
        <v>-0.10430923642738332</v>
      </c>
      <c r="M6">
        <v>-0.11967119835386608</v>
      </c>
      <c r="N6">
        <v>-8.1328448130255859E-2</v>
      </c>
      <c r="O6">
        <v>-0.13171315268076444</v>
      </c>
      <c r="P6">
        <v>-0.11280989645475559</v>
      </c>
      <c r="Q6">
        <v>-2.5386779619476885E-2</v>
      </c>
      <c r="R6">
        <v>-8.2063828751974266E-2</v>
      </c>
    </row>
    <row r="7" spans="1:18" x14ac:dyDescent="0.25">
      <c r="A7" s="1">
        <v>44865</v>
      </c>
      <c r="B7">
        <v>-1.784440770356277E-2</v>
      </c>
      <c r="C7">
        <v>-1.4540218237017344E-2</v>
      </c>
      <c r="D7">
        <v>2.1568791185455627E-2</v>
      </c>
      <c r="E7">
        <v>5.0679848859038312E-2</v>
      </c>
      <c r="F7">
        <v>1.4204023107019736E-2</v>
      </c>
      <c r="G7">
        <v>-5.9644330866672424E-2</v>
      </c>
      <c r="H7">
        <v>8.925171302294288E-2</v>
      </c>
      <c r="I7">
        <v>6.6819877624473278E-3</v>
      </c>
      <c r="J7">
        <v>0.24965294393410198</v>
      </c>
      <c r="K7">
        <v>0.11923583591564846</v>
      </c>
      <c r="L7">
        <v>0.13894252792394202</v>
      </c>
      <c r="M7">
        <v>7.6528081639456902E-2</v>
      </c>
      <c r="N7">
        <v>9.0064312725792739E-2</v>
      </c>
      <c r="O7">
        <v>1.999444317062915E-2</v>
      </c>
      <c r="P7">
        <v>1.9386302673857658E-2</v>
      </c>
      <c r="Q7">
        <v>9.6110857880058687E-2</v>
      </c>
      <c r="R7">
        <v>1.1091642826906556E-2</v>
      </c>
    </row>
    <row r="8" spans="1:18" x14ac:dyDescent="0.25">
      <c r="A8" s="1">
        <v>44895</v>
      </c>
      <c r="B8">
        <v>8.4918659637304605E-2</v>
      </c>
      <c r="C8">
        <v>3.612273360083651E-2</v>
      </c>
      <c r="D8">
        <v>5.6534544046091373E-2</v>
      </c>
      <c r="E8">
        <v>1.2941123021955159E-2</v>
      </c>
      <c r="F8">
        <v>1.8328684467666667E-2</v>
      </c>
      <c r="G8">
        <v>7.1510558784068756E-2</v>
      </c>
      <c r="H8">
        <v>0.11703549379165423</v>
      </c>
      <c r="I8">
        <v>6.8450473452083882E-2</v>
      </c>
      <c r="J8">
        <v>1.2777763066324388E-2</v>
      </c>
      <c r="K8">
        <v>6.8569783393813255E-2</v>
      </c>
      <c r="L8">
        <v>7.8113452323932187E-2</v>
      </c>
      <c r="M8">
        <v>6.3267411389414718E-2</v>
      </c>
      <c r="N8">
        <v>6.1176813002095543E-2</v>
      </c>
      <c r="O8">
        <v>6.8336679473290252E-2</v>
      </c>
      <c r="P8">
        <v>6.9631491961179348E-2</v>
      </c>
      <c r="Q8">
        <v>4.7231752321693632E-2</v>
      </c>
      <c r="R8">
        <v>1.4857992993499325E-2</v>
      </c>
    </row>
    <row r="9" spans="1:18" x14ac:dyDescent="0.25">
      <c r="A9" s="1">
        <v>44926</v>
      </c>
      <c r="B9">
        <v>2.9306485665941073E-2</v>
      </c>
      <c r="C9">
        <v>-1.4880877004589177E-2</v>
      </c>
      <c r="D9">
        <v>-3.1084601188079097E-2</v>
      </c>
      <c r="E9">
        <v>-2.6474227337739853E-2</v>
      </c>
      <c r="F9">
        <v>-1.3173449120262415E-2</v>
      </c>
      <c r="G9">
        <v>-2.6200290075770183E-2</v>
      </c>
      <c r="H9">
        <v>-5.5187605874072454E-2</v>
      </c>
      <c r="I9">
        <v>-6.6042603419734891E-2</v>
      </c>
      <c r="J9">
        <v>-3.0489409077474328E-2</v>
      </c>
      <c r="K9">
        <v>-5.2204640251922285E-2</v>
      </c>
      <c r="L9">
        <v>-2.9898242849784706E-2</v>
      </c>
      <c r="M9">
        <v>-8.2102724667133753E-2</v>
      </c>
      <c r="N9">
        <v>-2.7275525286648672E-2</v>
      </c>
      <c r="O9">
        <v>-4.8182822763828459E-2</v>
      </c>
      <c r="P9">
        <v>-4.9440573140524524E-3</v>
      </c>
      <c r="Q9">
        <v>-1.8777108592366143E-2</v>
      </c>
      <c r="R9">
        <v>-0.1139495793378329</v>
      </c>
    </row>
    <row r="10" spans="1:18" x14ac:dyDescent="0.25">
      <c r="A10" s="1">
        <v>44957</v>
      </c>
      <c r="B10">
        <v>5.7592574319810907E-2</v>
      </c>
      <c r="C10">
        <v>3.581131435171292E-2</v>
      </c>
      <c r="D10">
        <v>4.8076905280574955E-2</v>
      </c>
      <c r="E10">
        <v>1.1502035139737021E-2</v>
      </c>
      <c r="F10">
        <v>2.0762925451631942E-2</v>
      </c>
      <c r="G10">
        <v>7.6436313470543027E-2</v>
      </c>
      <c r="H10">
        <v>8.9727134089200966E-2</v>
      </c>
      <c r="I10">
        <v>0.14773911371022486</v>
      </c>
      <c r="J10">
        <v>2.8123860051041838E-2</v>
      </c>
      <c r="K10">
        <v>6.9005906032563846E-2</v>
      </c>
      <c r="L10">
        <v>3.7063387681559368E-2</v>
      </c>
      <c r="M10">
        <v>9.2574701808140869E-2</v>
      </c>
      <c r="N10">
        <v>-1.0865255245731564E-2</v>
      </c>
      <c r="O10">
        <v>9.9106347488856494E-2</v>
      </c>
      <c r="P10">
        <v>-1.9999967295198373E-2</v>
      </c>
      <c r="Q10">
        <v>-1.8329081380959011E-2</v>
      </c>
      <c r="R10">
        <v>0.15128515899862482</v>
      </c>
    </row>
    <row r="11" spans="1:18" x14ac:dyDescent="0.25">
      <c r="A11" s="1">
        <v>44985</v>
      </c>
      <c r="B11">
        <v>-5.3675963916421821E-2</v>
      </c>
      <c r="C11">
        <v>-3.2707810315750763E-2</v>
      </c>
      <c r="D11">
        <v>-2.3263539121060939E-2</v>
      </c>
      <c r="E11">
        <v>-4.8160553592956568E-2</v>
      </c>
      <c r="F11">
        <v>-1.3529822042228745E-2</v>
      </c>
      <c r="G11">
        <v>-4.850553665013202E-2</v>
      </c>
      <c r="H11">
        <v>-3.3313611888482919E-2</v>
      </c>
      <c r="I11">
        <v>-2.8685539517983916E-2</v>
      </c>
      <c r="J11">
        <v>-6.9387256862231239E-2</v>
      </c>
      <c r="K11">
        <v>-2.297598539026191E-2</v>
      </c>
      <c r="L11">
        <v>-8.64015295820586E-3</v>
      </c>
      <c r="M11">
        <v>4.1189348627903577E-3</v>
      </c>
      <c r="N11">
        <v>-2.3189607825423342E-2</v>
      </c>
      <c r="O11">
        <v>-5.8635109093593596E-2</v>
      </c>
      <c r="P11">
        <v>-5.9198136137848301E-2</v>
      </c>
      <c r="Q11">
        <v>-4.6415693497898314E-2</v>
      </c>
      <c r="R11">
        <v>-2.1250870382597431E-2</v>
      </c>
    </row>
    <row r="12" spans="1:18" x14ac:dyDescent="0.25">
      <c r="A12" s="1">
        <v>45016</v>
      </c>
      <c r="B12">
        <v>7.9161282471661654E-2</v>
      </c>
      <c r="C12">
        <v>3.7210695693493445E-2</v>
      </c>
      <c r="D12">
        <v>3.4552245624445588E-2</v>
      </c>
      <c r="E12">
        <v>-7.026897771739149E-4</v>
      </c>
      <c r="F12">
        <v>2.8643487285639813E-2</v>
      </c>
      <c r="G12">
        <v>4.8393456211941244E-2</v>
      </c>
      <c r="H12">
        <v>-1.0010699329366934E-2</v>
      </c>
      <c r="I12">
        <v>8.6514087694228747E-2</v>
      </c>
      <c r="J12">
        <v>5.3241877666421189E-5</v>
      </c>
      <c r="K12">
        <v>-9.5476820649744831E-2</v>
      </c>
      <c r="L12">
        <v>6.1912269884145665E-3</v>
      </c>
      <c r="M12">
        <v>0.10858002694665347</v>
      </c>
      <c r="N12">
        <v>4.2192984080581031E-2</v>
      </c>
      <c r="O12">
        <v>-1.4760380970919917E-2</v>
      </c>
      <c r="P12">
        <v>4.9060319646451189E-2</v>
      </c>
      <c r="Q12">
        <v>2.1978099413593855E-2</v>
      </c>
      <c r="R12">
        <v>3.0619330491210794E-2</v>
      </c>
    </row>
    <row r="13" spans="1:18" x14ac:dyDescent="0.25">
      <c r="A13" s="1">
        <v>45046</v>
      </c>
      <c r="B13">
        <v>8.6235226532476172E-3</v>
      </c>
      <c r="C13">
        <v>8.1476794834267618E-3</v>
      </c>
      <c r="D13">
        <v>-2.6028582445561943E-3</v>
      </c>
      <c r="E13">
        <v>-4.9226896753888916E-3</v>
      </c>
      <c r="F13">
        <v>5.1756673160152644E-4</v>
      </c>
      <c r="G13">
        <v>3.3835402474118315E-3</v>
      </c>
      <c r="H13">
        <v>-1.3637565752211422E-3</v>
      </c>
      <c r="I13">
        <v>3.3293087192250548E-2</v>
      </c>
      <c r="J13">
        <v>2.7767661131463672E-2</v>
      </c>
      <c r="K13">
        <v>3.1726177127717081E-2</v>
      </c>
      <c r="L13">
        <v>-1.1662386851321593E-2</v>
      </c>
      <c r="M13">
        <v>-1.1919255832639752E-3</v>
      </c>
      <c r="N13">
        <v>3.6541338380246424E-2</v>
      </c>
      <c r="O13">
        <v>9.898312501664952E-3</v>
      </c>
      <c r="P13">
        <v>1.9057480706164753E-2</v>
      </c>
      <c r="Q13">
        <v>3.1438219174707793E-2</v>
      </c>
      <c r="R13">
        <v>-1.1234403846512642E-2</v>
      </c>
    </row>
    <row r="14" spans="1:18" x14ac:dyDescent="0.25">
      <c r="A14" s="1">
        <v>45077</v>
      </c>
      <c r="B14">
        <v>1.0876593472095575E-2</v>
      </c>
      <c r="C14">
        <v>-2.1111177996813169E-4</v>
      </c>
      <c r="D14">
        <v>-9.8427444943305353E-4</v>
      </c>
      <c r="E14">
        <v>-3.957593505578838E-2</v>
      </c>
      <c r="F14">
        <v>-1.7425431022751736E-3</v>
      </c>
      <c r="G14">
        <v>-1.8099265331623093E-2</v>
      </c>
      <c r="H14">
        <v>-3.0415946428486773E-2</v>
      </c>
      <c r="I14">
        <v>-3.1719939326572133E-3</v>
      </c>
      <c r="J14">
        <v>-7.7645962922736622E-2</v>
      </c>
      <c r="K14">
        <v>-3.8287567697367186E-2</v>
      </c>
      <c r="L14">
        <v>-1.5199966430663903E-2</v>
      </c>
      <c r="M14">
        <v>7.9556531015545495E-4</v>
      </c>
      <c r="N14">
        <v>-4.1322273338811888E-3</v>
      </c>
      <c r="O14">
        <v>-1.7483439666546308E-2</v>
      </c>
      <c r="P14">
        <v>7.2478138489739941E-4</v>
      </c>
      <c r="Q14">
        <v>-1.0035170749199018E-2</v>
      </c>
      <c r="R14">
        <v>-2.0288637341436822E-4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7B54-D7FD-4D94-95BB-CE22DD98C5D6}">
  <dimension ref="A1:Q2"/>
  <sheetViews>
    <sheetView workbookViewId="0">
      <selection activeCell="L12" sqref="L12"/>
    </sheetView>
  </sheetViews>
  <sheetFormatPr defaultRowHeight="15" x14ac:dyDescent="0.25"/>
  <cols>
    <col min="1" max="15" width="12" bestFit="1" customWidth="1"/>
    <col min="16" max="17" width="12" customWidth="1"/>
    <col min="18" max="19" width="18.85546875" bestFit="1" customWidth="1"/>
    <col min="20" max="20" width="16.7109375" bestFit="1" customWidth="1"/>
    <col min="21" max="21" width="17.85546875" bestFit="1" customWidth="1"/>
    <col min="22" max="22" width="18.85546875" bestFit="1" customWidth="1"/>
    <col min="23" max="23" width="16.7109375" bestFit="1" customWidth="1"/>
    <col min="24" max="24" width="17.85546875" bestFit="1" customWidth="1"/>
    <col min="25" max="25" width="18.85546875" bestFit="1" customWidth="1"/>
    <col min="26" max="26" width="17.85546875" bestFit="1" customWidth="1"/>
    <col min="27" max="27" width="18.85546875" bestFit="1" customWidth="1"/>
    <col min="28" max="29" width="17.85546875" bestFit="1" customWidth="1"/>
    <col min="30" max="30" width="16.7109375" bestFit="1" customWidth="1"/>
    <col min="31" max="31" width="17.85546875" bestFit="1" customWidth="1"/>
    <col min="32" max="34" width="18.85546875" bestFit="1" customWidth="1"/>
    <col min="35" max="35" width="11.140625" bestFit="1" customWidth="1"/>
    <col min="36" max="44" width="5.28515625" bestFit="1" customWidth="1"/>
    <col min="45" max="65" width="6.28515625" bestFit="1" customWidth="1"/>
    <col min="66" max="66" width="17.85546875" bestFit="1" customWidth="1"/>
    <col min="67" max="67" width="18.85546875" bestFit="1" customWidth="1"/>
    <col min="68" max="69" width="17.85546875" bestFit="1" customWidth="1"/>
    <col min="70" max="70" width="18.85546875" bestFit="1" customWidth="1"/>
    <col min="71" max="73" width="17.85546875" bestFit="1" customWidth="1"/>
    <col min="74" max="78" width="18.85546875" bestFit="1" customWidth="1"/>
    <col min="79" max="79" width="17.85546875" bestFit="1" customWidth="1"/>
    <col min="80" max="81" width="18.85546875" bestFit="1" customWidth="1"/>
    <col min="82" max="83" width="17.85546875" bestFit="1" customWidth="1"/>
    <col min="84" max="84" width="18.85546875" bestFit="1" customWidth="1"/>
    <col min="85" max="85" width="17.85546875" bestFit="1" customWidth="1"/>
    <col min="86" max="87" width="18.85546875" bestFit="1" customWidth="1"/>
    <col min="88" max="95" width="17.85546875" bestFit="1" customWidth="1"/>
    <col min="96" max="96" width="18.85546875" bestFit="1" customWidth="1"/>
    <col min="97" max="99" width="17.85546875" bestFit="1" customWidth="1"/>
    <col min="100" max="104" width="18.85546875" bestFit="1" customWidth="1"/>
    <col min="105" max="105" width="17.85546875" bestFit="1" customWidth="1"/>
    <col min="106" max="108" width="18.85546875" bestFit="1" customWidth="1"/>
    <col min="109" max="109" width="17.85546875" bestFit="1" customWidth="1"/>
    <col min="110" max="110" width="18.85546875" bestFit="1" customWidth="1"/>
    <col min="111" max="111" width="17.85546875" bestFit="1" customWidth="1"/>
    <col min="112" max="115" width="12" customWidth="1"/>
    <col min="116" max="116" width="12" bestFit="1" customWidth="1"/>
    <col min="117" max="132" width="12" customWidth="1"/>
  </cols>
  <sheetData>
    <row r="1" spans="1:17" x14ac:dyDescent="0.25">
      <c r="A1" t="s">
        <v>34</v>
      </c>
      <c r="B1" t="s">
        <v>36</v>
      </c>
      <c r="C1" t="s">
        <v>52</v>
      </c>
      <c r="D1" t="s">
        <v>33</v>
      </c>
      <c r="E1" t="s">
        <v>53</v>
      </c>
      <c r="F1" t="s">
        <v>35</v>
      </c>
      <c r="G1" t="s">
        <v>23</v>
      </c>
      <c r="H1" t="s">
        <v>31</v>
      </c>
      <c r="I1" t="s">
        <v>29</v>
      </c>
      <c r="J1" t="s">
        <v>28</v>
      </c>
      <c r="K1" t="s">
        <v>22</v>
      </c>
      <c r="L1" t="s">
        <v>25</v>
      </c>
      <c r="M1" t="s">
        <v>24</v>
      </c>
      <c r="N1" t="s">
        <v>32</v>
      </c>
      <c r="O1" t="s">
        <v>30</v>
      </c>
      <c r="P1" t="s">
        <v>27</v>
      </c>
      <c r="Q1" t="s">
        <v>26</v>
      </c>
    </row>
    <row r="2" spans="1:17" x14ac:dyDescent="0.25">
      <c r="A2">
        <v>171.05999755859375</v>
      </c>
      <c r="B2">
        <v>95.706588745117188</v>
      </c>
      <c r="C2">
        <v>58.493186950683594</v>
      </c>
      <c r="D2">
        <v>14.409999847412109</v>
      </c>
      <c r="E2">
        <v>106.14594268798828</v>
      </c>
      <c r="F2">
        <v>100.44211578369141</v>
      </c>
      <c r="G2">
        <v>77.263946533203125</v>
      </c>
      <c r="H2">
        <v>48.477451324462891</v>
      </c>
      <c r="I2">
        <v>83.52825927734375</v>
      </c>
      <c r="J2">
        <v>34.150505065917969</v>
      </c>
      <c r="K2">
        <v>98.017845153808594</v>
      </c>
      <c r="L2">
        <v>122.98849487304688</v>
      </c>
      <c r="M2">
        <v>73.914665222167969</v>
      </c>
      <c r="N2">
        <v>36.808063507080078</v>
      </c>
      <c r="O2">
        <v>69.984169006347656</v>
      </c>
      <c r="P2">
        <v>134.93370056152344</v>
      </c>
      <c r="Q2">
        <v>127.99939727783203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6A27-08F7-400C-B4AB-C5B8B84480E6}">
  <dimension ref="A1:R2"/>
  <sheetViews>
    <sheetView zoomScale="80" zoomScaleNormal="80" workbookViewId="0">
      <selection activeCell="E6" sqref="E6"/>
    </sheetView>
  </sheetViews>
  <sheetFormatPr defaultRowHeight="15" x14ac:dyDescent="0.25"/>
  <cols>
    <col min="1" max="1" width="10.5703125" bestFit="1" customWidth="1"/>
    <col min="2" max="3" width="13" bestFit="1" customWidth="1"/>
    <col min="4" max="4" width="13.42578125" bestFit="1" customWidth="1"/>
    <col min="5" max="5" width="14.140625" bestFit="1" customWidth="1"/>
    <col min="6" max="11" width="13" bestFit="1" customWidth="1"/>
    <col min="12" max="12" width="12" bestFit="1" customWidth="1"/>
    <col min="13" max="14" width="13" bestFit="1" customWidth="1"/>
    <col min="15" max="15" width="13.7109375" bestFit="1" customWidth="1"/>
    <col min="16" max="17" width="13" bestFit="1" customWidth="1"/>
    <col min="18" max="18" width="12.42578125" bestFit="1" customWidth="1"/>
    <col min="19" max="59" width="13" bestFit="1" customWidth="1"/>
    <col min="60" max="111" width="13" customWidth="1"/>
    <col min="112" max="113" width="13" bestFit="1" customWidth="1"/>
  </cols>
  <sheetData>
    <row r="1" spans="1:18" x14ac:dyDescent="0.25">
      <c r="A1" t="s">
        <v>0</v>
      </c>
      <c r="B1" t="s">
        <v>49</v>
      </c>
      <c r="C1" t="s">
        <v>51</v>
      </c>
      <c r="D1" t="s">
        <v>55</v>
      </c>
      <c r="E1" t="s">
        <v>48</v>
      </c>
      <c r="F1" t="s">
        <v>54</v>
      </c>
      <c r="G1" t="s">
        <v>50</v>
      </c>
      <c r="H1" t="s">
        <v>38</v>
      </c>
      <c r="I1" t="s">
        <v>46</v>
      </c>
      <c r="J1" t="s">
        <v>44</v>
      </c>
      <c r="K1" t="s">
        <v>43</v>
      </c>
      <c r="L1" t="s">
        <v>37</v>
      </c>
      <c r="M1" t="s">
        <v>40</v>
      </c>
      <c r="N1" t="s">
        <v>39</v>
      </c>
      <c r="O1" t="s">
        <v>47</v>
      </c>
      <c r="P1" t="s">
        <v>45</v>
      </c>
      <c r="Q1" t="s">
        <v>42</v>
      </c>
      <c r="R1" t="s">
        <v>41</v>
      </c>
    </row>
    <row r="2" spans="1:18" x14ac:dyDescent="0.25">
      <c r="A2" s="1">
        <v>45058</v>
      </c>
      <c r="B2">
        <v>170.46863065447127</v>
      </c>
      <c r="C2">
        <v>96.522958210536416</v>
      </c>
      <c r="D2">
        <v>59.324506895882742</v>
      </c>
      <c r="E2">
        <v>14.574168131465004</v>
      </c>
      <c r="F2">
        <v>107.16527044205438</v>
      </c>
      <c r="G2">
        <v>102.37426880427769</v>
      </c>
      <c r="H2">
        <v>77.942703065418058</v>
      </c>
      <c r="I2">
        <v>52.558949107215518</v>
      </c>
      <c r="J2">
        <v>83.875106584458123</v>
      </c>
      <c r="K2">
        <v>33.560264451163157</v>
      </c>
      <c r="L2">
        <v>96.781715302240286</v>
      </c>
      <c r="M2">
        <v>134.29327587854294</v>
      </c>
      <c r="N2">
        <v>72.832263083685007</v>
      </c>
      <c r="O2">
        <v>37.235401562282014</v>
      </c>
      <c r="P2">
        <v>67.810425009046284</v>
      </c>
      <c r="Q2">
        <v>130.6510754539853</v>
      </c>
      <c r="R2">
        <v>142.71815295446487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9B6796-649E-4AF1-BBE8-41F20ACC2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Trade Dashboard</vt:lpstr>
      <vt:lpstr>Momentum Matrix</vt:lpstr>
      <vt:lpstr>US_Sector_MOM</vt:lpstr>
      <vt:lpstr>US_Sector_Y</vt:lpstr>
      <vt:lpstr>US_Sector_SMA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Whiteside</dc:creator>
  <cp:lastModifiedBy>Monica Whiteside</cp:lastModifiedBy>
  <dcterms:created xsi:type="dcterms:W3CDTF">2023-03-10T17:52:55Z</dcterms:created>
  <dcterms:modified xsi:type="dcterms:W3CDTF">2023-05-14T11:33:08Z</dcterms:modified>
</cp:coreProperties>
</file>