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iff" ContentType="image/tiff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ink/ink1.xml" ContentType="application/inkml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ersonales\"/>
    </mc:Choice>
  </mc:AlternateContent>
  <xr:revisionPtr revIDLastSave="0" documentId="13_ncr:1_{F8868378-C9FF-4C78-B79E-072C561574A1}" xr6:coauthVersionLast="46" xr6:coauthVersionMax="46" xr10:uidLastSave="{00000000-0000-0000-0000-000000000000}"/>
  <bookViews>
    <workbookView xWindow="-110" yWindow="-110" windowWidth="19420" windowHeight="10420" activeTab="2" xr2:uid="{D25832F8-5CD3-B44E-8189-11BF300FC1BE}"/>
  </bookViews>
  <sheets>
    <sheet name="DMin" sheetId="1" r:id="rId1"/>
    <sheet name="Se " sheetId="4" r:id="rId2"/>
    <sheet name="bandas en V" sheetId="6" r:id="rId3"/>
  </sheets>
  <definedNames>
    <definedName name="LD_NSK">#REF!</definedName>
    <definedName name="LD_SKF">#REF!</definedName>
    <definedName name="LD_Timken">#REF!</definedName>
    <definedName name="NSK">#REF!</definedName>
    <definedName name="Pi">'bandas en V'!$B$7</definedName>
    <definedName name="Se">'Se '!$K$15</definedName>
    <definedName name="SKF">#REF!</definedName>
    <definedName name="Timken">#REF!</definedName>
    <definedName name="Tinken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6" i="6" l="1"/>
  <c r="V6" i="1" a="1"/>
  <c r="V6" i="1" s="1"/>
  <c r="U6" i="1" a="1"/>
  <c r="U6" i="1" s="1"/>
  <c r="T6" i="1"/>
  <c r="N6" i="1"/>
  <c r="O6" i="1"/>
  <c r="O8" i="1"/>
  <c r="O10" i="1"/>
  <c r="N13" i="1"/>
  <c r="O12" i="1"/>
  <c r="O14" i="1"/>
  <c r="N15" i="1"/>
  <c r="O16" i="1"/>
  <c r="B15" i="6"/>
  <c r="D18" i="1"/>
  <c r="N7" i="1"/>
  <c r="L6" i="1"/>
  <c r="L15" i="1"/>
  <c r="L17" i="1"/>
  <c r="D35" i="1"/>
  <c r="D23" i="1"/>
  <c r="N16" i="1" s="1"/>
  <c r="R15" i="4"/>
  <c r="P15" i="4"/>
  <c r="L36" i="4"/>
  <c r="B28" i="4"/>
  <c r="D30" i="1"/>
  <c r="O7" i="1" s="1"/>
  <c r="P13" i="1"/>
  <c r="P14" i="1"/>
  <c r="P15" i="1"/>
  <c r="P16" i="1"/>
  <c r="P17" i="1"/>
  <c r="L16" i="1"/>
  <c r="Q16" i="1" s="1"/>
  <c r="R6" i="1" l="1"/>
  <c r="R16" i="1"/>
  <c r="B115" i="6" l="1"/>
  <c r="B16" i="4"/>
  <c r="B15" i="4"/>
  <c r="B14" i="4"/>
  <c r="B19" i="4" s="1"/>
  <c r="B121" i="6"/>
  <c r="B120" i="6"/>
  <c r="B119" i="6"/>
  <c r="B114" i="6"/>
  <c r="B102" i="6"/>
  <c r="B105" i="6" s="1"/>
  <c r="B87" i="6"/>
  <c r="B88" i="6" s="1"/>
  <c r="B61" i="6"/>
  <c r="B35" i="6"/>
  <c r="I59" i="6"/>
  <c r="J59" i="6" s="1" a="1"/>
  <c r="J59" i="6" s="1"/>
  <c r="K59" i="6" s="1"/>
  <c r="L59" i="6" s="1"/>
  <c r="B10" i="6"/>
  <c r="T7" i="6"/>
  <c r="O6" i="6"/>
  <c r="I33" i="6" l="1"/>
  <c r="J33" i="6" s="1" a="1"/>
  <c r="J33" i="6" s="1"/>
  <c r="K33" i="6" s="1"/>
  <c r="L33" i="6" s="1"/>
  <c r="I14" i="6"/>
  <c r="J14" i="6" s="1" a="1"/>
  <c r="J14" i="6" s="1"/>
  <c r="K14" i="6" s="1"/>
  <c r="L14" i="6" s="1"/>
  <c r="I3" i="6"/>
  <c r="J3" i="6" s="1" a="1"/>
  <c r="J3" i="6" s="1"/>
  <c r="K3" i="6" s="1"/>
  <c r="L3" i="6" s="1"/>
  <c r="I6" i="6"/>
  <c r="J6" i="6" s="1" a="1"/>
  <c r="J6" i="6" s="1"/>
  <c r="K6" i="6" s="1"/>
  <c r="L6" i="6" s="1"/>
  <c r="I19" i="6"/>
  <c r="J19" i="6" s="1" a="1"/>
  <c r="J19" i="6" s="1"/>
  <c r="K19" i="6" s="1"/>
  <c r="L19" i="6" s="1"/>
  <c r="I24" i="6"/>
  <c r="J24" i="6" s="1" a="1"/>
  <c r="J24" i="6" s="1"/>
  <c r="K24" i="6" s="1"/>
  <c r="L24" i="6" s="1"/>
  <c r="I7" i="6"/>
  <c r="J7" i="6" s="1" a="1"/>
  <c r="J7" i="6" s="1"/>
  <c r="K7" i="6" s="1"/>
  <c r="L7" i="6" s="1"/>
  <c r="I36" i="6"/>
  <c r="J36" i="6" s="1" a="1"/>
  <c r="J36" i="6" s="1"/>
  <c r="K36" i="6" s="1"/>
  <c r="L36" i="6" s="1"/>
  <c r="I43" i="6"/>
  <c r="J43" i="6" s="1" a="1"/>
  <c r="J43" i="6" s="1"/>
  <c r="K43" i="6" s="1"/>
  <c r="L43" i="6" s="1"/>
  <c r="B62" i="6"/>
  <c r="I56" i="6"/>
  <c r="J56" i="6" s="1" a="1"/>
  <c r="J56" i="6" s="1"/>
  <c r="K56" i="6" s="1"/>
  <c r="L56" i="6" s="1"/>
  <c r="I11" i="6"/>
  <c r="J11" i="6" s="1" a="1"/>
  <c r="J11" i="6" s="1"/>
  <c r="K11" i="6" s="1"/>
  <c r="L11" i="6" s="1"/>
  <c r="I17" i="6"/>
  <c r="J17" i="6" s="1" a="1"/>
  <c r="J17" i="6" s="1"/>
  <c r="K17" i="6" s="1"/>
  <c r="L17" i="6" s="1"/>
  <c r="I21" i="6"/>
  <c r="J21" i="6" s="1" a="1"/>
  <c r="J21" i="6" s="1"/>
  <c r="K21" i="6" s="1"/>
  <c r="L21" i="6" s="1"/>
  <c r="I28" i="6"/>
  <c r="J28" i="6" s="1" a="1"/>
  <c r="J28" i="6" s="1"/>
  <c r="K28" i="6" s="1"/>
  <c r="L28" i="6" s="1"/>
  <c r="I34" i="6"/>
  <c r="J34" i="6" s="1" a="1"/>
  <c r="J34" i="6" s="1"/>
  <c r="K34" i="6" s="1"/>
  <c r="L34" i="6" s="1"/>
  <c r="I40" i="6"/>
  <c r="J40" i="6" s="1" a="1"/>
  <c r="J40" i="6" s="1"/>
  <c r="K40" i="6" s="1"/>
  <c r="L40" i="6" s="1"/>
  <c r="I47" i="6"/>
  <c r="J47" i="6" s="1" a="1"/>
  <c r="J47" i="6" s="1"/>
  <c r="K47" i="6" s="1"/>
  <c r="L47" i="6" s="1"/>
  <c r="I52" i="6"/>
  <c r="J52" i="6" s="1" a="1"/>
  <c r="J52" i="6" s="1"/>
  <c r="K52" i="6" s="1"/>
  <c r="L52" i="6" s="1"/>
  <c r="I60" i="6"/>
  <c r="J60" i="6" s="1" a="1"/>
  <c r="J60" i="6" s="1"/>
  <c r="K60" i="6" s="1"/>
  <c r="L60" i="6" s="1"/>
  <c r="I20" i="6"/>
  <c r="J20" i="6" s="1" a="1"/>
  <c r="J20" i="6" s="1"/>
  <c r="K20" i="6" s="1"/>
  <c r="L20" i="6" s="1"/>
  <c r="I26" i="6"/>
  <c r="J26" i="6" s="1" a="1"/>
  <c r="J26" i="6" s="1"/>
  <c r="K26" i="6" s="1"/>
  <c r="L26" i="6" s="1"/>
  <c r="I38" i="6"/>
  <c r="J38" i="6" s="1" a="1"/>
  <c r="J38" i="6" s="1"/>
  <c r="K38" i="6" s="1"/>
  <c r="L38" i="6" s="1"/>
  <c r="I45" i="6"/>
  <c r="J45" i="6" s="1" a="1"/>
  <c r="J45" i="6" s="1"/>
  <c r="K45" i="6" s="1"/>
  <c r="L45" i="6" s="1"/>
  <c r="I50" i="6"/>
  <c r="J50" i="6" s="1" a="1"/>
  <c r="J50" i="6" s="1"/>
  <c r="K50" i="6" s="1"/>
  <c r="L50" i="6" s="1"/>
  <c r="I57" i="6"/>
  <c r="J57" i="6" s="1" a="1"/>
  <c r="J57" i="6" s="1"/>
  <c r="K57" i="6" s="1"/>
  <c r="L57" i="6" s="1"/>
  <c r="I4" i="6"/>
  <c r="J4" i="6" s="1" a="1"/>
  <c r="J4" i="6" s="1"/>
  <c r="K4" i="6" s="1"/>
  <c r="L4" i="6" s="1"/>
  <c r="I8" i="6"/>
  <c r="J8" i="6" s="1" a="1"/>
  <c r="J8" i="6" s="1"/>
  <c r="K8" i="6" s="1"/>
  <c r="L8" i="6" s="1"/>
  <c r="I10" i="6"/>
  <c r="J10" i="6" s="1" a="1"/>
  <c r="J10" i="6" s="1"/>
  <c r="K10" i="6" s="1"/>
  <c r="L10" i="6" s="1"/>
  <c r="I12" i="6"/>
  <c r="J12" i="6" s="1" a="1"/>
  <c r="J12" i="6" s="1"/>
  <c r="K12" i="6" s="1"/>
  <c r="L12" i="6" s="1"/>
  <c r="I16" i="6"/>
  <c r="J16" i="6" s="1" a="1"/>
  <c r="J16" i="6" s="1"/>
  <c r="K16" i="6" s="1"/>
  <c r="L16" i="6" s="1"/>
  <c r="I18" i="6"/>
  <c r="J18" i="6" s="1" a="1"/>
  <c r="J18" i="6" s="1"/>
  <c r="K18" i="6" s="1"/>
  <c r="L18" i="6" s="1"/>
  <c r="I5" i="6"/>
  <c r="J5" i="6" s="1" a="1"/>
  <c r="J5" i="6" s="1"/>
  <c r="K5" i="6" s="1"/>
  <c r="L5" i="6" s="1"/>
  <c r="I9" i="6"/>
  <c r="J9" i="6" s="1" a="1"/>
  <c r="J9" i="6" s="1"/>
  <c r="K9" i="6" s="1"/>
  <c r="L9" i="6" s="1"/>
  <c r="I13" i="6"/>
  <c r="J13" i="6" s="1" a="1"/>
  <c r="J13" i="6" s="1"/>
  <c r="K13" i="6" s="1"/>
  <c r="L13" i="6" s="1"/>
  <c r="I15" i="6"/>
  <c r="J15" i="6" s="1" a="1"/>
  <c r="J15" i="6" s="1"/>
  <c r="K15" i="6" s="1"/>
  <c r="L15" i="6" s="1"/>
  <c r="I30" i="6"/>
  <c r="J30" i="6" s="1" a="1"/>
  <c r="J30" i="6" s="1"/>
  <c r="K30" i="6" s="1"/>
  <c r="L30" i="6" s="1"/>
  <c r="I42" i="6"/>
  <c r="J42" i="6" s="1" a="1"/>
  <c r="J42" i="6" s="1"/>
  <c r="K42" i="6" s="1"/>
  <c r="L42" i="6" s="1"/>
  <c r="I48" i="6"/>
  <c r="J48" i="6" s="1" a="1"/>
  <c r="J48" i="6" s="1"/>
  <c r="K48" i="6" s="1"/>
  <c r="L48" i="6" s="1"/>
  <c r="I54" i="6"/>
  <c r="J54" i="6" s="1" a="1"/>
  <c r="J54" i="6" s="1"/>
  <c r="K54" i="6" s="1"/>
  <c r="L54" i="6" s="1"/>
  <c r="B36" i="6"/>
  <c r="B104" i="6"/>
  <c r="B103" i="6"/>
  <c r="B106" i="6" s="1"/>
  <c r="I22" i="6"/>
  <c r="J22" i="6" s="1" a="1"/>
  <c r="J22" i="6" s="1"/>
  <c r="K22" i="6" s="1"/>
  <c r="L22" i="6" s="1"/>
  <c r="I31" i="6"/>
  <c r="J31" i="6" s="1" a="1"/>
  <c r="J31" i="6" s="1"/>
  <c r="K31" i="6" s="1"/>
  <c r="L31" i="6" s="1"/>
  <c r="I37" i="6"/>
  <c r="J37" i="6" s="1" a="1"/>
  <c r="J37" i="6" s="1"/>
  <c r="K37" i="6" s="1"/>
  <c r="L37" i="6" s="1"/>
  <c r="I39" i="6"/>
  <c r="J39" i="6" s="1" a="1"/>
  <c r="J39" i="6" s="1"/>
  <c r="K39" i="6" s="1"/>
  <c r="L39" i="6" s="1"/>
  <c r="I41" i="6"/>
  <c r="J41" i="6" s="1" a="1"/>
  <c r="J41" i="6" s="1"/>
  <c r="K41" i="6" s="1"/>
  <c r="L41" i="6" s="1"/>
  <c r="I44" i="6"/>
  <c r="J44" i="6" s="1" a="1"/>
  <c r="J44" i="6" s="1"/>
  <c r="K44" i="6" s="1"/>
  <c r="L44" i="6" s="1"/>
  <c r="I46" i="6"/>
  <c r="J46" i="6" s="1" a="1"/>
  <c r="J46" i="6" s="1"/>
  <c r="K46" i="6" s="1"/>
  <c r="L46" i="6" s="1"/>
  <c r="I49" i="6"/>
  <c r="J49" i="6" s="1" a="1"/>
  <c r="J49" i="6" s="1"/>
  <c r="K49" i="6" s="1"/>
  <c r="L49" i="6" s="1"/>
  <c r="I51" i="6"/>
  <c r="J51" i="6" s="1" a="1"/>
  <c r="J51" i="6" s="1"/>
  <c r="K51" i="6" s="1"/>
  <c r="L51" i="6" s="1"/>
  <c r="I53" i="6"/>
  <c r="J53" i="6" s="1" a="1"/>
  <c r="J53" i="6" s="1"/>
  <c r="K53" i="6" s="1"/>
  <c r="L53" i="6" s="1"/>
  <c r="I55" i="6"/>
  <c r="J55" i="6" s="1" a="1"/>
  <c r="J55" i="6" s="1"/>
  <c r="K55" i="6" s="1"/>
  <c r="L55" i="6" s="1"/>
  <c r="I58" i="6"/>
  <c r="J58" i="6" s="1" a="1"/>
  <c r="J58" i="6" s="1"/>
  <c r="K58" i="6" s="1"/>
  <c r="L58" i="6" s="1"/>
  <c r="I23" i="6"/>
  <c r="J23" i="6" s="1" a="1"/>
  <c r="J23" i="6" s="1"/>
  <c r="K23" i="6" s="1"/>
  <c r="L23" i="6" s="1"/>
  <c r="I25" i="6"/>
  <c r="J25" i="6" s="1" a="1"/>
  <c r="J25" i="6" s="1"/>
  <c r="K25" i="6" s="1"/>
  <c r="L25" i="6" s="1"/>
  <c r="I27" i="6"/>
  <c r="J27" i="6" s="1" a="1"/>
  <c r="J27" i="6" s="1"/>
  <c r="K27" i="6" s="1"/>
  <c r="L27" i="6" s="1"/>
  <c r="I29" i="6"/>
  <c r="J29" i="6" s="1" a="1"/>
  <c r="J29" i="6" s="1"/>
  <c r="K29" i="6" s="1"/>
  <c r="L29" i="6" s="1"/>
  <c r="I32" i="6"/>
  <c r="J32" i="6" s="1" a="1"/>
  <c r="J32" i="6" s="1"/>
  <c r="K32" i="6" s="1"/>
  <c r="L32" i="6" s="1"/>
  <c r="I35" i="6"/>
  <c r="J35" i="6" s="1" a="1"/>
  <c r="J35" i="6" s="1"/>
  <c r="K35" i="6" s="1"/>
  <c r="L35" i="6" s="1"/>
  <c r="O12" i="6" l="1" a="1"/>
  <c r="O12" i="6" s="1"/>
  <c r="B45" i="6" s="1"/>
  <c r="O15" i="6" a="1"/>
  <c r="O15" i="6" s="1"/>
  <c r="B73" i="6" s="1"/>
  <c r="B94" i="6" s="1"/>
  <c r="O9" i="6" a="1"/>
  <c r="O9" i="6" s="1"/>
  <c r="B117" i="6"/>
  <c r="B107" i="6"/>
  <c r="Q9" i="6" l="1"/>
  <c r="B20" i="6" a="1"/>
  <c r="B20" i="6" s="1"/>
  <c r="B41" i="6" s="1"/>
  <c r="Q12" i="6"/>
  <c r="B47" i="6"/>
  <c r="B68" i="6" s="1"/>
  <c r="Q15" i="6"/>
  <c r="B71" i="6"/>
  <c r="B46" i="6"/>
  <c r="V5" i="6" s="1"/>
  <c r="B72" i="6"/>
  <c r="B93" i="6" s="1"/>
  <c r="B19" i="6" a="1"/>
  <c r="B19" i="6" s="1"/>
  <c r="B21" i="6"/>
  <c r="B42" i="6" s="1"/>
  <c r="B108" i="6"/>
  <c r="B109" i="6"/>
  <c r="B118" i="6"/>
  <c r="B56" i="6"/>
  <c r="B66" i="6"/>
  <c r="B67" i="6" l="1"/>
  <c r="B76" i="6"/>
  <c r="B77" i="6" s="1"/>
  <c r="B78" i="6" s="1"/>
  <c r="B79" i="6" s="1"/>
  <c r="T5" i="6"/>
  <c r="U5" i="6" s="1"/>
  <c r="T6" i="6"/>
  <c r="B50" i="6"/>
  <c r="B51" i="6" s="1"/>
  <c r="B64" i="6" s="1"/>
  <c r="V7" i="6"/>
  <c r="U7" i="6" s="1"/>
  <c r="B82" i="6"/>
  <c r="B92" i="6"/>
  <c r="V6" i="6"/>
  <c r="B24" i="6"/>
  <c r="B25" i="6" s="1"/>
  <c r="B38" i="6" s="1"/>
  <c r="V4" i="6"/>
  <c r="T4" i="6"/>
  <c r="B30" i="6"/>
  <c r="B40" i="6"/>
  <c r="B90" i="6" l="1"/>
  <c r="U6" i="6"/>
  <c r="B52" i="6"/>
  <c r="B53" i="6" s="1"/>
  <c r="B65" i="6" s="1"/>
  <c r="U4" i="6"/>
  <c r="B26" i="6"/>
  <c r="B27" i="6" s="1"/>
  <c r="B28" i="6" s="1"/>
  <c r="B91" i="6"/>
  <c r="B80" i="6"/>
  <c r="B81" i="6"/>
  <c r="B54" i="6" l="1"/>
  <c r="B55" i="6"/>
  <c r="B29" i="6"/>
  <c r="B39" i="6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5" i="1"/>
  <c r="X26" i="1"/>
  <c r="X27" i="1"/>
  <c r="X24" i="1"/>
  <c r="X23" i="1"/>
  <c r="X22" i="1"/>
  <c r="X21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X3" i="1"/>
  <c r="B40" i="4" a="1"/>
  <c r="B40" i="4" s="1"/>
  <c r="N15" i="4" s="1"/>
  <c r="B31" i="4"/>
  <c r="B30" i="4"/>
  <c r="B29" i="4"/>
  <c r="B34" i="4"/>
  <c r="L15" i="4"/>
  <c r="P6" i="1"/>
  <c r="S6" i="1" s="1"/>
  <c r="P8" i="1"/>
  <c r="P9" i="1"/>
  <c r="P10" i="1"/>
  <c r="P11" i="1"/>
  <c r="P12" i="1"/>
  <c r="P7" i="1"/>
  <c r="D22" i="1"/>
  <c r="N14" i="1" s="1"/>
  <c r="D34" i="1"/>
  <c r="O15" i="1" s="1"/>
  <c r="M15" i="4" l="1"/>
  <c r="K15" i="4" s="1"/>
  <c r="P10" i="4" s="1"/>
  <c r="L7" i="1"/>
  <c r="Q7" i="1" s="1"/>
  <c r="L8" i="1"/>
  <c r="Q8" i="1" s="1"/>
  <c r="L9" i="1"/>
  <c r="Q9" i="1" s="1"/>
  <c r="L10" i="1"/>
  <c r="Q10" i="1" s="1"/>
  <c r="L11" i="1"/>
  <c r="Q11" i="1" s="1"/>
  <c r="L12" i="1"/>
  <c r="Q12" i="1" s="1"/>
  <c r="L13" i="1"/>
  <c r="L14" i="1"/>
  <c r="D33" i="1"/>
  <c r="O13" i="1" s="1"/>
  <c r="D32" i="1"/>
  <c r="O11" i="1" s="1"/>
  <c r="D31" i="1"/>
  <c r="O9" i="1" s="1"/>
  <c r="S16" i="1" l="1"/>
  <c r="T16" i="1" s="1"/>
  <c r="Q15" i="1"/>
  <c r="R15" i="1"/>
  <c r="S15" i="1"/>
  <c r="Q14" i="1"/>
  <c r="S14" i="1" s="1"/>
  <c r="R14" i="1"/>
  <c r="Q13" i="1"/>
  <c r="S13" i="1" s="1"/>
  <c r="R13" i="1"/>
  <c r="S12" i="1"/>
  <c r="S11" i="1"/>
  <c r="S9" i="1"/>
  <c r="R7" i="1"/>
  <c r="S7" i="1"/>
  <c r="T7" i="1" s="1"/>
  <c r="T13" i="1" l="1"/>
  <c r="V13" i="1" s="1" a="1"/>
  <c r="V13" i="1" s="1"/>
  <c r="T15" i="1"/>
  <c r="V15" i="1" s="1" a="1"/>
  <c r="V15" i="1" s="1"/>
  <c r="T14" i="1"/>
  <c r="U14" i="1" s="1" a="1"/>
  <c r="U14" i="1" s="1"/>
  <c r="V16" i="1" a="1"/>
  <c r="V16" i="1" s="1"/>
  <c r="U16" i="1" a="1"/>
  <c r="U16" i="1" s="1"/>
  <c r="S10" i="1"/>
  <c r="S8" i="1"/>
  <c r="V7" i="1" a="1"/>
  <c r="V7" i="1" s="1"/>
  <c r="U7" i="1" a="1"/>
  <c r="U7" i="1" s="1"/>
  <c r="D19" i="1"/>
  <c r="N9" i="1" s="1"/>
  <c r="D20" i="1"/>
  <c r="D21" i="1"/>
  <c r="N12" i="1" s="1"/>
  <c r="U13" i="1" l="1" a="1"/>
  <c r="U13" i="1" s="1"/>
  <c r="U15" i="1" a="1"/>
  <c r="U15" i="1" s="1"/>
  <c r="N10" i="1"/>
  <c r="R10" i="1" s="1"/>
  <c r="T10" i="1" s="1"/>
  <c r="N11" i="1"/>
  <c r="R11" i="1" s="1"/>
  <c r="T11" i="1" s="1"/>
  <c r="V14" i="1" a="1"/>
  <c r="V14" i="1" s="1"/>
  <c r="R12" i="1"/>
  <c r="T12" i="1" s="1"/>
  <c r="N8" i="1"/>
  <c r="R8" i="1" s="1"/>
  <c r="T8" i="1" s="1"/>
  <c r="U8" i="1" s="1" a="1"/>
  <c r="U8" i="1" s="1"/>
  <c r="R9" i="1"/>
  <c r="T9" i="1" s="1"/>
  <c r="V8" i="1" l="1" a="1"/>
  <c r="V8" i="1" s="1"/>
  <c r="V10" i="1" a="1"/>
  <c r="V10" i="1" s="1"/>
  <c r="U10" i="1" a="1"/>
  <c r="U10" i="1" s="1"/>
  <c r="U9" i="1" a="1"/>
  <c r="U9" i="1" s="1"/>
  <c r="V9" i="1" a="1"/>
  <c r="V9" i="1" s="1"/>
  <c r="U11" i="1" a="1"/>
  <c r="U11" i="1" s="1"/>
  <c r="V11" i="1" a="1"/>
  <c r="V11" i="1" s="1"/>
  <c r="U12" i="1" a="1"/>
  <c r="U12" i="1" s="1"/>
  <c r="V12" i="1" a="1"/>
  <c r="V12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armando cervantes</author>
  </authors>
  <commentList>
    <comment ref="B14" authorId="0" shapeId="0" xr:uid="{5BB94082-F905-224C-9E0D-E01C34CE2AB0}">
      <text>
        <r>
          <rPr>
            <b/>
            <sz val="10"/>
            <color rgb="FF000000"/>
            <rFont val="Tahoma"/>
            <family val="2"/>
          </rPr>
          <t>Alexia cervantes: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si no dan info suponemos que es MAQUINADO</t>
        </r>
      </text>
    </comment>
    <comment ref="C25" authorId="0" shapeId="0" xr:uid="{3761371D-02CA-6044-8D72-CC0B09A31135}">
      <text>
        <r>
          <rPr>
            <b/>
            <sz val="10"/>
            <color rgb="FF000000"/>
            <rFont val="Tahoma"/>
            <family val="2"/>
          </rPr>
          <t>Alexia cervantes: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1=in
</t>
        </r>
        <r>
          <rPr>
            <sz val="10"/>
            <color rgb="FF000000"/>
            <rFont val="Tahoma"/>
            <family val="2"/>
          </rPr>
          <t>2=mm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<sst xmlns="http://schemas.openxmlformats.org/spreadsheetml/2006/main" count="355" uniqueCount="182">
  <si>
    <t>Para un eje ANSI ASME</t>
  </si>
  <si>
    <t>paso 1</t>
  </si>
  <si>
    <t xml:space="preserve">resultantes </t>
  </si>
  <si>
    <t>calculo de reultantes</t>
  </si>
  <si>
    <t>plano horizontal</t>
  </si>
  <si>
    <t>plano vertical</t>
  </si>
  <si>
    <t>resultado</t>
  </si>
  <si>
    <t>fuerza</t>
  </si>
  <si>
    <t>A</t>
  </si>
  <si>
    <t>B</t>
  </si>
  <si>
    <t>C</t>
  </si>
  <si>
    <t>D</t>
  </si>
  <si>
    <t>E</t>
  </si>
  <si>
    <t>Calculo de momentos</t>
  </si>
  <si>
    <t>momento</t>
  </si>
  <si>
    <t>paso 2</t>
  </si>
  <si>
    <t>resultantes</t>
  </si>
  <si>
    <t>kt</t>
  </si>
  <si>
    <t>Si existen más de 1 kt, se toma la más grande</t>
  </si>
  <si>
    <t>Iz=</t>
  </si>
  <si>
    <t>De=</t>
  </si>
  <si>
    <t>D1</t>
  </si>
  <si>
    <t>condsiderar que los los extremos no se consideran esos diametros</t>
  </si>
  <si>
    <t>diametro</t>
  </si>
  <si>
    <t>kt definitivo</t>
  </si>
  <si>
    <t>V</t>
  </si>
  <si>
    <t>M</t>
  </si>
  <si>
    <t>T</t>
  </si>
  <si>
    <t>Datos</t>
  </si>
  <si>
    <t>hp</t>
  </si>
  <si>
    <t>rpm</t>
  </si>
  <si>
    <t>in</t>
  </si>
  <si>
    <t>PSI</t>
  </si>
  <si>
    <t>Potencia=</t>
  </si>
  <si>
    <t>velocidad=</t>
  </si>
  <si>
    <t>largo=</t>
  </si>
  <si>
    <t>Sy=</t>
  </si>
  <si>
    <t>Su=</t>
  </si>
  <si>
    <t>Se=</t>
  </si>
  <si>
    <t>n_D=</t>
  </si>
  <si>
    <t>confiabilidad=</t>
  </si>
  <si>
    <t>ANSI ASME B1061</t>
  </si>
  <si>
    <t>Potencia</t>
  </si>
  <si>
    <t>si</t>
  </si>
  <si>
    <t>no</t>
  </si>
  <si>
    <t xml:space="preserve">resistencia a la tension </t>
  </si>
  <si>
    <t>resitencia a la fluencia</t>
  </si>
  <si>
    <t>Sut</t>
  </si>
  <si>
    <t>Sy</t>
  </si>
  <si>
    <t xml:space="preserve">limite a la fatiga </t>
  </si>
  <si>
    <t>factor supercial (ka)</t>
  </si>
  <si>
    <t>unidades</t>
  </si>
  <si>
    <t xml:space="preserve">ka </t>
  </si>
  <si>
    <t>kb</t>
  </si>
  <si>
    <t>kc</t>
  </si>
  <si>
    <t>kd</t>
  </si>
  <si>
    <t>ke</t>
  </si>
  <si>
    <t>kf</t>
  </si>
  <si>
    <t>Se'</t>
  </si>
  <si>
    <t>KPSI</t>
  </si>
  <si>
    <t>Ka=</t>
  </si>
  <si>
    <t>factor de temperatura   (kd)</t>
  </si>
  <si>
    <t>factor de tamaño (kb)</t>
  </si>
  <si>
    <t xml:space="preserve">longitud del eje </t>
  </si>
  <si>
    <t xml:space="preserve">eje propuesto </t>
  </si>
  <si>
    <t>kb1</t>
  </si>
  <si>
    <t>kb2</t>
  </si>
  <si>
    <t>kb3</t>
  </si>
  <si>
    <t>kb4</t>
  </si>
  <si>
    <t>factor de confiabilidad (ke)</t>
  </si>
  <si>
    <t>confiabilidad</t>
  </si>
  <si>
    <t>confia %</t>
  </si>
  <si>
    <t>ke=</t>
  </si>
  <si>
    <t>factor de tipo de carga (kc)</t>
  </si>
  <si>
    <t>tipo de carga</t>
  </si>
  <si>
    <t>factor=</t>
  </si>
  <si>
    <t>flexion</t>
  </si>
  <si>
    <t>axial</t>
  </si>
  <si>
    <t>torsion</t>
  </si>
  <si>
    <t>factor de efectos varios  (kf)</t>
  </si>
  <si>
    <t>D real</t>
  </si>
  <si>
    <t>F</t>
  </si>
  <si>
    <t>fracciones de pulgada</t>
  </si>
  <si>
    <t>decimas de pulgada</t>
  </si>
  <si>
    <t>D aproximado fraccion de pulgada</t>
  </si>
  <si>
    <t>D aproximado decimas de pulgada</t>
  </si>
  <si>
    <t>este valor es propuesto porque esta a la mitad</t>
  </si>
  <si>
    <t>datos pedidos</t>
  </si>
  <si>
    <t>d1</t>
  </si>
  <si>
    <t>d1*R.V.</t>
  </si>
  <si>
    <t>d2 real</t>
  </si>
  <si>
    <t>R.V.=d2/d1</t>
  </si>
  <si>
    <t>n2=n1/R.V.*</t>
  </si>
  <si>
    <t>datos que no van a cambiar</t>
  </si>
  <si>
    <t>3V</t>
  </si>
  <si>
    <t>1750 RPM</t>
  </si>
  <si>
    <t>1160 RPM</t>
  </si>
  <si>
    <t>870 RPM</t>
  </si>
  <si>
    <t>d2 &lt;</t>
  </si>
  <si>
    <t>c</t>
  </si>
  <si>
    <t>&lt; 3 * ( d1 + d2 )</t>
  </si>
  <si>
    <t>calculados</t>
  </si>
  <si>
    <t>para v3</t>
  </si>
  <si>
    <t>para v5</t>
  </si>
  <si>
    <t>valor a aproximar</t>
  </si>
  <si>
    <t>para v8</t>
  </si>
  <si>
    <t>Valor de pi</t>
  </si>
  <si>
    <t>manual</t>
  </si>
  <si>
    <t>Potencia in</t>
  </si>
  <si>
    <t>Factor de Servicio</t>
  </si>
  <si>
    <t>valor más proximo 3V</t>
  </si>
  <si>
    <t>Porcentaje de tolerancia</t>
  </si>
  <si>
    <t>Potencia de diseño</t>
  </si>
  <si>
    <t>Datos de la banda</t>
  </si>
  <si>
    <t>5V</t>
  </si>
  <si>
    <t>velocidad de entrada</t>
  </si>
  <si>
    <t>valor más proximo 5V</t>
  </si>
  <si>
    <t>velocidad nominal salida</t>
  </si>
  <si>
    <t>diametro 1    d1=</t>
  </si>
  <si>
    <t>valor más proximo 8V</t>
  </si>
  <si>
    <t>relacion de velocidad</t>
  </si>
  <si>
    <t>PARA 3V</t>
  </si>
  <si>
    <t>d1=</t>
  </si>
  <si>
    <t>d2=</t>
  </si>
  <si>
    <t>n2=</t>
  </si>
  <si>
    <t>proponemos valor de C</t>
  </si>
  <si>
    <t>C=</t>
  </si>
  <si>
    <t>longitudes standard in</t>
  </si>
  <si>
    <t>L (aproximada) =</t>
  </si>
  <si>
    <t>8V</t>
  </si>
  <si>
    <t>L propuesta=</t>
  </si>
  <si>
    <t>B=</t>
  </si>
  <si>
    <t>𝜃1=</t>
  </si>
  <si>
    <t>&gt; 120º</t>
  </si>
  <si>
    <t>𝜃2=</t>
  </si>
  <si>
    <t>&gt; 180º</t>
  </si>
  <si>
    <t>R.V Real=</t>
  </si>
  <si>
    <t>corrección por ángulo=</t>
  </si>
  <si>
    <t>corrección por longitud=</t>
  </si>
  <si>
    <t>Potencia nominal=</t>
  </si>
  <si>
    <t>potencia agregada=</t>
  </si>
  <si>
    <t>Potencia corregida=</t>
  </si>
  <si>
    <t># de bandas encesarias=</t>
  </si>
  <si>
    <t>RESULTADOS</t>
  </si>
  <si>
    <t>L=</t>
  </si>
  <si>
    <t>PARA 5V</t>
  </si>
  <si>
    <t>690 RPM</t>
  </si>
  <si>
    <t>PARA 8V</t>
  </si>
  <si>
    <t>MANUAL</t>
  </si>
  <si>
    <t>recordar que viene una recomendación en la tabla "C"</t>
  </si>
  <si>
    <t>Considerar que se debe elegir la banda adecuada para el calculo</t>
  </si>
  <si>
    <t>L (aproximada V3, V5 o V8) =</t>
  </si>
  <si>
    <t>L propuesta V3=</t>
  </si>
  <si>
    <t>L propuesta V5=</t>
  </si>
  <si>
    <t>L propuesta V8=</t>
  </si>
  <si>
    <t>Exponente b</t>
  </si>
  <si>
    <t>Factor a</t>
  </si>
  <si>
    <t>Sut kpsi</t>
  </si>
  <si>
    <t>Sut Mpa</t>
  </si>
  <si>
    <t>esmerilado</t>
  </si>
  <si>
    <t>maquinado</t>
  </si>
  <si>
    <t>laminado</t>
  </si>
  <si>
    <t>forja</t>
  </si>
  <si>
    <t>kpsi</t>
  </si>
  <si>
    <t>factor superficial</t>
  </si>
  <si>
    <t>b=</t>
  </si>
  <si>
    <t xml:space="preserve"> kpsi a=</t>
  </si>
  <si>
    <t xml:space="preserve"> MPa a=</t>
  </si>
  <si>
    <t>X</t>
  </si>
  <si>
    <t>l</t>
  </si>
  <si>
    <t>l l</t>
  </si>
  <si>
    <t>Motor/Polea</t>
  </si>
  <si>
    <t>2mts</t>
  </si>
  <si>
    <t>154MPa</t>
  </si>
  <si>
    <t>231MPa</t>
  </si>
  <si>
    <t>D2</t>
  </si>
  <si>
    <t>D3</t>
  </si>
  <si>
    <t>D ec corta</t>
  </si>
  <si>
    <t>D ec larga</t>
  </si>
  <si>
    <t>Para Calcular resultantes en Z (N)</t>
  </si>
  <si>
    <t>Para calcular resultantesn Y (N)</t>
  </si>
  <si>
    <t>[Lb]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</si>
</sst>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0.000"/>
    <numFmt numFmtId="165" formatCode="0.00000"/>
    <numFmt numFmtId="166" formatCode="0.0"/>
    <numFmt numFmtId="167" formatCode="0.0000"/>
    <numFmt numFmtId="168" formatCode="_-* #,##0.000000000_-;\-* #,##0.000000000_-;_-* &quot;-&quot;??_-;_-@_-"/>
    <numFmt numFmtId="169" formatCode="_-* #,##0.000_-;\-* #,##0.000_-;_-* &quot;-&quot;??_-;_-@_-"/>
  </numFmts>
  <fonts count="1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9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sz val="11"/>
      <color rgb="FFFF0000"/>
      <name val="Calibri"/>
      <family val="2"/>
      <scheme val="minor"/>
    </font>
    <font>
      <sz val="4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rgb="FFFF0000"/>
      <name val="Calibri"/>
      <family val="2"/>
      <scheme val="minor"/>
    </font>
    <font>
      <sz val="12"/>
      <color theme="7" tint="0.59999389629810485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7BCF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7E6E6"/>
        <bgColor rgb="FF000000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A81FF"/>
        <bgColor indexed="64"/>
      </patternFill>
    </fill>
    <fill>
      <patternFill patternType="solid">
        <fgColor rgb="FF73FEFF"/>
        <bgColor indexed="64"/>
      </patternFill>
    </fill>
    <fill>
      <patternFill patternType="solid">
        <fgColor rgb="FF73FB79"/>
        <bgColor indexed="64"/>
      </patternFill>
    </fill>
    <fill>
      <patternFill patternType="solid">
        <fgColor rgb="FFFF7E79"/>
        <bgColor indexed="64"/>
      </patternFill>
    </fill>
    <fill>
      <patternFill patternType="solid">
        <fgColor rgb="FFFFD579"/>
        <bgColor indexed="64"/>
      </patternFill>
    </fill>
    <fill>
      <patternFill patternType="solid">
        <fgColor rgb="FFD5FC7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499984740745262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rgb="FF99CCFF"/>
      </right>
      <top style="medium">
        <color rgb="FF99CCFF"/>
      </top>
      <bottom style="thin">
        <color rgb="FF99CCFF"/>
      </bottom>
      <diagonal/>
    </border>
    <border>
      <left/>
      <right/>
      <top style="medium">
        <color rgb="FF99CCFF"/>
      </top>
      <bottom style="thin">
        <color rgb="FF99CCFF"/>
      </bottom>
      <diagonal/>
    </border>
    <border>
      <left/>
      <right style="medium">
        <color rgb="FF99CCFF"/>
      </right>
      <top style="medium">
        <color rgb="FF99CCFF"/>
      </top>
      <bottom style="thin">
        <color rgb="FF99CCFF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rgb="FF99CCFF"/>
      </right>
      <top/>
      <bottom style="medium">
        <color rgb="FF99CCFF"/>
      </bottom>
      <diagonal/>
    </border>
    <border>
      <left/>
      <right/>
      <top/>
      <bottom style="medium">
        <color rgb="FF99CCFF"/>
      </bottom>
      <diagonal/>
    </border>
    <border>
      <left/>
      <right style="medium">
        <color rgb="FF99CCFF"/>
      </right>
      <top/>
      <bottom style="medium">
        <color rgb="FF99CCFF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</cellStyleXfs>
  <cellXfs count="141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0" borderId="0" xfId="0" applyAlignment="1">
      <alignment horizontal="center"/>
    </xf>
    <xf numFmtId="0" fontId="0" fillId="4" borderId="1" xfId="0" applyFill="1" applyBorder="1"/>
    <xf numFmtId="0" fontId="0" fillId="5" borderId="0" xfId="0" applyFill="1"/>
    <xf numFmtId="0" fontId="0" fillId="2" borderId="1" xfId="0" applyFill="1" applyBorder="1" applyAlignment="1">
      <alignment vertical="center"/>
    </xf>
    <xf numFmtId="0" fontId="0" fillId="0" borderId="0" xfId="0" applyFont="1" applyFill="1" applyAlignment="1">
      <alignment wrapText="1"/>
    </xf>
    <xf numFmtId="0" fontId="0" fillId="4" borderId="0" xfId="0" applyFill="1"/>
    <xf numFmtId="2" fontId="0" fillId="4" borderId="0" xfId="0" applyNumberFormat="1" applyFill="1"/>
    <xf numFmtId="0" fontId="0" fillId="0" borderId="0" xfId="0" applyAlignment="1">
      <alignment horizontal="right"/>
    </xf>
    <xf numFmtId="43" fontId="0" fillId="2" borderId="0" xfId="1" applyFont="1" applyFill="1" applyAlignment="1">
      <alignment horizontal="center"/>
    </xf>
    <xf numFmtId="9" fontId="0" fillId="2" borderId="0" xfId="1" applyNumberFormat="1" applyFont="1" applyFill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ill="1" applyBorder="1"/>
    <xf numFmtId="0" fontId="0" fillId="0" borderId="0" xfId="0" quotePrefix="1"/>
    <xf numFmtId="0" fontId="4" fillId="0" borderId="0" xfId="3"/>
    <xf numFmtId="0" fontId="4" fillId="0" borderId="1" xfId="3" applyBorder="1"/>
    <xf numFmtId="0" fontId="4" fillId="6" borderId="1" xfId="3" applyFill="1" applyBorder="1"/>
    <xf numFmtId="0" fontId="4" fillId="0" borderId="5" xfId="3" applyBorder="1"/>
    <xf numFmtId="0" fontId="4" fillId="6" borderId="0" xfId="3" applyFill="1"/>
    <xf numFmtId="0" fontId="4" fillId="0" borderId="1" xfId="3" applyBorder="1" applyAlignment="1">
      <alignment horizontal="center"/>
    </xf>
    <xf numFmtId="0" fontId="4" fillId="0" borderId="9" xfId="3" applyBorder="1"/>
    <xf numFmtId="0" fontId="4" fillId="0" borderId="10" xfId="3" applyBorder="1"/>
    <xf numFmtId="0" fontId="4" fillId="0" borderId="11" xfId="3" applyBorder="1"/>
    <xf numFmtId="0" fontId="4" fillId="0" borderId="12" xfId="3" applyBorder="1"/>
    <xf numFmtId="0" fontId="4" fillId="0" borderId="14" xfId="3" applyBorder="1"/>
    <xf numFmtId="0" fontId="4" fillId="0" borderId="12" xfId="3" applyBorder="1" applyAlignment="1">
      <alignment horizontal="right"/>
    </xf>
    <xf numFmtId="0" fontId="4" fillId="9" borderId="0" xfId="3" applyFill="1"/>
    <xf numFmtId="0" fontId="7" fillId="0" borderId="12" xfId="3" applyFont="1" applyBorder="1"/>
    <xf numFmtId="0" fontId="7" fillId="0" borderId="0" xfId="3" applyFont="1"/>
    <xf numFmtId="0" fontId="7" fillId="0" borderId="5" xfId="3" applyFont="1" applyBorder="1"/>
    <xf numFmtId="0" fontId="4" fillId="0" borderId="17" xfId="3" applyBorder="1"/>
    <xf numFmtId="0" fontId="4" fillId="0" borderId="18" xfId="3" applyBorder="1"/>
    <xf numFmtId="0" fontId="4" fillId="0" borderId="19" xfId="3" applyBorder="1"/>
    <xf numFmtId="0" fontId="7" fillId="0" borderId="0" xfId="3" applyFont="1" applyAlignment="1">
      <alignment horizontal="center"/>
    </xf>
    <xf numFmtId="0" fontId="4" fillId="0" borderId="0" xfId="3" applyAlignment="1">
      <alignment horizontal="right"/>
    </xf>
    <xf numFmtId="0" fontId="4" fillId="0" borderId="0" xfId="3" quotePrefix="1"/>
    <xf numFmtId="0" fontId="7" fillId="0" borderId="17" xfId="3" applyFont="1" applyBorder="1"/>
    <xf numFmtId="0" fontId="7" fillId="0" borderId="18" xfId="3" applyFont="1" applyBorder="1"/>
    <xf numFmtId="0" fontId="7" fillId="0" borderId="19" xfId="3" applyFont="1" applyBorder="1"/>
    <xf numFmtId="0" fontId="4" fillId="0" borderId="0" xfId="3" applyAlignment="1">
      <alignment horizontal="center"/>
    </xf>
    <xf numFmtId="0" fontId="4" fillId="0" borderId="12" xfId="3" applyBorder="1" applyAlignment="1">
      <alignment horizontal="center"/>
    </xf>
    <xf numFmtId="0" fontId="0" fillId="3" borderId="0" xfId="0" applyFill="1"/>
    <xf numFmtId="0" fontId="0" fillId="3" borderId="1" xfId="0" applyFill="1" applyBorder="1"/>
    <xf numFmtId="0" fontId="0" fillId="3" borderId="1" xfId="0" quotePrefix="1" applyFill="1" applyBorder="1"/>
    <xf numFmtId="165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43" fontId="4" fillId="6" borderId="1" xfId="1" applyFont="1" applyFill="1" applyBorder="1"/>
    <xf numFmtId="43" fontId="4" fillId="6" borderId="15" xfId="1" applyFont="1" applyFill="1" applyBorder="1"/>
    <xf numFmtId="0" fontId="4" fillId="0" borderId="1" xfId="3" applyFill="1" applyBorder="1"/>
    <xf numFmtId="166" fontId="0" fillId="0" borderId="0" xfId="0" applyNumberFormat="1"/>
    <xf numFmtId="2" fontId="0" fillId="0" borderId="0" xfId="0" applyNumberFormat="1"/>
    <xf numFmtId="164" fontId="0" fillId="0" borderId="0" xfId="0" applyNumberFormat="1"/>
    <xf numFmtId="164" fontId="0" fillId="4" borderId="0" xfId="0" applyNumberFormat="1" applyFill="1"/>
    <xf numFmtId="167" fontId="0" fillId="4" borderId="1" xfId="0" applyNumberFormat="1" applyFill="1" applyBorder="1"/>
    <xf numFmtId="164" fontId="0" fillId="4" borderId="1" xfId="0" applyNumberFormat="1" applyFill="1" applyBorder="1"/>
    <xf numFmtId="0" fontId="0" fillId="2" borderId="0" xfId="0" applyFill="1"/>
    <xf numFmtId="0" fontId="0" fillId="11" borderId="1" xfId="0" applyFill="1" applyBorder="1" applyAlignment="1">
      <alignment horizontal="center"/>
    </xf>
    <xf numFmtId="0" fontId="0" fillId="15" borderId="21" xfId="0" applyFill="1" applyBorder="1"/>
    <xf numFmtId="0" fontId="0" fillId="0" borderId="1" xfId="0" quotePrefix="1" applyBorder="1" applyAlignment="1">
      <alignment horizontal="center"/>
    </xf>
    <xf numFmtId="0" fontId="0" fillId="15" borderId="1" xfId="0" applyFill="1" applyBorder="1"/>
    <xf numFmtId="1" fontId="0" fillId="0" borderId="1" xfId="0" applyNumberFormat="1" applyBorder="1" applyAlignment="1">
      <alignment horizontal="center"/>
    </xf>
    <xf numFmtId="0" fontId="0" fillId="16" borderId="1" xfId="0" applyFill="1" applyBorder="1"/>
    <xf numFmtId="0" fontId="0" fillId="17" borderId="1" xfId="0" applyFill="1" applyBorder="1"/>
    <xf numFmtId="0" fontId="0" fillId="0" borderId="0" xfId="0" applyAlignment="1">
      <alignment horizontal="left"/>
    </xf>
    <xf numFmtId="0" fontId="0" fillId="0" borderId="1" xfId="0" applyBorder="1" applyAlignment="1">
      <alignment vertical="center" textRotation="255" wrapText="1"/>
    </xf>
    <xf numFmtId="0" fontId="0" fillId="0" borderId="1" xfId="0" applyBorder="1" applyAlignment="1">
      <alignment vertical="center" textRotation="255"/>
    </xf>
    <xf numFmtId="164" fontId="0" fillId="0" borderId="0" xfId="0" applyNumberFormat="1" applyAlignment="1">
      <alignment horizontal="left"/>
    </xf>
    <xf numFmtId="166" fontId="0" fillId="16" borderId="1" xfId="0" applyNumberFormat="1" applyFill="1" applyBorder="1"/>
    <xf numFmtId="0" fontId="0" fillId="15" borderId="1" xfId="0" applyFill="1" applyBorder="1" applyAlignment="1">
      <alignment horizontal="center"/>
    </xf>
    <xf numFmtId="0" fontId="0" fillId="16" borderId="1" xfId="0" applyFill="1" applyBorder="1" applyAlignment="1">
      <alignment horizontal="center"/>
    </xf>
    <xf numFmtId="0" fontId="0" fillId="17" borderId="1" xfId="0" applyFill="1" applyBorder="1" applyAlignment="1">
      <alignment horizontal="center"/>
    </xf>
    <xf numFmtId="1" fontId="0" fillId="4" borderId="0" xfId="0" applyNumberFormat="1" applyFill="1"/>
    <xf numFmtId="0" fontId="0" fillId="17" borderId="22" xfId="0" applyFill="1" applyBorder="1"/>
    <xf numFmtId="0" fontId="0" fillId="2" borderId="0" xfId="0" applyFill="1" applyAlignment="1">
      <alignment horizontal="left"/>
    </xf>
    <xf numFmtId="164" fontId="0" fillId="2" borderId="0" xfId="0" applyNumberFormat="1" applyFill="1" applyAlignment="1">
      <alignment horizontal="left"/>
    </xf>
    <xf numFmtId="1" fontId="0" fillId="2" borderId="0" xfId="0" applyNumberFormat="1" applyFill="1"/>
    <xf numFmtId="0" fontId="4" fillId="0" borderId="0" xfId="3" applyFill="1" applyBorder="1" applyAlignment="1">
      <alignment horizontal="center"/>
    </xf>
    <xf numFmtId="168" fontId="4" fillId="9" borderId="0" xfId="3" applyNumberFormat="1" applyFill="1"/>
    <xf numFmtId="169" fontId="0" fillId="4" borderId="1" xfId="1" applyNumberFormat="1" applyFont="1" applyFill="1" applyBorder="1"/>
    <xf numFmtId="43" fontId="0" fillId="3" borderId="1" xfId="0" applyNumberFormat="1" applyFill="1" applyBorder="1"/>
    <xf numFmtId="43" fontId="4" fillId="9" borderId="13" xfId="1" applyFont="1" applyFill="1" applyBorder="1"/>
    <xf numFmtId="0" fontId="0" fillId="20" borderId="0" xfId="0" applyFill="1"/>
    <xf numFmtId="0" fontId="0" fillId="21" borderId="0" xfId="0" applyFill="1"/>
    <xf numFmtId="0" fontId="0" fillId="21" borderId="0" xfId="0" applyFill="1" applyAlignment="1">
      <alignment horizontal="right"/>
    </xf>
    <xf numFmtId="0" fontId="0" fillId="21" borderId="0" xfId="0" applyFill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  <xf numFmtId="0" fontId="0" fillId="0" borderId="0" xfId="0" applyFill="1" applyAlignment="1">
      <alignment horizontal="right"/>
    </xf>
    <xf numFmtId="0" fontId="0" fillId="20" borderId="1" xfId="0" applyFill="1" applyBorder="1"/>
    <xf numFmtId="0" fontId="16" fillId="20" borderId="0" xfId="0" applyFont="1" applyFill="1"/>
    <xf numFmtId="0" fontId="2" fillId="4" borderId="1" xfId="0" applyFont="1" applyFill="1" applyBorder="1"/>
    <xf numFmtId="0" fontId="0" fillId="11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3" fillId="3" borderId="0" xfId="0" applyFont="1" applyFill="1" applyAlignment="1">
      <alignment horizontal="center" wrapText="1"/>
    </xf>
    <xf numFmtId="0" fontId="2" fillId="3" borderId="0" xfId="0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5" fillId="8" borderId="6" xfId="3" applyFont="1" applyFill="1" applyBorder="1" applyAlignment="1">
      <alignment horizontal="center"/>
    </xf>
    <xf numFmtId="0" fontId="5" fillId="8" borderId="7" xfId="3" applyFont="1" applyFill="1" applyBorder="1" applyAlignment="1">
      <alignment horizontal="center"/>
    </xf>
    <xf numFmtId="0" fontId="5" fillId="8" borderId="8" xfId="3" applyFont="1" applyFill="1" applyBorder="1" applyAlignment="1">
      <alignment horizontal="center"/>
    </xf>
    <xf numFmtId="0" fontId="4" fillId="0" borderId="1" xfId="3" applyBorder="1" applyAlignment="1">
      <alignment horizontal="center" vertical="center" wrapText="1"/>
    </xf>
    <xf numFmtId="0" fontId="4" fillId="7" borderId="0" xfId="3" applyFill="1" applyAlignment="1">
      <alignment horizontal="center"/>
    </xf>
    <xf numFmtId="0" fontId="6" fillId="10" borderId="6" xfId="3" applyFont="1" applyFill="1" applyBorder="1" applyAlignment="1">
      <alignment horizontal="center"/>
    </xf>
    <xf numFmtId="0" fontId="6" fillId="10" borderId="7" xfId="3" applyFont="1" applyFill="1" applyBorder="1" applyAlignment="1">
      <alignment horizontal="center"/>
    </xf>
    <xf numFmtId="0" fontId="6" fillId="10" borderId="16" xfId="3" applyFont="1" applyFill="1" applyBorder="1" applyAlignment="1">
      <alignment horizontal="center"/>
    </xf>
    <xf numFmtId="0" fontId="4" fillId="0" borderId="1" xfId="3" applyBorder="1" applyAlignment="1">
      <alignment horizontal="center"/>
    </xf>
    <xf numFmtId="0" fontId="4" fillId="0" borderId="1" xfId="3" applyBorder="1" applyAlignment="1">
      <alignment horizontal="center" vertical="center"/>
    </xf>
    <xf numFmtId="0" fontId="10" fillId="9" borderId="0" xfId="0" applyFont="1" applyFill="1" applyAlignment="1">
      <alignment horizontal="center" wrapText="1"/>
    </xf>
    <xf numFmtId="0" fontId="11" fillId="0" borderId="20" xfId="0" applyFont="1" applyBorder="1" applyAlignment="1">
      <alignment horizontal="center" vertical="center"/>
    </xf>
    <xf numFmtId="0" fontId="11" fillId="0" borderId="22" xfId="0" applyFont="1" applyBorder="1" applyAlignment="1">
      <alignment horizontal="center" vertical="center"/>
    </xf>
    <xf numFmtId="0" fontId="11" fillId="0" borderId="21" xfId="0" applyFont="1" applyBorder="1" applyAlignment="1">
      <alignment horizontal="center" vertical="center"/>
    </xf>
    <xf numFmtId="0" fontId="0" fillId="12" borderId="20" xfId="0" applyFill="1" applyBorder="1" applyAlignment="1">
      <alignment horizontal="center" vertical="center" textRotation="255" wrapText="1"/>
    </xf>
    <xf numFmtId="0" fontId="0" fillId="12" borderId="22" xfId="0" applyFill="1" applyBorder="1" applyAlignment="1">
      <alignment horizontal="center" vertical="center" textRotation="255" wrapText="1"/>
    </xf>
    <xf numFmtId="0" fontId="0" fillId="13" borderId="1" xfId="0" applyFill="1" applyBorder="1" applyAlignment="1">
      <alignment horizontal="center" vertical="center" textRotation="255" wrapText="1"/>
    </xf>
    <xf numFmtId="0" fontId="0" fillId="14" borderId="1" xfId="0" applyFill="1" applyBorder="1" applyAlignment="1">
      <alignment horizontal="center" vertical="center" textRotation="255"/>
    </xf>
    <xf numFmtId="0" fontId="12" fillId="0" borderId="1" xfId="0" applyFont="1" applyBorder="1" applyAlignment="1">
      <alignment horizontal="center" vertical="center" wrapText="1"/>
    </xf>
    <xf numFmtId="0" fontId="12" fillId="11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167" fontId="0" fillId="0" borderId="1" xfId="2" applyNumberFormat="1" applyFont="1" applyBorder="1" applyAlignment="1">
      <alignment horizontal="center" vertical="center"/>
    </xf>
    <xf numFmtId="0" fontId="13" fillId="15" borderId="0" xfId="0" applyFont="1" applyFill="1" applyAlignment="1">
      <alignment horizontal="center" vertical="center"/>
    </xf>
    <xf numFmtId="0" fontId="0" fillId="18" borderId="0" xfId="0" applyFill="1" applyAlignment="1">
      <alignment horizontal="center"/>
    </xf>
    <xf numFmtId="0" fontId="0" fillId="11" borderId="0" xfId="0" applyFill="1" applyAlignment="1">
      <alignment horizontal="center"/>
    </xf>
    <xf numFmtId="0" fontId="0" fillId="12" borderId="1" xfId="0" applyFill="1" applyBorder="1" applyAlignment="1">
      <alignment horizontal="center" vertical="center" textRotation="255"/>
    </xf>
    <xf numFmtId="0" fontId="0" fillId="13" borderId="1" xfId="0" applyFill="1" applyBorder="1" applyAlignment="1">
      <alignment horizontal="center" vertical="center" textRotation="255"/>
    </xf>
    <xf numFmtId="0" fontId="13" fillId="16" borderId="0" xfId="0" applyFont="1" applyFill="1" applyAlignment="1">
      <alignment horizontal="center" vertical="center"/>
    </xf>
    <xf numFmtId="0" fontId="0" fillId="12" borderId="21" xfId="0" applyFill="1" applyBorder="1" applyAlignment="1">
      <alignment horizontal="center" vertical="center" textRotation="255" wrapText="1"/>
    </xf>
    <xf numFmtId="0" fontId="15" fillId="3" borderId="0" xfId="0" applyFont="1" applyFill="1" applyAlignment="1">
      <alignment horizontal="center" wrapText="1"/>
    </xf>
    <xf numFmtId="0" fontId="13" fillId="17" borderId="0" xfId="0" applyFont="1" applyFill="1" applyAlignment="1">
      <alignment horizontal="center" vertical="center"/>
    </xf>
    <xf numFmtId="0" fontId="13" fillId="19" borderId="0" xfId="0" applyFont="1" applyFill="1" applyAlignment="1">
      <alignment horizontal="center" vertical="center"/>
    </xf>
    <xf numFmtId="0" fontId="14" fillId="3" borderId="0" xfId="0" applyFont="1" applyFill="1" applyAlignment="1">
      <alignment horizontal="center" vertical="center" wrapText="1"/>
    </xf>
  </cellXfs>
  <cellStyles count="5">
    <cellStyle name="Millares" xfId="1" builtinId="3"/>
    <cellStyle name="Millares 2" xfId="4" xr:uid="{A723ACF8-71C7-BB4F-A084-C610791EC0F5}"/>
    <cellStyle name="Normal" xfId="0" builtinId="0"/>
    <cellStyle name="Normal 2" xfId="3" xr:uid="{2D98E8FA-9C9D-C14F-82E8-9A14860AB813}"/>
    <cellStyle name="Porcentaje" xfId="2" builtinId="5"/>
  </cellStyles>
  <dxfs count="0"/>
  <tableStyles count="0" defaultTableStyle="TableStyleMedium2" defaultPivotStyle="PivotStyleLight16"/>
  <colors>
    <mruColors>
      <color rgb="FF73FB79"/>
      <color rgb="FFFFFD78"/>
      <color rgb="FFFF7E79"/>
      <color rgb="FFA071E8"/>
      <color rgb="FFFF2F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ustomXml" Target="../ink/ink1.xml"/><Relationship Id="rId1" Type="http://schemas.openxmlformats.org/officeDocument/2006/relationships/image" Target="../media/image1.tiff"/><Relationship Id="rId87" Type="http://schemas.openxmlformats.org/officeDocument/2006/relationships/image" Target="../media/image4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9" Type="http://schemas.openxmlformats.org/officeDocument/2006/relationships/image" Target="../media/image71.png"/><Relationship Id="rId3" Type="http://schemas.openxmlformats.org/officeDocument/2006/relationships/image" Target="../media/image12.png"/><Relationship Id="rId21" Type="http://schemas.openxmlformats.org/officeDocument/2006/relationships/image" Target="../media/image160.png"/><Relationship Id="rId34" Type="http://schemas.openxmlformats.org/officeDocument/2006/relationships/customXml" Target="../ink/ink5.xml"/><Relationship Id="rId7" Type="http://schemas.openxmlformats.org/officeDocument/2006/relationships/image" Target="../media/image16.png"/><Relationship Id="rId12" Type="http://schemas.openxmlformats.org/officeDocument/2006/relationships/customXml" Target="../ink/ink2.xml"/><Relationship Id="rId33" Type="http://schemas.openxmlformats.org/officeDocument/2006/relationships/image" Target="../media/image220.png"/><Relationship Id="rId38" Type="http://schemas.openxmlformats.org/officeDocument/2006/relationships/customXml" Target="../ink/ink7.xml"/><Relationship Id="rId2" Type="http://schemas.openxmlformats.org/officeDocument/2006/relationships/image" Target="../media/image11.png"/><Relationship Id="rId41" Type="http://schemas.openxmlformats.org/officeDocument/2006/relationships/image" Target="../media/image72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32" Type="http://schemas.openxmlformats.org/officeDocument/2006/relationships/customXml" Target="../ink/ink4.xml"/><Relationship Id="rId37" Type="http://schemas.openxmlformats.org/officeDocument/2006/relationships/image" Target="../media/image70.png"/><Relationship Id="rId40" Type="http://schemas.openxmlformats.org/officeDocument/2006/relationships/customXml" Target="../ink/ink8.xml"/><Relationship Id="rId5" Type="http://schemas.openxmlformats.org/officeDocument/2006/relationships/image" Target="../media/image14.png"/><Relationship Id="rId36" Type="http://schemas.openxmlformats.org/officeDocument/2006/relationships/customXml" Target="../ink/ink6.xml"/><Relationship Id="rId10" Type="http://schemas.openxmlformats.org/officeDocument/2006/relationships/image" Target="../media/image19.png"/><Relationship Id="rId31" Type="http://schemas.openxmlformats.org/officeDocument/2006/relationships/image" Target="../media/image210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22" Type="http://schemas.openxmlformats.org/officeDocument/2006/relationships/customXml" Target="../ink/ink3.xml"/><Relationship Id="rId35" Type="http://schemas.openxmlformats.org/officeDocument/2006/relationships/image" Target="../media/image6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117123</xdr:rowOff>
    </xdr:from>
    <xdr:to>
      <xdr:col>4</xdr:col>
      <xdr:colOff>564444</xdr:colOff>
      <xdr:row>40</xdr:row>
      <xdr:rowOff>28284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665121E-787F-914F-97E1-F71D2A55B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038623"/>
          <a:ext cx="4748388" cy="898939"/>
        </a:xfrm>
        <a:prstGeom prst="rect">
          <a:avLst/>
        </a:prstGeom>
      </xdr:spPr>
    </xdr:pic>
    <xdr:clientData/>
  </xdr:twoCellAnchor>
  <xdr:twoCellAnchor editAs="oneCell">
    <xdr:from>
      <xdr:col>23</xdr:col>
      <xdr:colOff>838910</xdr:colOff>
      <xdr:row>2</xdr:row>
      <xdr:rowOff>109629</xdr:rowOff>
    </xdr:from>
    <xdr:to>
      <xdr:col>23</xdr:col>
      <xdr:colOff>839270</xdr:colOff>
      <xdr:row>2</xdr:row>
      <xdr:rowOff>109989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153" name="Entrada de lápiz 152">
              <a:extLst>
                <a:ext uri="{FF2B5EF4-FFF2-40B4-BE49-F238E27FC236}">
                  <a16:creationId xmlns:a16="http://schemas.microsoft.com/office/drawing/2014/main" id="{6CD23A07-75DA-DA4E-8672-F99C548ABB9A}"/>
                </a:ext>
              </a:extLst>
            </xdr14:cNvPr>
            <xdr14:cNvContentPartPr/>
          </xdr14:nvContentPartPr>
          <xdr14:nvPr macro=""/>
          <xdr14:xfrm>
            <a:off x="20764440" y="513720"/>
            <a:ext cx="360" cy="360"/>
          </xdr14:xfrm>
        </xdr:contentPart>
      </mc:Choice>
      <mc:Fallback xmlns="">
        <xdr:pic>
          <xdr:nvPicPr>
            <xdr:cNvPr id="153" name="Entrada de lápiz 152">
              <a:extLst>
                <a:ext uri="{FF2B5EF4-FFF2-40B4-BE49-F238E27FC236}">
                  <a16:creationId xmlns:a16="http://schemas.microsoft.com/office/drawing/2014/main" id="{6CD23A07-75DA-DA4E-8672-F99C548ABB9A}"/>
                </a:ext>
              </a:extLst>
            </xdr:cNvPr>
            <xdr:cNvPicPr/>
          </xdr:nvPicPr>
          <xdr:blipFill>
            <a:blip xmlns:r="http://schemas.openxmlformats.org/officeDocument/2006/relationships" r:embed="rId87"/>
            <a:stretch>
              <a:fillRect/>
            </a:stretch>
          </xdr:blipFill>
          <xdr:spPr>
            <a:xfrm>
              <a:off x="20760120" y="509400"/>
              <a:ext cx="9000" cy="9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139700</xdr:colOff>
      <xdr:row>10</xdr:row>
      <xdr:rowOff>152400</xdr:rowOff>
    </xdr:from>
    <xdr:to>
      <xdr:col>0</xdr:col>
      <xdr:colOff>1129022</xdr:colOff>
      <xdr:row>12</xdr:row>
      <xdr:rowOff>164592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6768CED-5653-7341-BB7D-B394BA526F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0862" t="23553" r="52017" b="60221"/>
        <a:stretch/>
      </xdr:blipFill>
      <xdr:spPr>
        <a:xfrm>
          <a:off x="139700" y="2108200"/>
          <a:ext cx="989322" cy="401659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266700</xdr:colOff>
      <xdr:row>24</xdr:row>
      <xdr:rowOff>88900</xdr:rowOff>
    </xdr:from>
    <xdr:to>
      <xdr:col>8</xdr:col>
      <xdr:colOff>655321</xdr:colOff>
      <xdr:row>34</xdr:row>
      <xdr:rowOff>134846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1A9CA56-A4C0-A340-82F3-DCA3F9455C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7240"/>
        <a:stretch/>
      </xdr:blipFill>
      <xdr:spPr>
        <a:xfrm>
          <a:off x="4241800" y="4686300"/>
          <a:ext cx="4516120" cy="1950945"/>
        </a:xfrm>
        <a:prstGeom prst="rect">
          <a:avLst/>
        </a:prstGeom>
      </xdr:spPr>
    </xdr:pic>
    <xdr:clientData/>
  </xdr:twoCellAnchor>
  <xdr:twoCellAnchor editAs="oneCell">
    <xdr:from>
      <xdr:col>4</xdr:col>
      <xdr:colOff>541867</xdr:colOff>
      <xdr:row>38</xdr:row>
      <xdr:rowOff>50800</xdr:rowOff>
    </xdr:from>
    <xdr:to>
      <xdr:col>7</xdr:col>
      <xdr:colOff>692193</xdr:colOff>
      <xdr:row>45</xdr:row>
      <xdr:rowOff>73661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D1626A0-F224-324F-902E-6E01F8A6D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42467" y="7315200"/>
          <a:ext cx="2626826" cy="1356361"/>
        </a:xfrm>
        <a:prstGeom prst="rect">
          <a:avLst/>
        </a:prstGeom>
      </xdr:spPr>
    </xdr:pic>
    <xdr:clientData/>
  </xdr:twoCellAnchor>
  <xdr:twoCellAnchor editAs="oneCell">
    <xdr:from>
      <xdr:col>19</xdr:col>
      <xdr:colOff>101600</xdr:colOff>
      <xdr:row>14</xdr:row>
      <xdr:rowOff>76201</xdr:rowOff>
    </xdr:from>
    <xdr:to>
      <xdr:col>26</xdr:col>
      <xdr:colOff>2964</xdr:colOff>
      <xdr:row>28</xdr:row>
      <xdr:rowOff>185421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66EEA453-CA2C-D740-B5DA-95475D7355A5}"/>
            </a:ext>
          </a:extLst>
        </xdr:cNvPr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284700" y="2755901"/>
          <a:ext cx="5679863" cy="2788919"/>
        </a:xfrm>
        <a:prstGeom prst="rect">
          <a:avLst/>
        </a:prstGeom>
      </xdr:spPr>
    </xdr:pic>
    <xdr:clientData/>
  </xdr:twoCellAnchor>
  <xdr:twoCellAnchor editAs="oneCell">
    <xdr:from>
      <xdr:col>15</xdr:col>
      <xdr:colOff>533400</xdr:colOff>
      <xdr:row>33</xdr:row>
      <xdr:rowOff>25400</xdr:rowOff>
    </xdr:from>
    <xdr:to>
      <xdr:col>20</xdr:col>
      <xdr:colOff>752601</xdr:colOff>
      <xdr:row>42</xdr:row>
      <xdr:rowOff>10160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BF2826B-C854-7045-92E6-C7B21A80F6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5781" t="34024"/>
        <a:stretch/>
      </xdr:blipFill>
      <xdr:spPr>
        <a:xfrm>
          <a:off x="14414500" y="6337300"/>
          <a:ext cx="4346700" cy="169926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190500</xdr:colOff>
      <xdr:row>44</xdr:row>
      <xdr:rowOff>76200</xdr:rowOff>
    </xdr:from>
    <xdr:to>
      <xdr:col>17</xdr:col>
      <xdr:colOff>355600</xdr:colOff>
      <xdr:row>54</xdr:row>
      <xdr:rowOff>88900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F8E71157-AEC2-7841-B05B-5A416621A4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12877" b="6109"/>
        <a:stretch/>
      </xdr:blipFill>
      <xdr:spPr>
        <a:xfrm>
          <a:off x="10769600" y="8483600"/>
          <a:ext cx="5118100" cy="1917700"/>
        </a:xfrm>
        <a:prstGeom prst="rect">
          <a:avLst/>
        </a:prstGeom>
      </xdr:spPr>
    </xdr:pic>
    <xdr:clientData/>
  </xdr:twoCellAnchor>
  <xdr:twoCellAnchor editAs="oneCell">
    <xdr:from>
      <xdr:col>17</xdr:col>
      <xdr:colOff>342900</xdr:colOff>
      <xdr:row>30</xdr:row>
      <xdr:rowOff>50800</xdr:rowOff>
    </xdr:from>
    <xdr:to>
      <xdr:col>19</xdr:col>
      <xdr:colOff>393699</xdr:colOff>
      <xdr:row>32</xdr:row>
      <xdr:rowOff>25400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C6ED9EF4-BDCF-EE4B-BB12-316AB81A84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955" t="14794" r="58157" b="71400"/>
        <a:stretch/>
      </xdr:blipFill>
      <xdr:spPr>
        <a:xfrm>
          <a:off x="15875000" y="5791200"/>
          <a:ext cx="1701800" cy="355600"/>
        </a:xfrm>
        <a:prstGeom prst="rect">
          <a:avLst/>
        </a:prstGeom>
      </xdr:spPr>
    </xdr:pic>
    <xdr:clientData/>
  </xdr:twoCellAnchor>
  <xdr:twoCellAnchor editAs="oneCell">
    <xdr:from>
      <xdr:col>4</xdr:col>
      <xdr:colOff>355600</xdr:colOff>
      <xdr:row>0</xdr:row>
      <xdr:rowOff>0</xdr:rowOff>
    </xdr:from>
    <xdr:to>
      <xdr:col>8</xdr:col>
      <xdr:colOff>766632</xdr:colOff>
      <xdr:row>4</xdr:row>
      <xdr:rowOff>172395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34815BD6-369D-A743-87CD-27BA6ABE3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181600" y="0"/>
          <a:ext cx="3729965" cy="934395"/>
        </a:xfrm>
        <a:prstGeom prst="rect">
          <a:avLst/>
        </a:prstGeom>
      </xdr:spPr>
    </xdr:pic>
    <xdr:clientData/>
  </xdr:twoCellAnchor>
  <xdr:twoCellAnchor editAs="oneCell">
    <xdr:from>
      <xdr:col>9</xdr:col>
      <xdr:colOff>507999</xdr:colOff>
      <xdr:row>9</xdr:row>
      <xdr:rowOff>25400</xdr:rowOff>
    </xdr:from>
    <xdr:to>
      <xdr:col>13</xdr:col>
      <xdr:colOff>613832</xdr:colOff>
      <xdr:row>11</xdr:row>
      <xdr:rowOff>88901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B7D50A2-B4C6-5C4F-8177-66536F8921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r="54335" b="86251"/>
        <a:stretch/>
      </xdr:blipFill>
      <xdr:spPr>
        <a:xfrm>
          <a:off x="9436099" y="1739900"/>
          <a:ext cx="3407833" cy="444500"/>
        </a:xfrm>
        <a:prstGeom prst="rect">
          <a:avLst/>
        </a:prstGeom>
      </xdr:spPr>
    </xdr:pic>
    <xdr:clientData/>
  </xdr:twoCellAnchor>
  <xdr:twoCellAnchor editAs="oneCell">
    <xdr:from>
      <xdr:col>9</xdr:col>
      <xdr:colOff>800100</xdr:colOff>
      <xdr:row>1</xdr:row>
      <xdr:rowOff>165100</xdr:rowOff>
    </xdr:from>
    <xdr:to>
      <xdr:col>15</xdr:col>
      <xdr:colOff>661678</xdr:colOff>
      <xdr:row>4</xdr:row>
      <xdr:rowOff>93133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9CE8EF0B-975B-C147-968E-8CE265EA2C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70927" r="-1589" b="4330"/>
        <a:stretch/>
      </xdr:blipFill>
      <xdr:spPr>
        <a:xfrm>
          <a:off x="9728200" y="355600"/>
          <a:ext cx="4814578" cy="508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301625</xdr:colOff>
      <xdr:row>7</xdr:row>
      <xdr:rowOff>105833</xdr:rowOff>
    </xdr:from>
    <xdr:to>
      <xdr:col>23</xdr:col>
      <xdr:colOff>95250</xdr:colOff>
      <xdr:row>21</xdr:row>
      <xdr:rowOff>193079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4DE5FC3-667C-A64F-88E5-FBCC122A8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30625" y="1528233"/>
          <a:ext cx="5546725" cy="2982846"/>
        </a:xfrm>
        <a:prstGeom prst="rect">
          <a:avLst/>
        </a:prstGeom>
      </xdr:spPr>
    </xdr:pic>
    <xdr:clientData/>
  </xdr:twoCellAnchor>
  <xdr:twoCellAnchor editAs="oneCell">
    <xdr:from>
      <xdr:col>17</xdr:col>
      <xdr:colOff>386080</xdr:colOff>
      <xdr:row>22</xdr:row>
      <xdr:rowOff>50800</xdr:rowOff>
    </xdr:from>
    <xdr:to>
      <xdr:col>23</xdr:col>
      <xdr:colOff>73179</xdr:colOff>
      <xdr:row>39</xdr:row>
      <xdr:rowOff>142240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AEA17D3-209B-5E49-A21E-EBB75C489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515080" y="4572000"/>
          <a:ext cx="5440199" cy="3545840"/>
        </a:xfrm>
        <a:prstGeom prst="rect">
          <a:avLst/>
        </a:prstGeom>
      </xdr:spPr>
    </xdr:pic>
    <xdr:clientData/>
  </xdr:twoCellAnchor>
  <xdr:twoCellAnchor editAs="oneCell">
    <xdr:from>
      <xdr:col>17</xdr:col>
      <xdr:colOff>426720</xdr:colOff>
      <xdr:row>40</xdr:row>
      <xdr:rowOff>40641</xdr:rowOff>
    </xdr:from>
    <xdr:to>
      <xdr:col>23</xdr:col>
      <xdr:colOff>121920</xdr:colOff>
      <xdr:row>55</xdr:row>
      <xdr:rowOff>159339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AEBED30-6C63-AA4D-BD92-7BD74E5A4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555720" y="8219441"/>
          <a:ext cx="5448300" cy="3166698"/>
        </a:xfrm>
        <a:prstGeom prst="rect">
          <a:avLst/>
        </a:prstGeom>
      </xdr:spPr>
    </xdr:pic>
    <xdr:clientData/>
  </xdr:twoCellAnchor>
  <xdr:twoCellAnchor editAs="oneCell">
    <xdr:from>
      <xdr:col>17</xdr:col>
      <xdr:colOff>436880</xdr:colOff>
      <xdr:row>56</xdr:row>
      <xdr:rowOff>40640</xdr:rowOff>
    </xdr:from>
    <xdr:to>
      <xdr:col>23</xdr:col>
      <xdr:colOff>111760</xdr:colOff>
      <xdr:row>74</xdr:row>
      <xdr:rowOff>70354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818BE69-37C3-964C-98D5-A856780E6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565880" y="11470640"/>
          <a:ext cx="5427980" cy="3687314"/>
        </a:xfrm>
        <a:prstGeom prst="rect">
          <a:avLst/>
        </a:prstGeom>
      </xdr:spPr>
    </xdr:pic>
    <xdr:clientData/>
  </xdr:twoCellAnchor>
  <xdr:twoCellAnchor editAs="oneCell">
    <xdr:from>
      <xdr:col>2</xdr:col>
      <xdr:colOff>812800</xdr:colOff>
      <xdr:row>61</xdr:row>
      <xdr:rowOff>0</xdr:rowOff>
    </xdr:from>
    <xdr:to>
      <xdr:col>9</xdr:col>
      <xdr:colOff>386234</xdr:colOff>
      <xdr:row>82</xdr:row>
      <xdr:rowOff>128132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1C84920-60EC-784C-B3A7-669E39708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59200" y="12446000"/>
          <a:ext cx="5618634" cy="4395332"/>
        </a:xfrm>
        <a:prstGeom prst="rect">
          <a:avLst/>
        </a:prstGeom>
      </xdr:spPr>
    </xdr:pic>
    <xdr:clientData/>
  </xdr:twoCellAnchor>
  <xdr:twoCellAnchor editAs="oneCell">
    <xdr:from>
      <xdr:col>9</xdr:col>
      <xdr:colOff>599440</xdr:colOff>
      <xdr:row>60</xdr:row>
      <xdr:rowOff>162559</xdr:rowOff>
    </xdr:from>
    <xdr:to>
      <xdr:col>15</xdr:col>
      <xdr:colOff>20320</xdr:colOff>
      <xdr:row>79</xdr:row>
      <xdr:rowOff>114862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3C79951D-4531-0346-B6BA-04BAEB24C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91040" y="12405359"/>
          <a:ext cx="4907280" cy="3813103"/>
        </a:xfrm>
        <a:prstGeom prst="rect">
          <a:avLst/>
        </a:prstGeom>
      </xdr:spPr>
    </xdr:pic>
    <xdr:clientData/>
  </xdr:twoCellAnchor>
  <xdr:twoCellAnchor editAs="oneCell">
    <xdr:from>
      <xdr:col>9</xdr:col>
      <xdr:colOff>609600</xdr:colOff>
      <xdr:row>80</xdr:row>
      <xdr:rowOff>132080</xdr:rowOff>
    </xdr:from>
    <xdr:to>
      <xdr:col>15</xdr:col>
      <xdr:colOff>50800</xdr:colOff>
      <xdr:row>99</xdr:row>
      <xdr:rowOff>35944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C08DB8F-B99D-C746-A88B-49BE58728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01200" y="16438880"/>
          <a:ext cx="4927600" cy="3764664"/>
        </a:xfrm>
        <a:prstGeom prst="rect">
          <a:avLst/>
        </a:prstGeom>
      </xdr:spPr>
    </xdr:pic>
    <xdr:clientData/>
  </xdr:twoCellAnchor>
  <xdr:twoCellAnchor editAs="oneCell">
    <xdr:from>
      <xdr:col>9</xdr:col>
      <xdr:colOff>629920</xdr:colOff>
      <xdr:row>100</xdr:row>
      <xdr:rowOff>71120</xdr:rowOff>
    </xdr:from>
    <xdr:to>
      <xdr:col>15</xdr:col>
      <xdr:colOff>121920</xdr:colOff>
      <xdr:row>118</xdr:row>
      <xdr:rowOff>4732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2EBD2331-5849-9440-AC02-E12809F3F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21520" y="20441920"/>
          <a:ext cx="4978400" cy="3591212"/>
        </a:xfrm>
        <a:prstGeom prst="rect">
          <a:avLst/>
        </a:prstGeom>
      </xdr:spPr>
    </xdr:pic>
    <xdr:clientData/>
  </xdr:twoCellAnchor>
  <xdr:twoCellAnchor editAs="oneCell">
    <xdr:from>
      <xdr:col>3</xdr:col>
      <xdr:colOff>20320</xdr:colOff>
      <xdr:row>84</xdr:row>
      <xdr:rowOff>40640</xdr:rowOff>
    </xdr:from>
    <xdr:to>
      <xdr:col>9</xdr:col>
      <xdr:colOff>518160</xdr:colOff>
      <xdr:row>103</xdr:row>
      <xdr:rowOff>121906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D42C80CD-13A8-804A-9F23-27C5E8608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19220" y="17160240"/>
          <a:ext cx="5590540" cy="394206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105</xdr:row>
      <xdr:rowOff>30480</xdr:rowOff>
    </xdr:from>
    <xdr:to>
      <xdr:col>9</xdr:col>
      <xdr:colOff>518160</xdr:colOff>
      <xdr:row>122</xdr:row>
      <xdr:rowOff>141388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FB1C748E-890A-164C-9CA5-F6B61AC4E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98900" y="21417280"/>
          <a:ext cx="5610860" cy="3565308"/>
        </a:xfrm>
        <a:prstGeom prst="rect">
          <a:avLst/>
        </a:prstGeom>
      </xdr:spPr>
    </xdr:pic>
    <xdr:clientData/>
  </xdr:twoCellAnchor>
  <xdr:twoCellAnchor editAs="oneCell">
    <xdr:from>
      <xdr:col>2</xdr:col>
      <xdr:colOff>812800</xdr:colOff>
      <xdr:row>122</xdr:row>
      <xdr:rowOff>193039</xdr:rowOff>
    </xdr:from>
    <xdr:to>
      <xdr:col>9</xdr:col>
      <xdr:colOff>391160</xdr:colOff>
      <xdr:row>144</xdr:row>
      <xdr:rowOff>43803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ED378382-4FD5-E64B-9203-0EEBF3DC1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759200" y="25034239"/>
          <a:ext cx="5623560" cy="4321164"/>
        </a:xfrm>
        <a:prstGeom prst="rect">
          <a:avLst/>
        </a:prstGeom>
      </xdr:spPr>
    </xdr:pic>
    <xdr:clientData/>
  </xdr:twoCellAnchor>
  <xdr:twoCellAnchor editAs="oneCell">
    <xdr:from>
      <xdr:col>6</xdr:col>
      <xdr:colOff>823932</xdr:colOff>
      <xdr:row>120</xdr:row>
      <xdr:rowOff>167380</xdr:rowOff>
    </xdr:from>
    <xdr:to>
      <xdr:col>7</xdr:col>
      <xdr:colOff>8197</xdr:colOff>
      <xdr:row>121</xdr:row>
      <xdr:rowOff>1249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17" name="Entrada de lápiz 16">
              <a:extLst>
                <a:ext uri="{FF2B5EF4-FFF2-40B4-BE49-F238E27FC236}">
                  <a16:creationId xmlns:a16="http://schemas.microsoft.com/office/drawing/2014/main" id="{69EF4E3E-FF54-7546-8240-1F6223FF23B2}"/>
                </a:ext>
              </a:extLst>
            </xdr14:cNvPr>
            <xdr14:cNvContentPartPr/>
          </xdr14:nvContentPartPr>
          <xdr14:nvPr macro=""/>
          <xdr14:xfrm>
            <a:off x="7198200" y="24491520"/>
            <a:ext cx="9360" cy="33480"/>
          </xdr14:xfrm>
        </xdr:contentPart>
      </mc:Choice>
      <mc:Fallback xmlns="">
        <xdr:pic>
          <xdr:nvPicPr>
            <xdr:cNvPr id="19" name="Entrada de lápiz 18">
              <a:extLst>
                <a:ext uri="{FF2B5EF4-FFF2-40B4-BE49-F238E27FC236}">
                  <a16:creationId xmlns:a16="http://schemas.microsoft.com/office/drawing/2014/main" id="{25932E2E-4DAF-4B45-B097-D3DB47DA8C6E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7189560" y="24482880"/>
              <a:ext cx="27000" cy="51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743505</xdr:colOff>
      <xdr:row>91</xdr:row>
      <xdr:rowOff>25430</xdr:rowOff>
    </xdr:from>
    <xdr:to>
      <xdr:col>11</xdr:col>
      <xdr:colOff>778785</xdr:colOff>
      <xdr:row>91</xdr:row>
      <xdr:rowOff>42350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22" name="Entrada de lápiz 21">
              <a:extLst>
                <a:ext uri="{FF2B5EF4-FFF2-40B4-BE49-F238E27FC236}">
                  <a16:creationId xmlns:a16="http://schemas.microsoft.com/office/drawing/2014/main" id="{19B7FFCA-19AE-084D-9809-10CD3C0E00FA}"/>
                </a:ext>
              </a:extLst>
            </xdr14:cNvPr>
            <xdr14:cNvContentPartPr/>
          </xdr14:nvContentPartPr>
          <xdr14:nvPr macro=""/>
          <xdr14:xfrm>
            <a:off x="11445480" y="18484920"/>
            <a:ext cx="35280" cy="16920"/>
          </xdr14:xfrm>
        </xdr:contentPart>
      </mc:Choice>
      <mc:Fallback xmlns="">
        <xdr:pic>
          <xdr:nvPicPr>
            <xdr:cNvPr id="31" name="Entrada de lápiz 30">
              <a:extLst>
                <a:ext uri="{FF2B5EF4-FFF2-40B4-BE49-F238E27FC236}">
                  <a16:creationId xmlns:a16="http://schemas.microsoft.com/office/drawing/2014/main" id="{1394D75A-64D2-2B4C-98EA-94C9A5873F22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11436840" y="18476280"/>
              <a:ext cx="52920" cy="34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106665</xdr:colOff>
      <xdr:row>91</xdr:row>
      <xdr:rowOff>38390</xdr:rowOff>
    </xdr:from>
    <xdr:to>
      <xdr:col>11</xdr:col>
      <xdr:colOff>154545</xdr:colOff>
      <xdr:row>91</xdr:row>
      <xdr:rowOff>42710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23" name="Entrada de lápiz 22">
              <a:extLst>
                <a:ext uri="{FF2B5EF4-FFF2-40B4-BE49-F238E27FC236}">
                  <a16:creationId xmlns:a16="http://schemas.microsoft.com/office/drawing/2014/main" id="{78EBE726-F789-CA49-88A2-55F1FF7D4CA4}"/>
                </a:ext>
              </a:extLst>
            </xdr14:cNvPr>
            <xdr14:cNvContentPartPr/>
          </xdr14:nvContentPartPr>
          <xdr14:nvPr macro=""/>
          <xdr14:xfrm>
            <a:off x="10808640" y="18497880"/>
            <a:ext cx="47880" cy="4320"/>
          </xdr14:xfrm>
        </xdr:contentPart>
      </mc:Choice>
      <mc:Fallback xmlns="">
        <xdr:pic>
          <xdr:nvPicPr>
            <xdr:cNvPr id="32" name="Entrada de lápiz 31">
              <a:extLst>
                <a:ext uri="{FF2B5EF4-FFF2-40B4-BE49-F238E27FC236}">
                  <a16:creationId xmlns:a16="http://schemas.microsoft.com/office/drawing/2014/main" id="{660F124E-1B34-C849-A5F0-023C6DEA5F6F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10799640" y="18488880"/>
              <a:ext cx="65520" cy="21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809665</xdr:colOff>
      <xdr:row>97</xdr:row>
      <xdr:rowOff>126057</xdr:rowOff>
    </xdr:from>
    <xdr:to>
      <xdr:col>13</xdr:col>
      <xdr:colOff>817945</xdr:colOff>
      <xdr:row>97</xdr:row>
      <xdr:rowOff>178617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24" name="Entrada de lápiz 23">
              <a:extLst>
                <a:ext uri="{FF2B5EF4-FFF2-40B4-BE49-F238E27FC236}">
                  <a16:creationId xmlns:a16="http://schemas.microsoft.com/office/drawing/2014/main" id="{3448C2E5-D50E-E042-8247-6E9A5A59B9C9}"/>
                </a:ext>
              </a:extLst>
            </xdr14:cNvPr>
            <xdr14:cNvContentPartPr/>
          </xdr14:nvContentPartPr>
          <xdr14:nvPr macro=""/>
          <xdr14:xfrm>
            <a:off x="13208040" y="20184120"/>
            <a:ext cx="8280" cy="52560"/>
          </xdr14:xfrm>
        </xdr:contentPart>
      </mc:Choice>
      <mc:Fallback xmlns="">
        <xdr:pic>
          <xdr:nvPicPr>
            <xdr:cNvPr id="24" name="Entrada de lápiz 23">
              <a:extLst>
                <a:ext uri="{FF2B5EF4-FFF2-40B4-BE49-F238E27FC236}">
                  <a16:creationId xmlns:a16="http://schemas.microsoft.com/office/drawing/2014/main" id="{3448C2E5-D50E-E042-8247-6E9A5A59B9C9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13199040" y="20175120"/>
              <a:ext cx="25920" cy="70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801025</xdr:colOff>
      <xdr:row>89</xdr:row>
      <xdr:rowOff>60937</xdr:rowOff>
    </xdr:from>
    <xdr:to>
      <xdr:col>13</xdr:col>
      <xdr:colOff>820105</xdr:colOff>
      <xdr:row>89</xdr:row>
      <xdr:rowOff>82177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25" name="Entrada de lápiz 24">
              <a:extLst>
                <a:ext uri="{FF2B5EF4-FFF2-40B4-BE49-F238E27FC236}">
                  <a16:creationId xmlns:a16="http://schemas.microsoft.com/office/drawing/2014/main" id="{5160CC88-C27A-054D-93EB-0D5EA90BEFF5}"/>
                </a:ext>
              </a:extLst>
            </xdr14:cNvPr>
            <xdr14:cNvContentPartPr/>
          </xdr14:nvContentPartPr>
          <xdr14:nvPr macro=""/>
          <xdr14:xfrm>
            <a:off x="13199400" y="18468000"/>
            <a:ext cx="19080" cy="21240"/>
          </xdr14:xfrm>
        </xdr:contentPart>
      </mc:Choice>
      <mc:Fallback xmlns="">
        <xdr:pic>
          <xdr:nvPicPr>
            <xdr:cNvPr id="25" name="Entrada de lápiz 24">
              <a:extLst>
                <a:ext uri="{FF2B5EF4-FFF2-40B4-BE49-F238E27FC236}">
                  <a16:creationId xmlns:a16="http://schemas.microsoft.com/office/drawing/2014/main" id="{5160CC88-C27A-054D-93EB-0D5EA90BEFF5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13190400" y="18459000"/>
              <a:ext cx="36720" cy="38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104912</xdr:colOff>
      <xdr:row>89</xdr:row>
      <xdr:rowOff>64537</xdr:rowOff>
    </xdr:from>
    <xdr:to>
      <xdr:col>11</xdr:col>
      <xdr:colOff>161072</xdr:colOff>
      <xdr:row>89</xdr:row>
      <xdr:rowOff>68137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26" name="Entrada de lápiz 25">
              <a:extLst>
                <a:ext uri="{FF2B5EF4-FFF2-40B4-BE49-F238E27FC236}">
                  <a16:creationId xmlns:a16="http://schemas.microsoft.com/office/drawing/2014/main" id="{FB841847-2D7D-8445-BB34-6E04032D3659}"/>
                </a:ext>
              </a:extLst>
            </xdr14:cNvPr>
            <xdr14:cNvContentPartPr/>
          </xdr14:nvContentPartPr>
          <xdr14:nvPr macro=""/>
          <xdr14:xfrm>
            <a:off x="10812600" y="18471600"/>
            <a:ext cx="56160" cy="3600"/>
          </xdr14:xfrm>
        </xdr:contentPart>
      </mc:Choice>
      <mc:Fallback xmlns="">
        <xdr:pic>
          <xdr:nvPicPr>
            <xdr:cNvPr id="26" name="Entrada de lápiz 25">
              <a:extLst>
                <a:ext uri="{FF2B5EF4-FFF2-40B4-BE49-F238E27FC236}">
                  <a16:creationId xmlns:a16="http://schemas.microsoft.com/office/drawing/2014/main" id="{FB841847-2D7D-8445-BB34-6E04032D3659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10803600" y="18462600"/>
              <a:ext cx="73800" cy="21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478787</xdr:colOff>
      <xdr:row>120</xdr:row>
      <xdr:rowOff>155192</xdr:rowOff>
    </xdr:from>
    <xdr:to>
      <xdr:col>6</xdr:col>
      <xdr:colOff>482387</xdr:colOff>
      <xdr:row>121</xdr:row>
      <xdr:rowOff>4617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31" name="Entrada de lápiz 30">
              <a:extLst>
                <a:ext uri="{FF2B5EF4-FFF2-40B4-BE49-F238E27FC236}">
                  <a16:creationId xmlns:a16="http://schemas.microsoft.com/office/drawing/2014/main" id="{4BEDDBC2-BB4C-8142-ACA6-800C9590B0EF}"/>
                </a:ext>
              </a:extLst>
            </xdr14:cNvPr>
            <xdr14:cNvContentPartPr/>
          </xdr14:nvContentPartPr>
          <xdr14:nvPr macro=""/>
          <xdr14:xfrm>
            <a:off x="6852600" y="24959880"/>
            <a:ext cx="3600" cy="55800"/>
          </xdr14:xfrm>
        </xdr:contentPart>
      </mc:Choice>
      <mc:Fallback xmlns="">
        <xdr:pic>
          <xdr:nvPicPr>
            <xdr:cNvPr id="31" name="Entrada de lápiz 30">
              <a:extLst>
                <a:ext uri="{FF2B5EF4-FFF2-40B4-BE49-F238E27FC236}">
                  <a16:creationId xmlns:a16="http://schemas.microsoft.com/office/drawing/2014/main" id="{4BEDDBC2-BB4C-8142-ACA6-800C9590B0EF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6843600" y="24950880"/>
              <a:ext cx="21240" cy="734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4-21T02:41:08.466"/>
    </inkml:context>
    <inkml:brush xml:id="br0">
      <inkml:brushProperty name="width" value="0.025" units="cm"/>
      <inkml:brushProperty name="height" value="0.025" units="cm"/>
      <inkml:brushProperty name="color" value="#849398"/>
    </inkml:brush>
  </inkml:definitions>
  <inkml:trace contextRef="#ctx0" brushRef="#br0">0 0 24575,'0'0'0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4-20T08:00:34.01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6 11 24575,'0'10'0,"0"-1"0,-1-2 0,1 0 0,-1 1 0,1-1 0,0 2 0,0-4 0,0 1 0,-1-2 0,1 2 0,-2-4 0,3 0 0,0-7 0,1 0 0,1-5 0,0 3 0,-2-1 0,0 3 0,0 0 0,-1 0 0,2 0 0,-1 0 0,2-1 0,-1 3 0,0-2 0,-1 3 0,-1-1 0,1 2 0,-1-2 0,0-1 0,-1 2 0,1-1 0,-3 7 0,2-1 0,-1 2 0,1 0 0,1-2 0,-1 0 0,1-1 0,0 2 0,0 0 0,0 1 0,0-1 0,0-1 0,1-2 0,-1 0 0,1-1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4-20T08:00:34.02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84 8 24575,'-1'-6'0,"0"5"0,0 5 0,-2 2 0,-2 1 0,-3-4 0,3-2 0,1-1 0,6-3 0,2 1 0,3-4 0,-3 5 0,-1 4 0,-2 1 0,-3 5 0,-2-3 0,-2-1 0,-1-1 0,-2-3 0,4 0 0,-2-1 0,3-3 0,1-2 0,0-3 0,2 0 0,1 1 0,4 5 0,1 0 0,1 2 0,1 2 0,0 0 0,1 4 0,-4-2 0,-1 1 0,-4-3 0,-1-1 0,-1-1 0,2-1 0,-1-1 0,2-1 0,1 7 0,-1-2 0,2 8 0,-3-8 0,-1 2 0,-4-3 0,-4-1 0,-6-3 0,5-1 0,-1-1 0,8 1 0,3-1 0,1-1 0,5 1 0,19 1 0,0 2 0,3 1 0,-13 3 0,-12-1 0,-2 3 0,0-1 0,0-1 0,-6 0 0,2-2 0,-3 0 0,2 0 0,1-2 0,0 2 0,2-2 0,2-1 0,2 2 0,1-1 0,1 4 0,-2 0 0,-1 2 0,-1 0 0,-2-3 0,-3 1 0,0-2 0,2-2 0,0 1 0,3-1 0,-1 1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4-20T08:00:34.02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67 0 24575,'7'1'0,"-3"0"0,1-1 0,-2 0 0,0 0 0,1 1 0,0 0 0,-2 0 0,1 0 0,0 0 0,-1-1 0,1 1 0,0-1 0,2 1 0,0 0 0,0-1 0,-1 1 0,-5-1 0,-4-1 0,-8 1 0,-1-2 0,-1 2 0,4-2 0,-12 2 0,7 0 0,-4 0 0,10 0 0,7 0 0,2 0 0,4 0 0,3 1 0,4 0 0,0 0 0,-1 0 0,-1-1 0,-4 1 0,-1-1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4-21T06:25:09.31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23 47 24575,'0'19'0,"0"-1"0,0-9 0,0 1 0,0 0 0,0-1 0,0 1 0,0 0 0,0-6 0,-4-15 0,3 1 0,-4-9 0,2 6 0,1 3 0,-2-2 0,2 2 0,1 1 0,0 2 0,1 1 0,0-2 0,0 2 0,0-3 0,0 3 0,0 1 0,0 2 0,1 1 0,0 11 0,2 9 0,-2 0 0,0 3 0,-1-13 0,0 0 0,0-3 0,0 3 0,0-4 0,0 2 0,0-3 0,0-1 0,0 0 0,0 1 0,0 1 0,0 1 0,0-2 0,0 1 0,0-3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4-21T06:25:15.63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30 1 24575,'0'13'0,"0"-3"0,-1-1 0,-3-3 0,-4 1 0,2-2 0,-3 1 0,7-5 0,5-10 0,3-1 0,4-5 0,1 4 0,-3 5 0,-1 1 0,-3 4 0,-1 1 0,-3 10 0,-2-1 0,-2 5 0,0-7 0,-9-2 0,7-2 0,-3-2 0,13-11 0,2 2 0,4-7 0,-1 6 0,-7 4 0,-7 2 0,-4 4 0,0-1 0,6 1 0,2-1 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4-21T06:25:19.59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10 24575,'15'-2'0,"-3"1"0,10 0 0,-8 0 0,-2 1 0,-5 0 0,-2 0 0,2 0 0,4 0 0,1 0 0,0 0 0,-2-1 0,-2 0 0,-3 0 0,-2 1 0,-16 0 0,1 0 0,-13 0 0,8 0 0,4 0 0,2 0 0,1 0 0,0 0 0,2-1 0,0 1 0,4-1 0,1 1 0,13 0 0,0 0 0,7 0 0,-3 0 0,-7 0 0,0 0 0,-2 0 0,-1 0 0,1 0 0,-3 0 0,3 0 0,-1 0 0,0 0 0,-2 0 0,-1 0 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4-21T06:27:03.67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9 0 24575,'-2'21'0,"1"-7"0,-1 6 0,2-8 0,0-2 0,0 3 0,0-3 0,0 1 0,0-1 0,0-3 0,0-2 0,0-2 0,0-1 0,0 1 0,0 1 0,0 0 0,-1 0 0,1-3 0,-2-7 0,2-2 0,-1-3 0,1 5 0,0 2 0,0 1 0,0-1 0,0 2 0,0 1 0,0 0 0</inkml:trace>
</inkml: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AC67A-5291-FF44-9B65-76037FE246AA}">
  <dimension ref="A1:Y76"/>
  <sheetViews>
    <sheetView topLeftCell="A10" zoomScale="80" zoomScaleNormal="80" workbookViewId="0">
      <selection activeCell="W24" sqref="W24"/>
    </sheetView>
  </sheetViews>
  <sheetFormatPr baseColWidth="10" defaultRowHeight="15.5" x14ac:dyDescent="0.35"/>
  <cols>
    <col min="1" max="1" width="16.33203125" customWidth="1"/>
    <col min="2" max="2" width="14.33203125" bestFit="1" customWidth="1"/>
    <col min="3" max="4" width="12.1640625" bestFit="1" customWidth="1"/>
    <col min="6" max="6" width="8.1640625" customWidth="1"/>
    <col min="7" max="7" width="7.1640625" customWidth="1"/>
    <col min="8" max="8" width="6.6640625" customWidth="1"/>
    <col min="9" max="9" width="6.1640625" customWidth="1"/>
    <col min="11" max="11" width="3.1640625" customWidth="1"/>
    <col min="12" max="12" width="8.6640625" customWidth="1"/>
    <col min="13" max="13" width="4.9140625" customWidth="1"/>
    <col min="15" max="15" width="15.9140625" customWidth="1"/>
    <col min="16" max="16" width="9.6640625" customWidth="1"/>
    <col min="17" max="17" width="7.9140625" customWidth="1"/>
    <col min="21" max="21" width="12.5" bestFit="1" customWidth="1"/>
    <col min="22" max="22" width="12.5" customWidth="1"/>
    <col min="24" max="24" width="19.1640625" bestFit="1" customWidth="1"/>
    <col min="25" max="25" width="17.6640625" bestFit="1" customWidth="1"/>
  </cols>
  <sheetData>
    <row r="1" spans="1:25" ht="16" customHeight="1" x14ac:dyDescent="0.35">
      <c r="A1" t="s">
        <v>28</v>
      </c>
      <c r="J1" s="103" t="s">
        <v>18</v>
      </c>
      <c r="M1" s="102" t="s">
        <v>22</v>
      </c>
      <c r="X1" s="95" t="s">
        <v>82</v>
      </c>
      <c r="Y1" s="95" t="s">
        <v>83</v>
      </c>
    </row>
    <row r="2" spans="1:25" x14ac:dyDescent="0.35">
      <c r="A2" s="12" t="s">
        <v>33</v>
      </c>
      <c r="B2" s="13">
        <v>1</v>
      </c>
      <c r="C2" t="s">
        <v>29</v>
      </c>
      <c r="J2" s="103"/>
      <c r="M2" s="102"/>
      <c r="X2" s="95"/>
      <c r="Y2" s="95"/>
    </row>
    <row r="3" spans="1:25" x14ac:dyDescent="0.35">
      <c r="A3" s="12" t="s">
        <v>34</v>
      </c>
      <c r="B3" s="13">
        <v>1750</v>
      </c>
      <c r="C3" t="s">
        <v>30</v>
      </c>
      <c r="J3" s="103"/>
      <c r="M3" s="102"/>
      <c r="U3" s="96" t="s">
        <v>84</v>
      </c>
      <c r="V3" s="96" t="s">
        <v>85</v>
      </c>
      <c r="X3" s="48">
        <f>1/64</f>
        <v>1.5625E-2</v>
      </c>
      <c r="Y3" s="49">
        <v>0.01</v>
      </c>
    </row>
    <row r="4" spans="1:25" x14ac:dyDescent="0.35">
      <c r="A4" s="12" t="s">
        <v>35</v>
      </c>
      <c r="B4" s="13">
        <v>78.739999999999995</v>
      </c>
      <c r="C4" t="s">
        <v>31</v>
      </c>
      <c r="D4" t="s">
        <v>172</v>
      </c>
      <c r="J4" s="103"/>
      <c r="M4" s="102"/>
      <c r="U4" s="96"/>
      <c r="V4" s="96"/>
      <c r="X4" s="48">
        <f>1/32</f>
        <v>3.125E-2</v>
      </c>
      <c r="Y4" s="49">
        <v>1.2E-2</v>
      </c>
    </row>
    <row r="5" spans="1:25" ht="31" x14ac:dyDescent="0.35">
      <c r="A5" s="12" t="s">
        <v>36</v>
      </c>
      <c r="B5" s="13">
        <v>33503</v>
      </c>
      <c r="C5" t="s">
        <v>32</v>
      </c>
      <c r="D5" t="s">
        <v>174</v>
      </c>
      <c r="G5" t="s">
        <v>42</v>
      </c>
      <c r="J5" s="1" t="s">
        <v>17</v>
      </c>
      <c r="L5" t="s">
        <v>24</v>
      </c>
      <c r="M5" s="9" t="s">
        <v>23</v>
      </c>
      <c r="N5" s="1" t="s">
        <v>25</v>
      </c>
      <c r="O5" s="1" t="s">
        <v>26</v>
      </c>
      <c r="P5" s="1" t="s">
        <v>27</v>
      </c>
      <c r="Q5" s="1">
        <v>1.06</v>
      </c>
      <c r="R5" s="5" t="s">
        <v>177</v>
      </c>
      <c r="S5" s="5" t="s">
        <v>178</v>
      </c>
      <c r="T5" s="5" t="s">
        <v>80</v>
      </c>
      <c r="U5" s="96"/>
      <c r="V5" s="96"/>
      <c r="X5" s="48">
        <f>1/16</f>
        <v>6.25E-2</v>
      </c>
      <c r="Y5" s="49">
        <v>1.6E-2</v>
      </c>
    </row>
    <row r="6" spans="1:25" x14ac:dyDescent="0.35">
      <c r="A6" s="12" t="s">
        <v>37</v>
      </c>
      <c r="B6" s="13">
        <v>22335</v>
      </c>
      <c r="C6" t="s">
        <v>32</v>
      </c>
      <c r="D6" t="s">
        <v>173</v>
      </c>
      <c r="G6" s="8" t="s">
        <v>43</v>
      </c>
      <c r="H6" s="100" t="s">
        <v>8</v>
      </c>
      <c r="I6" s="92" t="s">
        <v>19</v>
      </c>
      <c r="J6" s="4">
        <v>3</v>
      </c>
      <c r="K6" s="4"/>
      <c r="L6" s="6">
        <f>MAX(J6:K6)</f>
        <v>3</v>
      </c>
      <c r="M6" s="4" t="s">
        <v>21</v>
      </c>
      <c r="N6" s="82" t="e">
        <f>LOOKUP(H5,A18:A23,D18:D23)</f>
        <v>#N/A</v>
      </c>
      <c r="O6" s="82">
        <f>LOOKUP(H6,$A$30:$A$35,$D$30:$D$35)</f>
        <v>40.841474018453347</v>
      </c>
      <c r="P6" s="6">
        <f>IF(G6="si",63025*($B$2/$B$3),0)</f>
        <v>36.01428571428572</v>
      </c>
      <c r="Q6" s="46">
        <v>1.06</v>
      </c>
      <c r="R6" s="47" t="e">
        <f>SQRT((2.94*L6*$B$8*N6)/($B$7))</f>
        <v>#N/A</v>
      </c>
      <c r="S6" s="83">
        <f>((((32*$B$8)/PI())*(SQRT(((L6*O6)/$B$7)^2+(3/4)*(P6/$B$5)^2)))^(1/3))*Q6</f>
        <v>1.5644701389871072</v>
      </c>
      <c r="T6" s="6">
        <f>IF(AND(O6=0,P6= 0),R6,S6)</f>
        <v>1.5644701389871072</v>
      </c>
      <c r="U6" s="57" cm="1">
        <f t="array" ref="U6">MIN(IF($X$3:$X$68&gt;T6,$X$3:$X$68))</f>
        <v>1.75</v>
      </c>
      <c r="V6" s="58" cm="1">
        <f t="array" ref="V6">MIN(IF($Y$3:$Y$76&gt;T6,$Y$3:$Y$76))</f>
        <v>1.6</v>
      </c>
      <c r="X6" s="48">
        <f>3/32</f>
        <v>9.375E-2</v>
      </c>
      <c r="Y6" s="49">
        <v>0.02</v>
      </c>
    </row>
    <row r="7" spans="1:25" x14ac:dyDescent="0.35">
      <c r="A7" s="12" t="s">
        <v>38</v>
      </c>
      <c r="B7" s="13">
        <v>1164.5999999999999</v>
      </c>
      <c r="C7" t="s">
        <v>32</v>
      </c>
      <c r="G7" s="8" t="s">
        <v>43</v>
      </c>
      <c r="H7" s="100"/>
      <c r="I7" s="2" t="s">
        <v>20</v>
      </c>
      <c r="J7" s="4">
        <v>3</v>
      </c>
      <c r="K7" s="4"/>
      <c r="L7" s="6">
        <f t="shared" ref="L7:L16" si="0">MAX(J7:K7)</f>
        <v>3</v>
      </c>
      <c r="M7" s="4" t="s">
        <v>21</v>
      </c>
      <c r="N7" s="82">
        <f>LOOKUP(H6,A18:A23,D18:D23)</f>
        <v>1818.6248394322563</v>
      </c>
      <c r="O7" s="82">
        <f>LOOKUP(H6,$A$30:$A$35,$D$30:$D$35)</f>
        <v>40.841474018453347</v>
      </c>
      <c r="P7" s="82">
        <f>IF(G7="si",63025*($B$2/$B$3),0)</f>
        <v>36.01428571428572</v>
      </c>
      <c r="Q7" s="46">
        <f>IF(L7=3,1.06,1)</f>
        <v>1.06</v>
      </c>
      <c r="R7" s="47">
        <f>SQRT((2.94*L7*$B$8*N7)/($B$7))</f>
        <v>6.4280328319875597</v>
      </c>
      <c r="S7" s="83">
        <f>((((32*$B$8)/PI())*(SQRT(((L7*O7)/$B$7)^2+(3/4)*(P7/$B$5)^2)))^(1/3))*Q7</f>
        <v>1.5644701389871072</v>
      </c>
      <c r="T7" s="6">
        <f>IF(AND(O7=0,P7= 0),R7,S7)</f>
        <v>1.5644701389871072</v>
      </c>
      <c r="U7" s="57" cm="1">
        <f t="array" ref="U7">MIN(IF($X$3:$X$68&gt;T7,$X$3:$X$68))</f>
        <v>1.75</v>
      </c>
      <c r="V7" s="58" cm="1">
        <f t="array" ref="V7">MIN(IF($Y$3:$Y$76&gt;T7,$Y$3:$Y$76))</f>
        <v>1.6</v>
      </c>
      <c r="X7" s="48">
        <f>1/8</f>
        <v>0.125</v>
      </c>
      <c r="Y7" s="49">
        <v>2.5000000000000001E-2</v>
      </c>
    </row>
    <row r="8" spans="1:25" x14ac:dyDescent="0.35">
      <c r="A8" s="12" t="s">
        <v>39</v>
      </c>
      <c r="B8" s="13">
        <v>3</v>
      </c>
      <c r="G8" s="8" t="s">
        <v>44</v>
      </c>
      <c r="H8" s="100" t="s">
        <v>9</v>
      </c>
      <c r="I8" s="2" t="s">
        <v>19</v>
      </c>
      <c r="J8" s="4">
        <v>1.5</v>
      </c>
      <c r="K8" s="4"/>
      <c r="L8" s="6">
        <f t="shared" si="0"/>
        <v>1.5</v>
      </c>
      <c r="M8" s="4" t="s">
        <v>175</v>
      </c>
      <c r="N8" s="82">
        <f>LOOKUP(H8,A18:A22,D18:D22)</f>
        <v>966.56560961995751</v>
      </c>
      <c r="O8" s="82" t="e">
        <f>LOOKUP(H7,$A$30:$A$35,$D$30:$D$35)</f>
        <v>#N/A</v>
      </c>
      <c r="P8" s="82">
        <f t="shared" ref="P8:P12" si="1">IF(G8="si",63025*($B$2/$B$3),0)</f>
        <v>0</v>
      </c>
      <c r="Q8" s="46">
        <f t="shared" ref="Q8:Q12" si="2">IF(L8=3,1.06,1)</f>
        <v>1</v>
      </c>
      <c r="R8" s="47">
        <f t="shared" ref="R8:R12" si="3">SQRT((2.94*L8*$B$8*N8)/($B$7))</f>
        <v>3.3136543028512757</v>
      </c>
      <c r="S8" s="83" t="e">
        <f t="shared" ref="S8:S12" si="4">((((32*$B$8)/PI())*(SQRT(((L8*O8)/$B$7)^2+(3/4)*(P8/$B$5)^2)))^(1/3))*Q8</f>
        <v>#N/A</v>
      </c>
      <c r="T8" s="6" t="e">
        <f t="shared" ref="T8:T12" si="5">IF(AND(O8=0,P8= 0),R8,S8)</f>
        <v>#N/A</v>
      </c>
      <c r="U8" s="57" t="e" cm="1">
        <f t="array" ref="U8">MIN(IF($X$3:$X$68&gt;T8,$X$3:$X$68))</f>
        <v>#N/A</v>
      </c>
      <c r="V8" s="58" t="e" cm="1">
        <f t="array" ref="V8">MIN(IF($Y$3:$Y$76&gt;T8,$Y$3:$Y$76))</f>
        <v>#N/A</v>
      </c>
      <c r="W8" s="93"/>
      <c r="X8" s="48">
        <f>5/32</f>
        <v>0.15625</v>
      </c>
      <c r="Y8" s="49">
        <v>3.2000000000000001E-2</v>
      </c>
    </row>
    <row r="9" spans="1:25" x14ac:dyDescent="0.35">
      <c r="A9" s="12" t="s">
        <v>40</v>
      </c>
      <c r="B9" s="14">
        <v>0.99</v>
      </c>
      <c r="G9" s="8" t="s">
        <v>44</v>
      </c>
      <c r="H9" s="100"/>
      <c r="I9" s="2" t="s">
        <v>20</v>
      </c>
      <c r="J9" s="4">
        <v>2.5</v>
      </c>
      <c r="K9" s="4"/>
      <c r="L9" s="6">
        <f t="shared" si="0"/>
        <v>2.5</v>
      </c>
      <c r="M9" s="4" t="s">
        <v>175</v>
      </c>
      <c r="N9" s="82">
        <f>LOOKUP(H8,A18:A23,D18:D23)</f>
        <v>966.56560961995751</v>
      </c>
      <c r="O9" s="82">
        <f t="shared" ref="O9:O14" si="6">LOOKUP(H8,$A$30:$A$35,$D$30:$D$35)</f>
        <v>406.10158101145089</v>
      </c>
      <c r="P9" s="82">
        <f t="shared" si="1"/>
        <v>0</v>
      </c>
      <c r="Q9" s="46">
        <f t="shared" si="2"/>
        <v>1</v>
      </c>
      <c r="R9" s="47">
        <f t="shared" si="3"/>
        <v>4.2779093100105126</v>
      </c>
      <c r="S9" s="83">
        <f t="shared" si="4"/>
        <v>2.9865726787172471</v>
      </c>
      <c r="T9" s="6">
        <f t="shared" si="5"/>
        <v>2.9865726787172471</v>
      </c>
      <c r="U9" s="57" cm="1">
        <f t="array" ref="U9">MIN(IF($X$3:$X$68&gt;T9,$X$3:$X$68))</f>
        <v>3</v>
      </c>
      <c r="V9" s="58" cm="1">
        <f t="array" ref="V9">MIN(IF($Y$3:$Y$76&gt;T9,$Y$3:$Y$76))</f>
        <v>3</v>
      </c>
      <c r="W9" s="85"/>
      <c r="X9" s="48">
        <f>3/16</f>
        <v>0.1875</v>
      </c>
      <c r="Y9" s="49">
        <v>0.04</v>
      </c>
    </row>
    <row r="10" spans="1:25" x14ac:dyDescent="0.35">
      <c r="A10" s="12" t="s">
        <v>41</v>
      </c>
      <c r="G10" s="8" t="s">
        <v>44</v>
      </c>
      <c r="H10" s="100" t="s">
        <v>10</v>
      </c>
      <c r="I10" s="2" t="s">
        <v>19</v>
      </c>
      <c r="J10" s="4">
        <v>1.6</v>
      </c>
      <c r="K10" s="4"/>
      <c r="L10" s="6">
        <f t="shared" si="0"/>
        <v>1.6</v>
      </c>
      <c r="M10" s="4" t="s">
        <v>175</v>
      </c>
      <c r="N10" s="82">
        <f>LOOKUP(H10,A18:A23,D18:D23)</f>
        <v>0</v>
      </c>
      <c r="O10" s="82" t="e">
        <f t="shared" si="6"/>
        <v>#N/A</v>
      </c>
      <c r="P10" s="82">
        <f t="shared" si="1"/>
        <v>0</v>
      </c>
      <c r="Q10" s="46">
        <f t="shared" si="2"/>
        <v>1</v>
      </c>
      <c r="R10" s="47">
        <f t="shared" si="3"/>
        <v>0</v>
      </c>
      <c r="S10" s="83" t="e">
        <f t="shared" si="4"/>
        <v>#N/A</v>
      </c>
      <c r="T10" s="6" t="e">
        <f t="shared" si="5"/>
        <v>#N/A</v>
      </c>
      <c r="U10" s="57" t="e" cm="1">
        <f t="array" ref="U10">MIN(IF($X$3:$X$68&gt;T10,$X$3:$X$68))</f>
        <v>#N/A</v>
      </c>
      <c r="V10" s="58" t="e" cm="1">
        <f t="array" ref="V10">MIN(IF($Y$3:$Y$76&gt;T10,$Y$3:$Y$76))</f>
        <v>#N/A</v>
      </c>
      <c r="W10" s="85"/>
      <c r="X10" s="48">
        <f>1/4</f>
        <v>0.25</v>
      </c>
      <c r="Y10" s="49">
        <v>0.05</v>
      </c>
    </row>
    <row r="11" spans="1:25" x14ac:dyDescent="0.35">
      <c r="G11" s="8" t="s">
        <v>44</v>
      </c>
      <c r="H11" s="100"/>
      <c r="I11" s="2" t="s">
        <v>20</v>
      </c>
      <c r="J11" s="4">
        <v>2</v>
      </c>
      <c r="K11" s="4"/>
      <c r="L11" s="6">
        <f t="shared" si="0"/>
        <v>2</v>
      </c>
      <c r="M11" s="4" t="s">
        <v>175</v>
      </c>
      <c r="N11" s="82">
        <f>LOOKUP(H10,A18:A23,D18:D23)</f>
        <v>0</v>
      </c>
      <c r="O11" s="82">
        <f t="shared" si="6"/>
        <v>66.590174950964055</v>
      </c>
      <c r="P11" s="82">
        <f t="shared" si="1"/>
        <v>0</v>
      </c>
      <c r="Q11" s="46">
        <f t="shared" si="2"/>
        <v>1</v>
      </c>
      <c r="R11" s="47">
        <f t="shared" si="3"/>
        <v>0</v>
      </c>
      <c r="S11" s="83">
        <f t="shared" si="4"/>
        <v>1.5174984007206089</v>
      </c>
      <c r="T11" s="6">
        <f t="shared" si="5"/>
        <v>1.5174984007206089</v>
      </c>
      <c r="U11" s="57" cm="1">
        <f t="array" ref="U11">MIN(IF($X$3:$X$68&gt;T11,$X$3:$X$68))</f>
        <v>1.75</v>
      </c>
      <c r="V11" s="58" cm="1">
        <f t="array" ref="V11">MIN(IF($Y$3:$Y$76&gt;T11,$Y$3:$Y$76))</f>
        <v>1.6</v>
      </c>
      <c r="W11" s="85"/>
      <c r="X11" s="48">
        <f>5/16</f>
        <v>0.3125</v>
      </c>
      <c r="Y11" s="49">
        <v>0.06</v>
      </c>
    </row>
    <row r="12" spans="1:25" x14ac:dyDescent="0.35">
      <c r="G12" s="8" t="s">
        <v>44</v>
      </c>
      <c r="H12" s="100" t="s">
        <v>11</v>
      </c>
      <c r="I12" s="2" t="s">
        <v>19</v>
      </c>
      <c r="J12" s="4">
        <v>2</v>
      </c>
      <c r="K12" s="4"/>
      <c r="L12" s="6">
        <f t="shared" si="0"/>
        <v>2</v>
      </c>
      <c r="M12" s="4" t="s">
        <v>175</v>
      </c>
      <c r="N12" s="82">
        <f>LOOKUP(H12,A18:A23,D18:D23)</f>
        <v>0</v>
      </c>
      <c r="O12" s="82" t="e">
        <f t="shared" si="6"/>
        <v>#N/A</v>
      </c>
      <c r="P12" s="82">
        <f t="shared" si="1"/>
        <v>0</v>
      </c>
      <c r="Q12" s="46">
        <f t="shared" si="2"/>
        <v>1</v>
      </c>
      <c r="R12" s="47">
        <f t="shared" si="3"/>
        <v>0</v>
      </c>
      <c r="S12" s="83" t="e">
        <f t="shared" si="4"/>
        <v>#N/A</v>
      </c>
      <c r="T12" s="6" t="e">
        <f t="shared" si="5"/>
        <v>#N/A</v>
      </c>
      <c r="U12" s="57" t="e" cm="1">
        <f t="array" ref="U12">MIN(IF($X$3:$X$68&gt;T12,$X$3:$X$68))</f>
        <v>#N/A</v>
      </c>
      <c r="V12" s="58" t="e" cm="1">
        <f t="array" ref="V12">MIN(IF($Y$3:$Y$76&gt;T12,$Y$3:$Y$76))</f>
        <v>#N/A</v>
      </c>
      <c r="W12" s="85"/>
      <c r="X12" s="48">
        <f>3/8</f>
        <v>0.375</v>
      </c>
      <c r="Y12" s="49">
        <v>0.08</v>
      </c>
    </row>
    <row r="13" spans="1:25" x14ac:dyDescent="0.35">
      <c r="A13" s="104" t="s">
        <v>0</v>
      </c>
      <c r="B13" s="104"/>
      <c r="C13" s="104"/>
      <c r="D13" s="104"/>
      <c r="G13" s="4" t="s">
        <v>44</v>
      </c>
      <c r="H13" s="100"/>
      <c r="I13" s="92" t="s">
        <v>20</v>
      </c>
      <c r="J13" s="4">
        <v>2</v>
      </c>
      <c r="K13" s="4"/>
      <c r="L13" s="6">
        <f t="shared" si="0"/>
        <v>2</v>
      </c>
      <c r="M13" s="4" t="s">
        <v>175</v>
      </c>
      <c r="N13" s="82" t="e">
        <f>LOOKUP(H13,A18:A23,D18:D23)</f>
        <v>#N/A</v>
      </c>
      <c r="O13" s="82">
        <f t="shared" si="6"/>
        <v>1340.2916449788083</v>
      </c>
      <c r="P13" s="82">
        <f t="shared" ref="P13:P17" si="7">IF(G13="si",63025*($B$2/$B$3),0)</f>
        <v>0</v>
      </c>
      <c r="Q13" s="46">
        <f t="shared" ref="Q13:Q16" si="8">IF(L13=3,1.06,1)</f>
        <v>1</v>
      </c>
      <c r="R13" s="47" t="e">
        <f t="shared" ref="R13:R16" si="9">SQRT((2.94*L13*$B$8*N13)/($B$7))</f>
        <v>#N/A</v>
      </c>
      <c r="S13" s="83">
        <f t="shared" ref="S13:S16" si="10">((((32*$B$8)/PI())*(SQRT(((L13*O13)/$B$7)^2+(3/4)*(P13/$B$5)^2)))^(1/3))*Q13</f>
        <v>4.1278568393251698</v>
      </c>
      <c r="T13" s="6">
        <f t="shared" ref="T13:T16" si="11">IF(AND(O13=0,P13= 0),R13,S13)</f>
        <v>4.1278568393251698</v>
      </c>
      <c r="U13" s="57" cm="1">
        <f t="array" ref="U13">MIN(IF($X$3:$X$68&gt;T13,$X$3:$X$68))</f>
        <v>4.25</v>
      </c>
      <c r="V13" s="58" cm="1">
        <f t="array" ref="V13">MIN(IF($Y$3:$Y$76&gt;T13,$Y$3:$Y$76))</f>
        <v>4.2</v>
      </c>
      <c r="X13" s="48">
        <f>7/16</f>
        <v>0.4375</v>
      </c>
      <c r="Y13" s="49">
        <v>0.1</v>
      </c>
    </row>
    <row r="14" spans="1:25" x14ac:dyDescent="0.35">
      <c r="A14" s="104"/>
      <c r="B14" s="104"/>
      <c r="C14" s="104"/>
      <c r="D14" s="104"/>
      <c r="G14" s="4" t="s">
        <v>44</v>
      </c>
      <c r="H14" s="101" t="s">
        <v>12</v>
      </c>
      <c r="I14" s="16" t="s">
        <v>19</v>
      </c>
      <c r="J14" s="4">
        <v>2</v>
      </c>
      <c r="K14" s="4"/>
      <c r="L14" s="6">
        <f t="shared" si="0"/>
        <v>2</v>
      </c>
      <c r="M14" s="4" t="s">
        <v>175</v>
      </c>
      <c r="N14" s="82">
        <f>LOOKUP(H14,A18:A23,D18:D23)</f>
        <v>733.90941593632658</v>
      </c>
      <c r="O14" s="82" t="e">
        <f t="shared" si="6"/>
        <v>#N/A</v>
      </c>
      <c r="P14" s="82">
        <f t="shared" si="7"/>
        <v>0</v>
      </c>
      <c r="Q14" s="46">
        <f t="shared" si="8"/>
        <v>1</v>
      </c>
      <c r="R14" s="47">
        <f t="shared" si="9"/>
        <v>3.3341269144365704</v>
      </c>
      <c r="S14" s="83" t="e">
        <f t="shared" si="10"/>
        <v>#N/A</v>
      </c>
      <c r="T14" s="6" t="e">
        <f t="shared" si="11"/>
        <v>#N/A</v>
      </c>
      <c r="U14" s="57" t="e" cm="1">
        <f t="array" ref="U14">MIN(IF($X$3:$X$68&gt;T14,$X$3:$X$68))</f>
        <v>#N/A</v>
      </c>
      <c r="V14" s="58" t="e" cm="1">
        <f t="array" ref="V14">MIN(IF($Y$3:$Y$76&gt;T14,$Y$3:$Y$76))</f>
        <v>#N/A</v>
      </c>
      <c r="X14" s="48">
        <f>1/2</f>
        <v>0.5</v>
      </c>
      <c r="Y14" s="49">
        <v>0.12</v>
      </c>
    </row>
    <row r="15" spans="1:25" x14ac:dyDescent="0.35">
      <c r="A15" s="7" t="s">
        <v>1</v>
      </c>
      <c r="B15" t="s">
        <v>2</v>
      </c>
      <c r="C15" t="s">
        <v>181</v>
      </c>
      <c r="G15" s="4" t="s">
        <v>44</v>
      </c>
      <c r="H15" s="101"/>
      <c r="I15" s="16" t="s">
        <v>20</v>
      </c>
      <c r="J15" s="4">
        <v>2</v>
      </c>
      <c r="K15" s="4"/>
      <c r="L15" s="6">
        <f>MAX(J15:K15)</f>
        <v>2</v>
      </c>
      <c r="M15" s="4" t="s">
        <v>175</v>
      </c>
      <c r="N15" s="82" t="e">
        <f>LOOKUP(H15,A18:A23,D18:D23)</f>
        <v>#N/A</v>
      </c>
      <c r="O15" s="82">
        <f>LOOKUP(H14,$A$30:$A$35,$D$30:$D$35)</f>
        <v>3292.7932442229044</v>
      </c>
      <c r="P15" s="82">
        <f t="shared" si="7"/>
        <v>0</v>
      </c>
      <c r="Q15" s="46">
        <f t="shared" si="8"/>
        <v>1</v>
      </c>
      <c r="R15" s="47" t="e">
        <f t="shared" si="9"/>
        <v>#N/A</v>
      </c>
      <c r="S15" s="83">
        <f t="shared" si="10"/>
        <v>5.5698864825401166</v>
      </c>
      <c r="T15" s="6">
        <f t="shared" si="11"/>
        <v>5.5698864825401166</v>
      </c>
      <c r="U15" s="57" cm="1">
        <f t="array" ref="U15">MIN(IF($X$3:$X$68&gt;T15,$X$3:$X$68))</f>
        <v>5.75</v>
      </c>
      <c r="V15" s="58" cm="1">
        <f t="array" ref="V15">MIN(IF($Y$3:$Y$76&gt;T15,$Y$3:$Y$76))</f>
        <v>5.6</v>
      </c>
      <c r="X15" s="48">
        <f>9/16</f>
        <v>0.5625</v>
      </c>
      <c r="Y15" s="49">
        <v>0.16</v>
      </c>
    </row>
    <row r="16" spans="1:25" x14ac:dyDescent="0.35">
      <c r="A16" s="105" t="s">
        <v>3</v>
      </c>
      <c r="B16" s="105"/>
      <c r="C16" s="105"/>
      <c r="D16" s="105"/>
      <c r="G16" s="4" t="s">
        <v>44</v>
      </c>
      <c r="H16" s="106" t="s">
        <v>81</v>
      </c>
      <c r="I16" s="2" t="s">
        <v>19</v>
      </c>
      <c r="J16" s="4">
        <v>2.5</v>
      </c>
      <c r="K16" s="4"/>
      <c r="L16" s="6">
        <f t="shared" si="0"/>
        <v>2.5</v>
      </c>
      <c r="M16" s="4" t="s">
        <v>176</v>
      </c>
      <c r="N16" s="82">
        <f>LOOKUP(H16,A18:A23,D18:D23)</f>
        <v>2010.041328182085</v>
      </c>
      <c r="O16" s="82" t="e">
        <f>LOOKUP(H15,$A$30:$A$35,$D$30:$D$35)</f>
        <v>#N/A</v>
      </c>
      <c r="P16" s="82">
        <f t="shared" si="7"/>
        <v>0</v>
      </c>
      <c r="Q16" s="46">
        <f t="shared" si="8"/>
        <v>1</v>
      </c>
      <c r="R16" s="47">
        <f t="shared" si="9"/>
        <v>6.1690515242003654</v>
      </c>
      <c r="S16" s="83" t="e">
        <f t="shared" si="10"/>
        <v>#N/A</v>
      </c>
      <c r="T16" s="6" t="e">
        <f t="shared" si="11"/>
        <v>#N/A</v>
      </c>
      <c r="U16" s="57" t="e" cm="1">
        <f t="array" ref="U16">MIN(IF($X$3:$X$68&gt;T16,$X$3:$X$68))</f>
        <v>#N/A</v>
      </c>
      <c r="V16" s="58" t="e" cm="1">
        <f t="array" ref="V16">MIN(IF($Y$3:$Y$76&gt;T16,$Y$3:$Y$76))</f>
        <v>#N/A</v>
      </c>
      <c r="X16" s="48">
        <f>5/8</f>
        <v>0.625</v>
      </c>
      <c r="Y16" s="49">
        <v>0.2</v>
      </c>
    </row>
    <row r="17" spans="1:25" x14ac:dyDescent="0.35">
      <c r="A17" s="2" t="s">
        <v>7</v>
      </c>
      <c r="B17" s="2" t="s">
        <v>4</v>
      </c>
      <c r="C17" s="2" t="s">
        <v>5</v>
      </c>
      <c r="D17" s="2" t="s">
        <v>6</v>
      </c>
      <c r="G17" s="4" t="s">
        <v>44</v>
      </c>
      <c r="H17" s="107"/>
      <c r="I17" s="2" t="s">
        <v>20</v>
      </c>
      <c r="J17" s="4">
        <v>1.5</v>
      </c>
      <c r="K17" s="4"/>
      <c r="L17" s="6">
        <f>MAX(J17:K17)</f>
        <v>1.5</v>
      </c>
      <c r="M17" s="4" t="s">
        <v>176</v>
      </c>
      <c r="N17" s="82">
        <v>0</v>
      </c>
      <c r="O17" s="82">
        <v>0</v>
      </c>
      <c r="P17" s="82">
        <f t="shared" si="7"/>
        <v>0</v>
      </c>
      <c r="Q17" s="46">
        <v>0</v>
      </c>
      <c r="R17" s="47">
        <v>0</v>
      </c>
      <c r="S17" s="83">
        <v>0</v>
      </c>
      <c r="T17" s="6"/>
      <c r="U17" s="57"/>
      <c r="V17" s="58"/>
      <c r="X17" s="48">
        <f>11/16</f>
        <v>0.6875</v>
      </c>
      <c r="Y17" s="49">
        <v>0.24</v>
      </c>
    </row>
    <row r="18" spans="1:25" x14ac:dyDescent="0.35">
      <c r="A18" s="3" t="s">
        <v>8</v>
      </c>
      <c r="B18" s="4">
        <v>1809.71</v>
      </c>
      <c r="C18" s="4">
        <v>179.85</v>
      </c>
      <c r="D18" s="94">
        <f>SQRT((B18^2)+(C18^2))</f>
        <v>1818.6248394322563</v>
      </c>
      <c r="X18" s="48">
        <f>3/4</f>
        <v>0.75</v>
      </c>
      <c r="Y18" s="49">
        <v>0.3</v>
      </c>
    </row>
    <row r="19" spans="1:25" x14ac:dyDescent="0.35">
      <c r="A19" s="3" t="s">
        <v>9</v>
      </c>
      <c r="B19" s="4">
        <v>964.21</v>
      </c>
      <c r="C19" s="4">
        <v>67.44</v>
      </c>
      <c r="D19" s="94">
        <f>SQRT(B19^2+C19^2)</f>
        <v>966.56560961995751</v>
      </c>
      <c r="X19" s="48">
        <f>7/8</f>
        <v>0.875</v>
      </c>
      <c r="Y19" s="49">
        <v>0.4</v>
      </c>
    </row>
    <row r="20" spans="1:25" x14ac:dyDescent="0.35">
      <c r="A20" s="3" t="s">
        <v>10</v>
      </c>
      <c r="B20" s="4">
        <v>0</v>
      </c>
      <c r="C20" s="4">
        <v>0</v>
      </c>
      <c r="D20" s="6">
        <f>SQRT(B20^2+C20^2)</f>
        <v>0</v>
      </c>
      <c r="X20" s="48">
        <v>1</v>
      </c>
      <c r="Y20" s="49">
        <v>0.5</v>
      </c>
    </row>
    <row r="21" spans="1:25" x14ac:dyDescent="0.35">
      <c r="A21" s="3" t="s">
        <v>11</v>
      </c>
      <c r="B21" s="4">
        <v>0</v>
      </c>
      <c r="C21" s="4">
        <v>0</v>
      </c>
      <c r="D21" s="6">
        <f>SQRT(B21^2+C21^2)</f>
        <v>0</v>
      </c>
      <c r="X21" s="48">
        <f>1+1/4</f>
        <v>1.25</v>
      </c>
      <c r="Y21" s="49">
        <v>0.6</v>
      </c>
    </row>
    <row r="22" spans="1:25" x14ac:dyDescent="0.35">
      <c r="A22" s="15" t="s">
        <v>12</v>
      </c>
      <c r="B22" s="4">
        <v>728.38</v>
      </c>
      <c r="C22" s="4">
        <v>89.92</v>
      </c>
      <c r="D22" s="94">
        <f>SQRT(B22^2+C22^2)</f>
        <v>733.90941593632658</v>
      </c>
      <c r="X22" s="48">
        <f>1+1/2</f>
        <v>1.5</v>
      </c>
      <c r="Y22" s="49">
        <v>0.8</v>
      </c>
    </row>
    <row r="23" spans="1:25" x14ac:dyDescent="0.35">
      <c r="A23" s="15" t="s">
        <v>81</v>
      </c>
      <c r="B23" s="4">
        <v>1997.43</v>
      </c>
      <c r="C23" s="4">
        <v>224.81</v>
      </c>
      <c r="D23" s="94">
        <f>SQRT(B23^2+C23^2)</f>
        <v>2010.041328182085</v>
      </c>
      <c r="X23" s="48">
        <f>1+3/4</f>
        <v>1.75</v>
      </c>
      <c r="Y23" s="49">
        <v>1</v>
      </c>
    </row>
    <row r="24" spans="1:25" x14ac:dyDescent="0.35">
      <c r="X24" s="48">
        <f>1+1</f>
        <v>2</v>
      </c>
      <c r="Y24" s="49">
        <v>1.2</v>
      </c>
    </row>
    <row r="25" spans="1:25" x14ac:dyDescent="0.35">
      <c r="X25" s="48">
        <f>2+1/4</f>
        <v>2.25</v>
      </c>
      <c r="Y25" s="49">
        <v>1.4</v>
      </c>
    </row>
    <row r="26" spans="1:25" x14ac:dyDescent="0.35">
      <c r="J26" s="85"/>
      <c r="K26" s="85"/>
      <c r="L26" s="85"/>
      <c r="M26" s="85"/>
      <c r="N26" s="85"/>
      <c r="O26" s="85"/>
      <c r="X26" s="48">
        <f>2+1/2</f>
        <v>2.5</v>
      </c>
      <c r="Y26" s="49">
        <v>1.6</v>
      </c>
    </row>
    <row r="27" spans="1:25" x14ac:dyDescent="0.35">
      <c r="A27" s="7" t="s">
        <v>15</v>
      </c>
      <c r="B27" t="s">
        <v>16</v>
      </c>
      <c r="C27" t="s">
        <v>181</v>
      </c>
      <c r="H27" t="s">
        <v>171</v>
      </c>
      <c r="I27" s="88" t="s">
        <v>168</v>
      </c>
      <c r="J27" s="85"/>
      <c r="K27" s="85"/>
      <c r="L27" s="85"/>
      <c r="M27" s="85"/>
      <c r="N27" s="85"/>
      <c r="O27" s="85"/>
      <c r="P27" s="88" t="s">
        <v>168</v>
      </c>
      <c r="X27" s="48">
        <f>2+3/4</f>
        <v>2.75</v>
      </c>
      <c r="Y27" s="49">
        <v>1.8</v>
      </c>
    </row>
    <row r="28" spans="1:25" x14ac:dyDescent="0.35">
      <c r="A28" s="97" t="s">
        <v>13</v>
      </c>
      <c r="B28" s="98"/>
      <c r="C28" s="98"/>
      <c r="D28" s="99"/>
      <c r="H28" s="88" t="s">
        <v>170</v>
      </c>
      <c r="I28" s="88" t="s">
        <v>168</v>
      </c>
      <c r="J28" s="86"/>
      <c r="K28" s="88" t="s">
        <v>169</v>
      </c>
      <c r="L28" s="87" t="s">
        <v>169</v>
      </c>
      <c r="M28" s="86"/>
      <c r="N28" s="88" t="s">
        <v>169</v>
      </c>
      <c r="O28" s="86"/>
      <c r="P28" s="88" t="s">
        <v>168</v>
      </c>
      <c r="Q28" s="86"/>
      <c r="X28" s="48">
        <f>3</f>
        <v>3</v>
      </c>
      <c r="Y28" s="49">
        <v>2</v>
      </c>
    </row>
    <row r="29" spans="1:25" x14ac:dyDescent="0.35">
      <c r="A29" s="2" t="s">
        <v>14</v>
      </c>
      <c r="B29" s="2" t="s">
        <v>4</v>
      </c>
      <c r="C29" s="2" t="s">
        <v>5</v>
      </c>
      <c r="D29" s="2" t="s">
        <v>6</v>
      </c>
      <c r="H29" s="88" t="s">
        <v>170</v>
      </c>
      <c r="I29" s="88" t="s">
        <v>168</v>
      </c>
      <c r="J29" s="86"/>
      <c r="K29" s="88" t="s">
        <v>169</v>
      </c>
      <c r="L29" s="87" t="s">
        <v>169</v>
      </c>
      <c r="M29" s="86"/>
      <c r="N29" s="88" t="s">
        <v>169</v>
      </c>
      <c r="O29" s="86"/>
      <c r="P29" s="88" t="s">
        <v>168</v>
      </c>
      <c r="Q29" s="86"/>
      <c r="X29" s="48">
        <f>3+1/4</f>
        <v>3.25</v>
      </c>
      <c r="Y29" s="49">
        <v>2.2000000000000002</v>
      </c>
    </row>
    <row r="30" spans="1:25" x14ac:dyDescent="0.35">
      <c r="A30" s="3" t="s">
        <v>8</v>
      </c>
      <c r="B30" s="4">
        <v>40.78</v>
      </c>
      <c r="C30" s="4">
        <v>2.2400000000000002</v>
      </c>
      <c r="D30" s="94">
        <f>SQRT((B30^2)+(C30^2))</f>
        <v>40.841474018453347</v>
      </c>
      <c r="H30" s="88" t="s">
        <v>170</v>
      </c>
      <c r="I30" s="88" t="s">
        <v>168</v>
      </c>
      <c r="J30" s="86"/>
      <c r="K30" s="88" t="s">
        <v>169</v>
      </c>
      <c r="L30" s="87" t="s">
        <v>169</v>
      </c>
      <c r="M30" s="86"/>
      <c r="N30" s="88" t="s">
        <v>169</v>
      </c>
      <c r="O30" s="86"/>
      <c r="P30" s="88" t="s">
        <v>168</v>
      </c>
      <c r="Q30" s="86"/>
      <c r="X30" s="48">
        <f>3+1/2</f>
        <v>3.5</v>
      </c>
      <c r="Y30" s="49">
        <v>2.4</v>
      </c>
    </row>
    <row r="31" spans="1:25" x14ac:dyDescent="0.35">
      <c r="A31" s="3" t="s">
        <v>9</v>
      </c>
      <c r="B31" s="4">
        <v>404.3</v>
      </c>
      <c r="C31" s="4">
        <v>38.21</v>
      </c>
      <c r="D31" s="94">
        <f>SQRT(B31^2+C31^2)</f>
        <v>406.10158101145089</v>
      </c>
      <c r="I31" s="88" t="s">
        <v>168</v>
      </c>
      <c r="J31" s="85"/>
      <c r="K31" s="85"/>
      <c r="L31" s="85"/>
      <c r="M31" s="85"/>
      <c r="N31" s="85"/>
      <c r="O31" s="85"/>
      <c r="P31" s="88" t="s">
        <v>168</v>
      </c>
      <c r="X31" s="48">
        <f>3+3/4</f>
        <v>3.75</v>
      </c>
      <c r="Y31" s="49">
        <v>2.6</v>
      </c>
    </row>
    <row r="32" spans="1:25" x14ac:dyDescent="0.35">
      <c r="A32" s="3" t="s">
        <v>10</v>
      </c>
      <c r="B32" s="4">
        <v>61.65</v>
      </c>
      <c r="C32" s="4">
        <v>25.17</v>
      </c>
      <c r="D32" s="6">
        <f>SQRT(B32^2+C32^2)</f>
        <v>66.590174950964055</v>
      </c>
      <c r="X32" s="48">
        <f>4</f>
        <v>4</v>
      </c>
      <c r="Y32" s="49">
        <v>2.8</v>
      </c>
    </row>
    <row r="33" spans="1:25" x14ac:dyDescent="0.35">
      <c r="A33" s="3" t="s">
        <v>11</v>
      </c>
      <c r="B33" s="4">
        <v>1330.7</v>
      </c>
      <c r="C33" s="4">
        <v>160.06</v>
      </c>
      <c r="D33" s="6">
        <f>SQRT(B33^2+C33^2)</f>
        <v>1340.2916449788083</v>
      </c>
      <c r="H33" s="91" t="s">
        <v>8</v>
      </c>
      <c r="I33" s="91" t="s">
        <v>9</v>
      </c>
      <c r="J33" s="89"/>
      <c r="K33" s="91" t="s">
        <v>10</v>
      </c>
      <c r="L33" s="91"/>
      <c r="M33" s="90" t="s">
        <v>11</v>
      </c>
      <c r="N33" s="91" t="s">
        <v>12</v>
      </c>
      <c r="O33" s="89"/>
      <c r="P33" s="91" t="s">
        <v>81</v>
      </c>
      <c r="X33" s="48">
        <f>4+1/4</f>
        <v>4.25</v>
      </c>
      <c r="Y33" s="49">
        <v>3</v>
      </c>
    </row>
    <row r="34" spans="1:25" x14ac:dyDescent="0.35">
      <c r="A34" s="15" t="s">
        <v>12</v>
      </c>
      <c r="B34" s="4">
        <v>3272.34</v>
      </c>
      <c r="C34" s="4">
        <v>366.44</v>
      </c>
      <c r="D34" s="94">
        <f>SQRT(B34^2+C34^2)</f>
        <v>3292.7932442229044</v>
      </c>
      <c r="X34" s="48">
        <f>4+1/2</f>
        <v>4.5</v>
      </c>
      <c r="Y34" s="49">
        <v>3.2</v>
      </c>
    </row>
    <row r="35" spans="1:25" x14ac:dyDescent="0.35">
      <c r="A35" s="15" t="s">
        <v>81</v>
      </c>
      <c r="B35" s="4">
        <v>323.02999999999997</v>
      </c>
      <c r="C35" s="4">
        <v>38.21</v>
      </c>
      <c r="D35" s="94">
        <f>SQRT(B35^2+C35^2)</f>
        <v>325.28200841731166</v>
      </c>
      <c r="H35" t="s">
        <v>180</v>
      </c>
      <c r="K35" t="s">
        <v>179</v>
      </c>
      <c r="X35" s="48">
        <f>4+3/4</f>
        <v>4.75</v>
      </c>
      <c r="Y35" s="49">
        <v>3.4</v>
      </c>
    </row>
    <row r="36" spans="1:25" x14ac:dyDescent="0.35">
      <c r="H36" s="4">
        <v>8050</v>
      </c>
      <c r="I36" s="4">
        <v>800</v>
      </c>
      <c r="K36" s="4">
        <v>188.4</v>
      </c>
      <c r="L36" s="4">
        <v>10</v>
      </c>
      <c r="X36" s="48">
        <f>5</f>
        <v>5</v>
      </c>
      <c r="Y36" s="49">
        <v>3.6</v>
      </c>
    </row>
    <row r="37" spans="1:25" x14ac:dyDescent="0.35">
      <c r="H37" s="4">
        <v>4289</v>
      </c>
      <c r="I37" s="4">
        <v>300</v>
      </c>
      <c r="K37" s="4">
        <v>1798.4</v>
      </c>
      <c r="L37" s="4">
        <v>170</v>
      </c>
      <c r="X37" s="48">
        <f>5+1/4</f>
        <v>5.25</v>
      </c>
      <c r="Y37" s="49">
        <v>3.8</v>
      </c>
    </row>
    <row r="38" spans="1:25" x14ac:dyDescent="0.35">
      <c r="H38" s="4">
        <v>0</v>
      </c>
      <c r="I38" s="4">
        <v>0</v>
      </c>
      <c r="K38" s="4">
        <v>274.25</v>
      </c>
      <c r="L38" s="4">
        <v>112</v>
      </c>
      <c r="X38" s="48">
        <f>5+1/2</f>
        <v>5.5</v>
      </c>
      <c r="Y38" s="49">
        <v>4</v>
      </c>
    </row>
    <row r="39" spans="1:25" x14ac:dyDescent="0.35">
      <c r="H39" s="4">
        <v>0</v>
      </c>
      <c r="I39" s="4">
        <v>0</v>
      </c>
      <c r="K39" s="4">
        <v>5919.25</v>
      </c>
      <c r="L39" s="4">
        <v>712</v>
      </c>
      <c r="X39" s="48">
        <f>5+3/4</f>
        <v>5.75</v>
      </c>
      <c r="Y39" s="49">
        <v>4.2</v>
      </c>
    </row>
    <row r="40" spans="1:25" x14ac:dyDescent="0.35">
      <c r="H40" s="4">
        <v>3240</v>
      </c>
      <c r="I40" s="4">
        <v>400</v>
      </c>
      <c r="K40" s="4">
        <v>14556.1</v>
      </c>
      <c r="L40" s="4">
        <v>1630</v>
      </c>
      <c r="X40" s="48">
        <f>6</f>
        <v>6</v>
      </c>
      <c r="Y40" s="49">
        <v>4.4000000000000004</v>
      </c>
    </row>
    <row r="41" spans="1:25" x14ac:dyDescent="0.35">
      <c r="H41" s="4">
        <v>8885</v>
      </c>
      <c r="I41" s="4">
        <v>1000</v>
      </c>
      <c r="K41" s="4">
        <v>1436.9</v>
      </c>
      <c r="L41" s="4">
        <v>170</v>
      </c>
      <c r="X41" s="48">
        <f>6+1/2</f>
        <v>6.5</v>
      </c>
      <c r="Y41" s="49">
        <v>4.5999999999999996</v>
      </c>
    </row>
    <row r="42" spans="1:25" x14ac:dyDescent="0.35">
      <c r="X42" s="48">
        <f>7</f>
        <v>7</v>
      </c>
      <c r="Y42" s="49">
        <v>4.8</v>
      </c>
    </row>
    <row r="43" spans="1:25" x14ac:dyDescent="0.35">
      <c r="X43" s="48">
        <f>7+1/2</f>
        <v>7.5</v>
      </c>
      <c r="Y43" s="49">
        <v>5</v>
      </c>
    </row>
    <row r="44" spans="1:25" x14ac:dyDescent="0.35">
      <c r="X44" s="48">
        <f>8</f>
        <v>8</v>
      </c>
      <c r="Y44" s="49">
        <v>5.2</v>
      </c>
    </row>
    <row r="45" spans="1:25" x14ac:dyDescent="0.35">
      <c r="X45" s="48">
        <f>8+1/2</f>
        <v>8.5</v>
      </c>
      <c r="Y45" s="49">
        <v>5.4</v>
      </c>
    </row>
    <row r="46" spans="1:25" x14ac:dyDescent="0.35">
      <c r="X46" s="48">
        <v>9</v>
      </c>
      <c r="Y46" s="49">
        <v>5.6</v>
      </c>
    </row>
    <row r="47" spans="1:25" x14ac:dyDescent="0.35">
      <c r="X47" s="48">
        <f>9+1/2</f>
        <v>9.5</v>
      </c>
      <c r="Y47" s="49">
        <v>5.8</v>
      </c>
    </row>
    <row r="48" spans="1:25" x14ac:dyDescent="0.35">
      <c r="X48" s="48">
        <f>10</f>
        <v>10</v>
      </c>
      <c r="Y48" s="49">
        <v>6</v>
      </c>
    </row>
    <row r="49" spans="24:25" x14ac:dyDescent="0.35">
      <c r="X49" s="48">
        <f>10+1/2</f>
        <v>10.5</v>
      </c>
      <c r="Y49" s="49">
        <v>6.5</v>
      </c>
    </row>
    <row r="50" spans="24:25" x14ac:dyDescent="0.35">
      <c r="X50" s="48">
        <f>11</f>
        <v>11</v>
      </c>
      <c r="Y50" s="49">
        <v>7</v>
      </c>
    </row>
    <row r="51" spans="24:25" x14ac:dyDescent="0.35">
      <c r="X51" s="48">
        <f>11+1/2</f>
        <v>11.5</v>
      </c>
      <c r="Y51" s="49">
        <v>7.5</v>
      </c>
    </row>
    <row r="52" spans="24:25" x14ac:dyDescent="0.35">
      <c r="X52" s="48">
        <f>12</f>
        <v>12</v>
      </c>
      <c r="Y52" s="49">
        <v>8</v>
      </c>
    </row>
    <row r="53" spans="24:25" x14ac:dyDescent="0.35">
      <c r="X53" s="48">
        <f>12+1/2</f>
        <v>12.5</v>
      </c>
      <c r="Y53" s="49">
        <v>8.5</v>
      </c>
    </row>
    <row r="54" spans="24:25" x14ac:dyDescent="0.35">
      <c r="X54" s="48">
        <f>13</f>
        <v>13</v>
      </c>
      <c r="Y54" s="49">
        <v>9</v>
      </c>
    </row>
    <row r="55" spans="24:25" x14ac:dyDescent="0.35">
      <c r="X55" s="48">
        <f>13+1/2</f>
        <v>13.5</v>
      </c>
      <c r="Y55" s="49">
        <v>9.5</v>
      </c>
    </row>
    <row r="56" spans="24:25" x14ac:dyDescent="0.35">
      <c r="X56" s="48">
        <f>14</f>
        <v>14</v>
      </c>
      <c r="Y56" s="49">
        <v>10</v>
      </c>
    </row>
    <row r="57" spans="24:25" x14ac:dyDescent="0.35">
      <c r="X57" s="48">
        <f>14+1/2</f>
        <v>14.5</v>
      </c>
      <c r="Y57" s="49">
        <v>10.5</v>
      </c>
    </row>
    <row r="58" spans="24:25" x14ac:dyDescent="0.35">
      <c r="X58" s="48">
        <f>15</f>
        <v>15</v>
      </c>
      <c r="Y58" s="49">
        <v>11</v>
      </c>
    </row>
    <row r="59" spans="24:25" x14ac:dyDescent="0.35">
      <c r="X59" s="48">
        <f>15+1/2</f>
        <v>15.5</v>
      </c>
      <c r="Y59" s="49">
        <v>11.5</v>
      </c>
    </row>
    <row r="60" spans="24:25" x14ac:dyDescent="0.35">
      <c r="X60" s="48">
        <f>16</f>
        <v>16</v>
      </c>
      <c r="Y60" s="49">
        <v>12</v>
      </c>
    </row>
    <row r="61" spans="24:25" x14ac:dyDescent="0.35">
      <c r="X61" s="48">
        <f>16+1/2</f>
        <v>16.5</v>
      </c>
      <c r="Y61" s="49">
        <v>12.5</v>
      </c>
    </row>
    <row r="62" spans="24:25" x14ac:dyDescent="0.35">
      <c r="X62" s="48">
        <f>17</f>
        <v>17</v>
      </c>
      <c r="Y62" s="49">
        <v>13</v>
      </c>
    </row>
    <row r="63" spans="24:25" x14ac:dyDescent="0.35">
      <c r="X63" s="48">
        <f>17+1/2</f>
        <v>17.5</v>
      </c>
      <c r="Y63" s="49">
        <v>13.5</v>
      </c>
    </row>
    <row r="64" spans="24:25" x14ac:dyDescent="0.35">
      <c r="X64" s="48">
        <f>18</f>
        <v>18</v>
      </c>
      <c r="Y64" s="49">
        <v>14</v>
      </c>
    </row>
    <row r="65" spans="24:25" x14ac:dyDescent="0.35">
      <c r="X65" s="48">
        <f>18+1/2</f>
        <v>18.5</v>
      </c>
      <c r="Y65" s="49">
        <v>14.5</v>
      </c>
    </row>
    <row r="66" spans="24:25" x14ac:dyDescent="0.35">
      <c r="X66" s="48">
        <f>19</f>
        <v>19</v>
      </c>
      <c r="Y66" s="49">
        <v>15</v>
      </c>
    </row>
    <row r="67" spans="24:25" x14ac:dyDescent="0.35">
      <c r="X67" s="48">
        <f>19+1/2</f>
        <v>19.5</v>
      </c>
      <c r="Y67" s="49">
        <v>15.5</v>
      </c>
    </row>
    <row r="68" spans="24:25" x14ac:dyDescent="0.35">
      <c r="X68" s="48">
        <f>20</f>
        <v>20</v>
      </c>
      <c r="Y68" s="49">
        <v>16</v>
      </c>
    </row>
    <row r="69" spans="24:25" x14ac:dyDescent="0.35">
      <c r="X69" s="2"/>
      <c r="Y69" s="49">
        <v>16.5</v>
      </c>
    </row>
    <row r="70" spans="24:25" x14ac:dyDescent="0.35">
      <c r="X70" s="2"/>
      <c r="Y70" s="49">
        <v>17</v>
      </c>
    </row>
    <row r="71" spans="24:25" x14ac:dyDescent="0.35">
      <c r="X71" s="2"/>
      <c r="Y71" s="49">
        <v>17.5</v>
      </c>
    </row>
    <row r="72" spans="24:25" x14ac:dyDescent="0.35">
      <c r="X72" s="2"/>
      <c r="Y72" s="49">
        <v>18</v>
      </c>
    </row>
    <row r="73" spans="24:25" x14ac:dyDescent="0.35">
      <c r="X73" s="2"/>
      <c r="Y73" s="49">
        <v>18.5</v>
      </c>
    </row>
    <row r="74" spans="24:25" x14ac:dyDescent="0.35">
      <c r="X74" s="2"/>
      <c r="Y74" s="49">
        <v>19</v>
      </c>
    </row>
    <row r="75" spans="24:25" x14ac:dyDescent="0.35">
      <c r="X75" s="2"/>
      <c r="Y75" s="49">
        <v>19.5</v>
      </c>
    </row>
    <row r="76" spans="24:25" x14ac:dyDescent="0.35">
      <c r="X76" s="2"/>
      <c r="Y76" s="49">
        <v>20</v>
      </c>
    </row>
  </sheetData>
  <mergeCells count="16">
    <mergeCell ref="X1:X2"/>
    <mergeCell ref="Y1:Y2"/>
    <mergeCell ref="U3:U5"/>
    <mergeCell ref="V3:V5"/>
    <mergeCell ref="A28:D28"/>
    <mergeCell ref="H6:H7"/>
    <mergeCell ref="H8:H9"/>
    <mergeCell ref="H10:H11"/>
    <mergeCell ref="H12:H13"/>
    <mergeCell ref="H14:H15"/>
    <mergeCell ref="M1:M4"/>
    <mergeCell ref="J1:J4"/>
    <mergeCell ref="A13:D13"/>
    <mergeCell ref="A14:D14"/>
    <mergeCell ref="A16:D16"/>
    <mergeCell ref="H16:H17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609DF-79A6-C04A-B656-CCED9A3B139A}">
  <dimension ref="A3:U55"/>
  <sheetViews>
    <sheetView topLeftCell="D1" zoomScale="75" workbookViewId="0">
      <selection activeCell="J23" sqref="J23"/>
    </sheetView>
  </sheetViews>
  <sheetFormatPr baseColWidth="10" defaultColWidth="10.83203125" defaultRowHeight="14.5" x14ac:dyDescent="0.35"/>
  <cols>
    <col min="1" max="1" width="15.83203125" style="18" bestFit="1" customWidth="1"/>
    <col min="2" max="2" width="18.6640625" style="18" customWidth="1"/>
    <col min="3" max="3" width="17.83203125" style="18" bestFit="1" customWidth="1"/>
    <col min="4" max="16384" width="10.83203125" style="18"/>
  </cols>
  <sheetData>
    <row r="3" spans="1:18" ht="16" customHeight="1" x14ac:dyDescent="0.35">
      <c r="B3" s="111" t="s">
        <v>45</v>
      </c>
      <c r="C3" s="111" t="s">
        <v>46</v>
      </c>
    </row>
    <row r="4" spans="1:18" x14ac:dyDescent="0.35">
      <c r="B4" s="111"/>
      <c r="C4" s="111"/>
    </row>
    <row r="5" spans="1:18" x14ac:dyDescent="0.35">
      <c r="B5" s="19" t="s">
        <v>47</v>
      </c>
      <c r="C5" s="19" t="s">
        <v>48</v>
      </c>
      <c r="D5" s="52"/>
    </row>
    <row r="6" spans="1:18" x14ac:dyDescent="0.35">
      <c r="B6" s="50">
        <v>22335</v>
      </c>
      <c r="C6" s="50">
        <v>33503</v>
      </c>
      <c r="D6" s="52"/>
    </row>
    <row r="7" spans="1:18" x14ac:dyDescent="0.35">
      <c r="B7" s="18" t="s">
        <v>59</v>
      </c>
      <c r="C7" s="18" t="s">
        <v>32</v>
      </c>
    </row>
    <row r="8" spans="1:18" x14ac:dyDescent="0.35">
      <c r="A8" s="112" t="s">
        <v>49</v>
      </c>
      <c r="B8" s="112"/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2"/>
      <c r="P8" s="112"/>
    </row>
    <row r="10" spans="1:18" x14ac:dyDescent="0.35">
      <c r="A10" s="108" t="s">
        <v>50</v>
      </c>
      <c r="B10" s="109"/>
      <c r="C10" s="109"/>
      <c r="D10" s="109"/>
      <c r="E10" s="109"/>
      <c r="F10" s="109"/>
      <c r="G10" s="109"/>
      <c r="H10" s="109"/>
      <c r="I10" s="110"/>
      <c r="P10" s="18">
        <f>Se/(L15*M15*N15*O15*P15)</f>
        <v>11167.5</v>
      </c>
    </row>
    <row r="11" spans="1:18" x14ac:dyDescent="0.35">
      <c r="B11" s="19" t="s">
        <v>164</v>
      </c>
      <c r="C11" s="20" t="s">
        <v>160</v>
      </c>
      <c r="I11" s="21"/>
    </row>
    <row r="12" spans="1:18" x14ac:dyDescent="0.35">
      <c r="B12" s="19" t="s">
        <v>51</v>
      </c>
      <c r="C12" s="20" t="s">
        <v>163</v>
      </c>
      <c r="I12" s="21"/>
    </row>
    <row r="13" spans="1:18" ht="15" thickBot="1" x14ac:dyDescent="0.4">
      <c r="F13" s="116" t="s">
        <v>156</v>
      </c>
      <c r="G13" s="116"/>
      <c r="H13" s="117" t="s">
        <v>155</v>
      </c>
      <c r="I13" s="21"/>
    </row>
    <row r="14" spans="1:18" x14ac:dyDescent="0.35">
      <c r="A14" s="80" t="s">
        <v>166</v>
      </c>
      <c r="B14" s="80">
        <f>LOOKUP(C11,$E$15:$E$18,$F$15:$F$18)</f>
        <v>2.7</v>
      </c>
      <c r="F14" s="23" t="s">
        <v>157</v>
      </c>
      <c r="G14" s="23" t="s">
        <v>158</v>
      </c>
      <c r="H14" s="117"/>
      <c r="I14" s="21"/>
      <c r="K14" s="24" t="s">
        <v>38</v>
      </c>
      <c r="L14" s="25" t="s">
        <v>52</v>
      </c>
      <c r="M14" s="25" t="s">
        <v>53</v>
      </c>
      <c r="N14" s="25" t="s">
        <v>54</v>
      </c>
      <c r="O14" s="25" t="s">
        <v>55</v>
      </c>
      <c r="P14" s="25" t="s">
        <v>56</v>
      </c>
      <c r="Q14" s="25" t="s">
        <v>57</v>
      </c>
      <c r="R14" s="26" t="s">
        <v>58</v>
      </c>
    </row>
    <row r="15" spans="1:18" ht="15" thickBot="1" x14ac:dyDescent="0.4">
      <c r="A15" s="80" t="s">
        <v>167</v>
      </c>
      <c r="B15" s="80">
        <f>LOOKUP(C11,$E$15:$E$18,$G$15:$G$18)</f>
        <v>4.51</v>
      </c>
      <c r="E15" s="19" t="s">
        <v>159</v>
      </c>
      <c r="F15" s="23">
        <v>1.34</v>
      </c>
      <c r="G15" s="23">
        <v>1.58</v>
      </c>
      <c r="H15" s="23">
        <v>-8.5000000000000006E-2</v>
      </c>
      <c r="I15" s="21"/>
      <c r="K15" s="84">
        <f>L15*M15*N15*O15*P15*Q15*R15</f>
        <v>1164.5967099787861</v>
      </c>
      <c r="L15" s="28">
        <f>B19</f>
        <v>0.19005639426452062</v>
      </c>
      <c r="M15" s="28">
        <f>B28</f>
        <v>0.7816278045883297</v>
      </c>
      <c r="N15" s="28">
        <f>B40</f>
        <v>1</v>
      </c>
      <c r="O15" s="28">
        <v>1</v>
      </c>
      <c r="P15" s="28">
        <f>L36</f>
        <v>0.70199999999999996</v>
      </c>
      <c r="Q15" s="28">
        <v>1</v>
      </c>
      <c r="R15" s="51">
        <f>0.5*B6</f>
        <v>11167.5</v>
      </c>
    </row>
    <row r="16" spans="1:18" x14ac:dyDescent="0.35">
      <c r="A16" s="80" t="s">
        <v>165</v>
      </c>
      <c r="B16" s="80">
        <f>LOOKUP(C11,$E$15:$E$18,$H$15:$H$18)</f>
        <v>-0.26500000000000001</v>
      </c>
      <c r="E16" s="19" t="s">
        <v>160</v>
      </c>
      <c r="F16" s="23">
        <v>2.7</v>
      </c>
      <c r="G16" s="23">
        <v>4.51</v>
      </c>
      <c r="H16" s="23">
        <v>-0.26500000000000001</v>
      </c>
      <c r="I16" s="21"/>
      <c r="K16" s="18" t="s">
        <v>32</v>
      </c>
      <c r="R16" s="18" t="s">
        <v>32</v>
      </c>
    </row>
    <row r="17" spans="1:21" x14ac:dyDescent="0.35">
      <c r="E17" s="19" t="s">
        <v>161</v>
      </c>
      <c r="F17" s="23">
        <v>14.4</v>
      </c>
      <c r="G17" s="23">
        <v>57.7</v>
      </c>
      <c r="H17" s="23">
        <v>-0.71799999999999997</v>
      </c>
      <c r="I17" s="21"/>
    </row>
    <row r="18" spans="1:21" x14ac:dyDescent="0.35">
      <c r="A18" s="27"/>
      <c r="E18" s="19" t="s">
        <v>162</v>
      </c>
      <c r="F18" s="23">
        <v>39.9</v>
      </c>
      <c r="G18" s="23">
        <v>272</v>
      </c>
      <c r="H18" s="23">
        <v>-0.995</v>
      </c>
      <c r="I18" s="21"/>
      <c r="K18" s="113" t="s">
        <v>61</v>
      </c>
      <c r="L18" s="114"/>
      <c r="M18" s="114"/>
      <c r="N18" s="114"/>
      <c r="O18" s="114"/>
      <c r="P18" s="114"/>
      <c r="Q18" s="114"/>
      <c r="R18" s="114"/>
      <c r="S18" s="115"/>
    </row>
    <row r="19" spans="1:21" x14ac:dyDescent="0.35">
      <c r="A19" s="29" t="s">
        <v>60</v>
      </c>
      <c r="B19" s="81">
        <f>IF(C12="kpsi",B14*B6^B16,B15*B6^B16)</f>
        <v>0.19005639426452062</v>
      </c>
      <c r="I19" s="21"/>
      <c r="K19" s="31"/>
      <c r="L19" s="32"/>
      <c r="M19" s="32"/>
      <c r="N19" s="32"/>
      <c r="O19" s="32"/>
      <c r="P19" s="32"/>
      <c r="Q19" s="32"/>
      <c r="R19" s="32"/>
      <c r="S19" s="33"/>
    </row>
    <row r="20" spans="1:21" x14ac:dyDescent="0.35">
      <c r="A20" s="27"/>
      <c r="C20" s="18">
        <v>0.84536627400713482</v>
      </c>
      <c r="I20" s="21"/>
      <c r="K20" s="31"/>
      <c r="L20" s="32"/>
      <c r="M20" s="32"/>
      <c r="N20" s="32"/>
      <c r="O20" s="32"/>
      <c r="P20" s="32"/>
      <c r="Q20" s="32"/>
      <c r="R20" s="32"/>
      <c r="S20" s="33"/>
    </row>
    <row r="21" spans="1:21" x14ac:dyDescent="0.35">
      <c r="A21" s="34"/>
      <c r="B21" s="35"/>
      <c r="C21" s="35"/>
      <c r="D21" s="35"/>
      <c r="E21" s="35"/>
      <c r="F21" s="35"/>
      <c r="G21" s="35"/>
      <c r="H21" s="35"/>
      <c r="I21" s="36"/>
      <c r="K21" s="31"/>
      <c r="L21" s="32"/>
      <c r="M21" s="32"/>
      <c r="N21" s="32"/>
      <c r="O21" s="32"/>
      <c r="P21" s="32"/>
      <c r="Q21" s="32"/>
      <c r="R21" s="32"/>
      <c r="S21" s="33"/>
    </row>
    <row r="22" spans="1:21" x14ac:dyDescent="0.35">
      <c r="K22" s="31"/>
      <c r="L22" s="37"/>
      <c r="M22" s="32"/>
      <c r="N22" s="32"/>
      <c r="O22" s="32"/>
      <c r="P22" s="32"/>
      <c r="Q22" s="32"/>
      <c r="R22" s="32"/>
      <c r="S22" s="33"/>
    </row>
    <row r="23" spans="1:21" x14ac:dyDescent="0.35">
      <c r="K23" s="31"/>
      <c r="L23" s="32"/>
      <c r="M23" s="32"/>
      <c r="N23" s="32"/>
      <c r="O23" s="32"/>
      <c r="P23" s="32"/>
      <c r="Q23" s="32"/>
      <c r="R23" s="32"/>
      <c r="S23" s="33"/>
    </row>
    <row r="24" spans="1:21" x14ac:dyDescent="0.35">
      <c r="A24" s="108" t="s">
        <v>62</v>
      </c>
      <c r="B24" s="109"/>
      <c r="C24" s="109"/>
      <c r="D24" s="109"/>
      <c r="E24" s="109"/>
      <c r="F24" s="109"/>
      <c r="G24" s="109"/>
      <c r="H24" s="109"/>
      <c r="I24" s="110"/>
      <c r="K24" s="31"/>
      <c r="L24" s="32"/>
      <c r="M24" s="32"/>
      <c r="N24" s="32"/>
      <c r="O24" s="32"/>
      <c r="P24" s="32"/>
      <c r="Q24" s="32"/>
      <c r="R24" s="32"/>
      <c r="S24" s="33"/>
    </row>
    <row r="25" spans="1:21" x14ac:dyDescent="0.35">
      <c r="A25" s="18" t="s">
        <v>63</v>
      </c>
      <c r="B25" s="18" t="s">
        <v>64</v>
      </c>
      <c r="C25" s="18" t="s">
        <v>51</v>
      </c>
      <c r="I25" s="21"/>
      <c r="K25" s="31"/>
      <c r="L25" s="32"/>
      <c r="M25" s="32"/>
      <c r="N25" s="32"/>
      <c r="O25" s="32"/>
      <c r="P25" s="32"/>
      <c r="Q25" s="32"/>
      <c r="R25" s="32"/>
      <c r="S25" s="33"/>
    </row>
    <row r="26" spans="1:21" x14ac:dyDescent="0.35">
      <c r="A26" s="22">
        <v>78.739999999999995</v>
      </c>
      <c r="B26" s="18">
        <v>3</v>
      </c>
      <c r="C26" s="22">
        <v>1</v>
      </c>
      <c r="I26" s="21"/>
      <c r="K26" s="31"/>
      <c r="L26" s="32"/>
      <c r="M26" s="32"/>
      <c r="N26" s="32"/>
      <c r="O26" s="32"/>
      <c r="P26" s="32"/>
      <c r="Q26" s="32"/>
      <c r="R26" s="32"/>
      <c r="S26" s="33"/>
    </row>
    <row r="27" spans="1:21" x14ac:dyDescent="0.35">
      <c r="I27" s="21"/>
      <c r="K27" s="31"/>
      <c r="L27" s="32"/>
      <c r="M27" s="32"/>
      <c r="N27" s="32"/>
      <c r="O27" s="32"/>
      <c r="P27" s="32"/>
      <c r="Q27" s="32"/>
      <c r="R27" s="32"/>
      <c r="S27" s="33"/>
    </row>
    <row r="28" spans="1:21" x14ac:dyDescent="0.35">
      <c r="A28" s="18" t="s">
        <v>65</v>
      </c>
      <c r="B28" s="38">
        <f>(B26/0.3)^-0.107</f>
        <v>0.7816278045883297</v>
      </c>
      <c r="C28" s="39"/>
      <c r="I28" s="21"/>
      <c r="K28" s="31"/>
      <c r="L28" s="37"/>
      <c r="M28" s="32"/>
      <c r="N28" s="32"/>
      <c r="O28" s="32"/>
      <c r="P28" s="32"/>
      <c r="Q28" s="32"/>
      <c r="R28" s="32"/>
      <c r="S28" s="33"/>
    </row>
    <row r="29" spans="1:21" x14ac:dyDescent="0.35">
      <c r="A29" s="18" t="s">
        <v>66</v>
      </c>
      <c r="B29" s="18">
        <f>0.91*B26^-0.157</f>
        <v>0.765831728629498</v>
      </c>
      <c r="I29" s="21"/>
      <c r="K29" s="40"/>
      <c r="L29" s="41"/>
      <c r="M29" s="41"/>
      <c r="N29" s="41"/>
      <c r="O29" s="41"/>
      <c r="P29" s="41"/>
      <c r="Q29" s="41"/>
      <c r="R29" s="41"/>
      <c r="S29" s="42"/>
    </row>
    <row r="30" spans="1:21" x14ac:dyDescent="0.35">
      <c r="A30" s="18" t="s">
        <v>67</v>
      </c>
      <c r="B30" s="18">
        <f>(B26/7.62)^-0.107</f>
        <v>1.1048853309292819</v>
      </c>
      <c r="I30" s="21"/>
    </row>
    <row r="31" spans="1:21" x14ac:dyDescent="0.35">
      <c r="A31" s="18" t="s">
        <v>68</v>
      </c>
      <c r="B31" s="18">
        <f>1.15*B26^-0.157</f>
        <v>0.967809327388926</v>
      </c>
      <c r="I31" s="21"/>
      <c r="K31" s="108" t="s">
        <v>69</v>
      </c>
      <c r="L31" s="109"/>
      <c r="M31" s="109"/>
      <c r="N31" s="109"/>
      <c r="O31" s="109"/>
      <c r="P31" s="109"/>
      <c r="Q31" s="109"/>
      <c r="R31" s="109"/>
      <c r="S31" s="109"/>
      <c r="T31" s="109"/>
      <c r="U31" s="110"/>
    </row>
    <row r="32" spans="1:21" x14ac:dyDescent="0.35">
      <c r="A32" s="27"/>
      <c r="I32" s="21"/>
      <c r="K32" s="27"/>
      <c r="U32" s="21"/>
    </row>
    <row r="33" spans="1:21" x14ac:dyDescent="0.35">
      <c r="A33" s="27"/>
      <c r="I33" s="21"/>
      <c r="K33" s="27" t="s">
        <v>70</v>
      </c>
      <c r="L33" s="22">
        <v>99.99</v>
      </c>
      <c r="N33" s="18" t="s">
        <v>71</v>
      </c>
      <c r="O33" s="18" t="s">
        <v>56</v>
      </c>
      <c r="U33" s="21"/>
    </row>
    <row r="34" spans="1:21" x14ac:dyDescent="0.35">
      <c r="A34" s="27"/>
      <c r="B34" s="43">
        <f>IF(C26=1,IF(B26&lt;=10&amp;B26&gt;=0.11,B28,B29),IF(B26&lt;=51&amp;B26&gt;=2.79,B30,B31))</f>
        <v>0.7816278045883297</v>
      </c>
      <c r="I34" s="21"/>
      <c r="K34" s="27"/>
      <c r="N34" s="18">
        <v>50</v>
      </c>
      <c r="O34" s="18">
        <v>1</v>
      </c>
      <c r="U34" s="21"/>
    </row>
    <row r="35" spans="1:21" x14ac:dyDescent="0.35">
      <c r="A35" s="34"/>
      <c r="B35" s="35"/>
      <c r="C35" s="35"/>
      <c r="D35" s="35"/>
      <c r="E35" s="35"/>
      <c r="F35" s="35"/>
      <c r="G35" s="35"/>
      <c r="H35" s="35"/>
      <c r="I35" s="36"/>
      <c r="K35" s="44"/>
      <c r="N35" s="18">
        <v>90</v>
      </c>
      <c r="O35" s="18">
        <v>0.89700000000000002</v>
      </c>
      <c r="U35" s="21"/>
    </row>
    <row r="36" spans="1:21" x14ac:dyDescent="0.35">
      <c r="K36" s="27" t="s">
        <v>72</v>
      </c>
      <c r="L36" s="30">
        <f>LOOKUP(L33,N34:N41,O34:O41)</f>
        <v>0.70199999999999996</v>
      </c>
      <c r="N36" s="18">
        <v>95</v>
      </c>
      <c r="O36" s="18">
        <v>0.86799999999999999</v>
      </c>
      <c r="U36" s="21"/>
    </row>
    <row r="37" spans="1:21" x14ac:dyDescent="0.35">
      <c r="A37" s="108" t="s">
        <v>73</v>
      </c>
      <c r="B37" s="109"/>
      <c r="C37" s="109"/>
      <c r="D37" s="109"/>
      <c r="E37" s="109"/>
      <c r="F37" s="109"/>
      <c r="G37" s="109"/>
      <c r="H37" s="109"/>
      <c r="I37" s="110"/>
      <c r="K37" s="27"/>
      <c r="N37" s="18">
        <v>99</v>
      </c>
      <c r="O37" s="18">
        <v>0.81399999999999995</v>
      </c>
      <c r="U37" s="21"/>
    </row>
    <row r="38" spans="1:21" x14ac:dyDescent="0.35">
      <c r="I38" s="21"/>
      <c r="K38" s="27"/>
      <c r="N38" s="18">
        <v>99.9</v>
      </c>
      <c r="O38" s="18">
        <v>0.753</v>
      </c>
      <c r="U38" s="21"/>
    </row>
    <row r="39" spans="1:21" x14ac:dyDescent="0.35">
      <c r="A39" s="18" t="s">
        <v>74</v>
      </c>
      <c r="B39" s="18" t="s">
        <v>75</v>
      </c>
      <c r="D39" s="18" t="s">
        <v>54</v>
      </c>
      <c r="I39" s="21"/>
      <c r="K39" s="27"/>
      <c r="N39" s="18">
        <v>99.99</v>
      </c>
      <c r="O39" s="18">
        <v>0.70199999999999996</v>
      </c>
      <c r="U39" s="21"/>
    </row>
    <row r="40" spans="1:21" x14ac:dyDescent="0.35">
      <c r="A40" s="22" t="s">
        <v>76</v>
      </c>
      <c r="B40" s="30" cm="1">
        <f t="array" ref="B40">_xlfn.XLOOKUP(A40,C40:C42,D40:D42, no existe, 0)</f>
        <v>1</v>
      </c>
      <c r="C40" s="18" t="s">
        <v>76</v>
      </c>
      <c r="D40" s="38">
        <v>1</v>
      </c>
      <c r="I40" s="21"/>
      <c r="K40" s="27"/>
      <c r="N40" s="18">
        <v>99.998999999999995</v>
      </c>
      <c r="O40" s="18">
        <v>0.65900000000000003</v>
      </c>
      <c r="U40" s="21"/>
    </row>
    <row r="41" spans="1:21" x14ac:dyDescent="0.35">
      <c r="C41" s="18" t="s">
        <v>77</v>
      </c>
      <c r="D41" s="38">
        <v>0.85</v>
      </c>
      <c r="I41" s="21"/>
      <c r="K41" s="27"/>
      <c r="L41" s="43"/>
      <c r="N41" s="18">
        <v>99.999899999999997</v>
      </c>
      <c r="O41" s="18">
        <v>0.60199999999999998</v>
      </c>
      <c r="U41" s="21"/>
    </row>
    <row r="42" spans="1:21" x14ac:dyDescent="0.35">
      <c r="C42" s="18" t="s">
        <v>78</v>
      </c>
      <c r="D42" s="38">
        <v>0.59</v>
      </c>
      <c r="I42" s="21"/>
      <c r="K42" s="34"/>
      <c r="L42" s="35"/>
      <c r="M42" s="35"/>
      <c r="N42" s="35"/>
      <c r="O42" s="35"/>
      <c r="P42" s="35"/>
      <c r="Q42" s="35"/>
      <c r="R42" s="35"/>
      <c r="S42" s="35"/>
      <c r="T42" s="35"/>
      <c r="U42" s="36"/>
    </row>
    <row r="43" spans="1:21" x14ac:dyDescent="0.35">
      <c r="I43" s="21"/>
    </row>
    <row r="44" spans="1:21" x14ac:dyDescent="0.35">
      <c r="I44" s="21"/>
      <c r="K44" s="108" t="s">
        <v>79</v>
      </c>
      <c r="L44" s="109"/>
      <c r="M44" s="109"/>
      <c r="N44" s="109"/>
      <c r="O44" s="109"/>
      <c r="P44" s="109"/>
      <c r="Q44" s="109"/>
      <c r="R44" s="109"/>
      <c r="S44" s="110"/>
    </row>
    <row r="45" spans="1:21" x14ac:dyDescent="0.35">
      <c r="I45" s="21"/>
      <c r="K45" s="27"/>
      <c r="S45" s="21"/>
    </row>
    <row r="46" spans="1:21" x14ac:dyDescent="0.35">
      <c r="I46" s="21"/>
      <c r="K46" s="27"/>
      <c r="S46" s="21"/>
    </row>
    <row r="47" spans="1:21" x14ac:dyDescent="0.35">
      <c r="B47" s="43"/>
      <c r="I47" s="21"/>
      <c r="K47" s="27"/>
      <c r="S47" s="21"/>
    </row>
    <row r="48" spans="1:21" x14ac:dyDescent="0.35">
      <c r="A48" s="34"/>
      <c r="B48" s="35"/>
      <c r="C48" s="35"/>
      <c r="D48" s="35"/>
      <c r="E48" s="35"/>
      <c r="F48" s="35"/>
      <c r="G48" s="35"/>
      <c r="H48" s="35"/>
      <c r="I48" s="36"/>
      <c r="K48" s="27"/>
      <c r="L48" s="43"/>
      <c r="S48" s="21"/>
    </row>
    <row r="49" spans="11:19" x14ac:dyDescent="0.35">
      <c r="K49" s="27"/>
      <c r="S49" s="21"/>
    </row>
    <row r="50" spans="11:19" x14ac:dyDescent="0.35">
      <c r="K50" s="27"/>
      <c r="S50" s="21"/>
    </row>
    <row r="51" spans="11:19" x14ac:dyDescent="0.35">
      <c r="K51" s="27"/>
      <c r="S51" s="21"/>
    </row>
    <row r="52" spans="11:19" x14ac:dyDescent="0.35">
      <c r="K52" s="27"/>
      <c r="S52" s="21"/>
    </row>
    <row r="53" spans="11:19" x14ac:dyDescent="0.35">
      <c r="K53" s="27"/>
      <c r="S53" s="21"/>
    </row>
    <row r="54" spans="11:19" x14ac:dyDescent="0.35">
      <c r="K54" s="27"/>
      <c r="L54" s="43"/>
      <c r="S54" s="21"/>
    </row>
    <row r="55" spans="11:19" x14ac:dyDescent="0.35">
      <c r="K55" s="34"/>
      <c r="L55" s="35"/>
      <c r="M55" s="35"/>
      <c r="N55" s="35"/>
      <c r="O55" s="35"/>
      <c r="P55" s="35"/>
      <c r="Q55" s="35"/>
      <c r="R55" s="35"/>
      <c r="S55" s="36"/>
    </row>
  </sheetData>
  <mergeCells count="11">
    <mergeCell ref="K44:S44"/>
    <mergeCell ref="B3:B4"/>
    <mergeCell ref="C3:C4"/>
    <mergeCell ref="A8:P8"/>
    <mergeCell ref="A10:I10"/>
    <mergeCell ref="K18:S18"/>
    <mergeCell ref="A24:I24"/>
    <mergeCell ref="K31:U31"/>
    <mergeCell ref="A37:I37"/>
    <mergeCell ref="F13:G13"/>
    <mergeCell ref="H13:H14"/>
  </mergeCells>
  <pageMargins left="0.7" right="0.7" top="0.75" bottom="0.75" header="0.3" footer="0.3"/>
  <pageSetup orientation="portrait" horizontalDpi="0" verticalDpi="0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C02FC-46AF-034F-8A0F-7F9907E2BD9E}">
  <dimension ref="A1:V121"/>
  <sheetViews>
    <sheetView tabSelected="1" zoomScale="90" zoomScaleNormal="78" workbookViewId="0">
      <selection activeCell="C16" sqref="C16"/>
    </sheetView>
  </sheetViews>
  <sheetFormatPr baseColWidth="10" defaultRowHeight="15.5" x14ac:dyDescent="0.35"/>
  <cols>
    <col min="1" max="1" width="24" bestFit="1" customWidth="1"/>
    <col min="2" max="2" width="14.6640625" bestFit="1" customWidth="1"/>
    <col min="3" max="3" width="12.5" customWidth="1"/>
    <col min="9" max="9" width="12.6640625" customWidth="1"/>
    <col min="10" max="10" width="12.1640625" customWidth="1"/>
    <col min="11" max="11" width="10.33203125" bestFit="1" customWidth="1"/>
    <col min="12" max="12" width="11.33203125" bestFit="1" customWidth="1"/>
    <col min="14" max="14" width="16.5" bestFit="1" customWidth="1"/>
    <col min="19" max="19" width="9.6640625" bestFit="1" customWidth="1"/>
    <col min="20" max="20" width="12" bestFit="1" customWidth="1"/>
    <col min="21" max="21" width="18.1640625" customWidth="1"/>
    <col min="22" max="22" width="14" bestFit="1" customWidth="1"/>
  </cols>
  <sheetData>
    <row r="1" spans="1:22" x14ac:dyDescent="0.35">
      <c r="U1" s="118" t="s">
        <v>86</v>
      </c>
    </row>
    <row r="2" spans="1:22" ht="16" customHeight="1" x14ac:dyDescent="0.35">
      <c r="A2" t="s">
        <v>87</v>
      </c>
      <c r="B2" s="59"/>
      <c r="H2" s="60" t="s">
        <v>88</v>
      </c>
      <c r="I2" s="60" t="s">
        <v>89</v>
      </c>
      <c r="J2" s="60" t="s">
        <v>90</v>
      </c>
      <c r="K2" s="60" t="s">
        <v>91</v>
      </c>
      <c r="L2" s="60" t="s">
        <v>92</v>
      </c>
      <c r="U2" s="118"/>
    </row>
    <row r="3" spans="1:22" ht="16" customHeight="1" x14ac:dyDescent="0.35">
      <c r="A3" t="s">
        <v>93</v>
      </c>
      <c r="B3" s="45"/>
      <c r="D3" s="119" t="s">
        <v>94</v>
      </c>
      <c r="E3" s="122" t="s">
        <v>95</v>
      </c>
      <c r="F3" s="124" t="s">
        <v>96</v>
      </c>
      <c r="G3" s="125" t="s">
        <v>97</v>
      </c>
      <c r="H3" s="61">
        <v>2.6</v>
      </c>
      <c r="I3" s="54">
        <f>$B$16*H3</f>
        <v>7.0400000009444446</v>
      </c>
      <c r="J3" cm="1">
        <f t="array" ref="J3">INDEX($H$3:$H$23, MATCH(MIN(ABS($H$3:$H$23-I3)),ABS($H$3:$H$23-I3),0))</f>
        <v>6.85</v>
      </c>
      <c r="K3" s="55">
        <f>J3/H3</f>
        <v>2.6346153846153846</v>
      </c>
      <c r="L3" s="55">
        <f>$B$12/K3</f>
        <v>36.998540150948905</v>
      </c>
      <c r="T3" s="3" t="s">
        <v>98</v>
      </c>
      <c r="U3" s="3" t="s">
        <v>99</v>
      </c>
      <c r="V3" s="62" t="s">
        <v>100</v>
      </c>
    </row>
    <row r="4" spans="1:22" x14ac:dyDescent="0.35">
      <c r="A4" t="s">
        <v>101</v>
      </c>
      <c r="B4" s="10"/>
      <c r="D4" s="120"/>
      <c r="E4" s="123"/>
      <c r="F4" s="124"/>
      <c r="G4" s="125"/>
      <c r="H4" s="63">
        <v>2.75</v>
      </c>
      <c r="I4" s="54">
        <f t="shared" ref="I4:I60" si="0">$B$16*H4</f>
        <v>7.4461538471527779</v>
      </c>
      <c r="J4" cm="1">
        <f t="array" ref="J4">INDEX($H$3:$H$23, MATCH(MIN(ABS($H$3:$H$23-I4)),ABS($H$3:$H$23-I4),0))</f>
        <v>7.95</v>
      </c>
      <c r="K4" s="55">
        <f t="shared" ref="K4:K60" si="1">J4/H4</f>
        <v>2.8909090909090911</v>
      </c>
      <c r="L4" s="55">
        <f t="shared" ref="L4:L60" si="2">$B$12/K4</f>
        <v>33.7184325154088</v>
      </c>
      <c r="S4" s="63" t="s">
        <v>102</v>
      </c>
      <c r="T4" s="49">
        <f>B20</f>
        <v>7.95</v>
      </c>
      <c r="U4" s="64">
        <f>((V4-T4)/2)+T4</f>
        <v>20.325000000000003</v>
      </c>
      <c r="V4" s="3">
        <f>3*(B19+B20)</f>
        <v>32.700000000000003</v>
      </c>
    </row>
    <row r="5" spans="1:22" x14ac:dyDescent="0.35">
      <c r="D5" s="120"/>
      <c r="E5" s="123"/>
      <c r="F5" s="124"/>
      <c r="G5" s="125"/>
      <c r="H5" s="63">
        <v>2.95</v>
      </c>
      <c r="I5" s="54">
        <f t="shared" si="0"/>
        <v>7.9876923087638891</v>
      </c>
      <c r="J5" cm="1">
        <f t="array" ref="J5">INDEX($H$3:$H$23, MATCH(MIN(ABS($H$3:$H$23-I5)),ABS($H$3:$H$23-I5),0))</f>
        <v>7.95</v>
      </c>
      <c r="K5" s="55">
        <f t="shared" si="1"/>
        <v>2.6949152542372881</v>
      </c>
      <c r="L5" s="55">
        <f t="shared" si="2"/>
        <v>36.170682152893086</v>
      </c>
      <c r="S5" s="65" t="s">
        <v>103</v>
      </c>
      <c r="T5" s="49">
        <f>B46</f>
        <v>27.7</v>
      </c>
      <c r="U5" s="64">
        <f t="shared" ref="U5:U7" si="3">((V5-T5)/2)+T5</f>
        <v>70.699999999999989</v>
      </c>
      <c r="V5" s="3">
        <f>3*(B45+B46)</f>
        <v>113.69999999999999</v>
      </c>
    </row>
    <row r="6" spans="1:22" x14ac:dyDescent="0.35">
      <c r="A6" t="s">
        <v>28</v>
      </c>
      <c r="D6" s="120"/>
      <c r="E6" s="123"/>
      <c r="F6" s="124"/>
      <c r="G6" s="125"/>
      <c r="H6" s="63">
        <v>3.1</v>
      </c>
      <c r="I6" s="54">
        <f t="shared" si="0"/>
        <v>8.3938461549722216</v>
      </c>
      <c r="J6" cm="1">
        <f t="array" ref="J6">INDEX($H$3:$H$23, MATCH(MIN(ABS($H$3:$H$23-I6)),ABS($H$3:$H$23-I6),0))</f>
        <v>7.95</v>
      </c>
      <c r="K6" s="55">
        <f t="shared" si="1"/>
        <v>2.564516129032258</v>
      </c>
      <c r="L6" s="55">
        <f t="shared" si="2"/>
        <v>38.00986938100629</v>
      </c>
      <c r="N6" s="126" t="s">
        <v>104</v>
      </c>
      <c r="O6" s="100">
        <f>B13</f>
        <v>36</v>
      </c>
      <c r="S6" s="66" t="s">
        <v>105</v>
      </c>
      <c r="T6" s="49">
        <f>B72</f>
        <v>39.799999999999997</v>
      </c>
      <c r="U6" s="64">
        <f t="shared" si="3"/>
        <v>101.79999999999998</v>
      </c>
      <c r="V6" s="3">
        <f>3*(B71+B72)</f>
        <v>163.79999999999998</v>
      </c>
    </row>
    <row r="7" spans="1:22" x14ac:dyDescent="0.35">
      <c r="A7" t="s">
        <v>106</v>
      </c>
      <c r="B7" s="45">
        <v>3.1415999999999999</v>
      </c>
      <c r="D7" s="120"/>
      <c r="E7" s="123"/>
      <c r="F7" s="124"/>
      <c r="G7" s="125"/>
      <c r="H7" s="63">
        <v>3.3</v>
      </c>
      <c r="I7" s="54">
        <f t="shared" si="0"/>
        <v>8.9353846165833328</v>
      </c>
      <c r="J7" cm="1">
        <f t="array" ref="J7">INDEX($H$3:$H$23, MATCH(MIN(ABS($H$3:$H$23-I7)),ABS($H$3:$H$23-I7),0))</f>
        <v>7.95</v>
      </c>
      <c r="K7" s="55">
        <f t="shared" si="1"/>
        <v>2.4090909090909092</v>
      </c>
      <c r="L7" s="55">
        <f t="shared" si="2"/>
        <v>40.462119018490561</v>
      </c>
      <c r="N7" s="126"/>
      <c r="O7" s="100"/>
      <c r="S7" s="60" t="s">
        <v>107</v>
      </c>
      <c r="T7" s="3">
        <f>B98</f>
        <v>13.95</v>
      </c>
      <c r="U7" s="64">
        <f t="shared" si="3"/>
        <v>88.875</v>
      </c>
      <c r="V7" s="3">
        <f>3*(B71+B72)</f>
        <v>163.79999999999998</v>
      </c>
    </row>
    <row r="8" spans="1:22" x14ac:dyDescent="0.35">
      <c r="A8" t="s">
        <v>108</v>
      </c>
      <c r="B8" s="59">
        <v>1</v>
      </c>
      <c r="C8" t="s">
        <v>29</v>
      </c>
      <c r="D8" s="120"/>
      <c r="E8" s="123"/>
      <c r="F8" s="124"/>
      <c r="G8" s="125"/>
      <c r="H8" s="63">
        <v>3.6</v>
      </c>
      <c r="I8" s="54">
        <f t="shared" si="0"/>
        <v>9.7476923089999996</v>
      </c>
      <c r="J8" cm="1">
        <f t="array" ref="J8">INDEX($H$3:$H$23, MATCH(MIN(ABS($H$3:$H$23-I8)),ABS($H$3:$H$23-I8),0))</f>
        <v>10.55</v>
      </c>
      <c r="K8" s="55">
        <f t="shared" si="1"/>
        <v>2.9305555555555558</v>
      </c>
      <c r="L8" s="55">
        <f t="shared" si="2"/>
        <v>33.262267594691941</v>
      </c>
      <c r="N8" s="126"/>
      <c r="O8" s="100"/>
    </row>
    <row r="9" spans="1:22" x14ac:dyDescent="0.35">
      <c r="A9" t="s">
        <v>109</v>
      </c>
      <c r="B9" s="59">
        <v>2</v>
      </c>
      <c r="D9" s="120"/>
      <c r="E9" s="123"/>
      <c r="F9" s="124"/>
      <c r="G9" s="125"/>
      <c r="H9" s="63">
        <v>4.07</v>
      </c>
      <c r="I9" s="54">
        <f t="shared" si="0"/>
        <v>11.020307693786112</v>
      </c>
      <c r="J9" cm="1">
        <f t="array" ref="J9">INDEX($H$3:$H$23, MATCH(MIN(ABS($H$3:$H$23-I9)),ABS($H$3:$H$23-I9),0))</f>
        <v>10.55</v>
      </c>
      <c r="K9" s="55">
        <f t="shared" si="1"/>
        <v>2.592137592137592</v>
      </c>
      <c r="L9" s="55">
        <f t="shared" si="2"/>
        <v>37.604841419554504</v>
      </c>
      <c r="N9" s="127" t="s">
        <v>110</v>
      </c>
      <c r="O9" s="100" cm="1">
        <f t="array" ref="O9">INDEX($L$3:$L$23, MATCH(MIN(ABS($L$3:$L$23-O6)),ABS($L$3:$L$23-O6),0))</f>
        <v>36.170682152893086</v>
      </c>
      <c r="P9" s="128" t="s">
        <v>111</v>
      </c>
      <c r="Q9" s="129">
        <f>ABS((O9/O6)-1)</f>
        <v>4.7411709136968572E-3</v>
      </c>
    </row>
    <row r="10" spans="1:22" x14ac:dyDescent="0.35">
      <c r="A10" t="s">
        <v>112</v>
      </c>
      <c r="B10" s="10">
        <f>B8*B9</f>
        <v>2</v>
      </c>
      <c r="C10" t="s">
        <v>29</v>
      </c>
      <c r="D10" s="120"/>
      <c r="E10" s="123"/>
      <c r="F10" s="124"/>
      <c r="G10" s="125"/>
      <c r="H10" s="63">
        <v>4.45</v>
      </c>
      <c r="I10" s="54">
        <f t="shared" si="0"/>
        <v>12.049230770847222</v>
      </c>
      <c r="J10" cm="1">
        <f t="array" ref="J10">INDEX($H$3:$H$23, MATCH(MIN(ABS($H$3:$H$23-I10)),ABS($H$3:$H$23-I10),0))</f>
        <v>10.55</v>
      </c>
      <c r="K10" s="55">
        <f t="shared" si="1"/>
        <v>2.3707865168539328</v>
      </c>
      <c r="L10" s="55">
        <f t="shared" si="2"/>
        <v>41.11585855454976</v>
      </c>
      <c r="N10" s="127"/>
      <c r="O10" s="100"/>
      <c r="P10" s="128"/>
      <c r="Q10" s="129"/>
    </row>
    <row r="11" spans="1:22" ht="19" customHeight="1" x14ac:dyDescent="0.35">
      <c r="A11" t="s">
        <v>113</v>
      </c>
      <c r="B11" s="45" t="s">
        <v>94</v>
      </c>
      <c r="D11" s="120"/>
      <c r="E11" s="123"/>
      <c r="F11" s="124"/>
      <c r="G11" s="125"/>
      <c r="H11" s="63">
        <v>4.7</v>
      </c>
      <c r="I11" s="54">
        <f t="shared" si="0"/>
        <v>12.726153847861111</v>
      </c>
      <c r="J11" cm="1">
        <f t="array" ref="J11">INDEX($H$3:$H$23, MATCH(MIN(ABS($H$3:$H$23-I11)),ABS($H$3:$H$23-I11),0))</f>
        <v>13.95</v>
      </c>
      <c r="K11" s="55">
        <f t="shared" si="1"/>
        <v>2.9680851063829783</v>
      </c>
      <c r="L11" s="55">
        <f t="shared" si="2"/>
        <v>32.841687349319002</v>
      </c>
      <c r="M11" s="5"/>
      <c r="N11" s="127"/>
      <c r="O11" s="100"/>
      <c r="P11" s="128"/>
      <c r="Q11" s="129"/>
    </row>
    <row r="12" spans="1:22" ht="17" customHeight="1" x14ac:dyDescent="0.35">
      <c r="A12" t="s">
        <v>115</v>
      </c>
      <c r="B12" s="59">
        <v>97.47692309</v>
      </c>
      <c r="C12" t="s">
        <v>30</v>
      </c>
      <c r="D12" s="120"/>
      <c r="E12" s="123"/>
      <c r="F12" s="124"/>
      <c r="G12" s="125"/>
      <c r="H12" s="63">
        <v>4.95</v>
      </c>
      <c r="I12" s="54">
        <f t="shared" si="0"/>
        <v>13.403076924875</v>
      </c>
      <c r="J12" cm="1">
        <f t="array" ref="J12">INDEX($H$3:$H$23, MATCH(MIN(ABS($H$3:$H$23-I12)),ABS($H$3:$H$23-I12),0))</f>
        <v>13.95</v>
      </c>
      <c r="K12" s="55">
        <f t="shared" si="1"/>
        <v>2.8181818181818179</v>
      </c>
      <c r="L12" s="55">
        <f t="shared" si="2"/>
        <v>34.588585612580651</v>
      </c>
      <c r="N12" s="127" t="s">
        <v>116</v>
      </c>
      <c r="O12" s="100" cm="1">
        <f t="array" ref="O12">INDEX($L$26:$L$44, MATCH(MIN(ABS($L$26:$L$44-O6)),ABS($L$26:$L$44-O6),0))</f>
        <v>35.894029441083028</v>
      </c>
      <c r="P12" s="128"/>
      <c r="Q12" s="129">
        <f>ABS((O12/O6)-1)</f>
        <v>2.9436266365825414E-3</v>
      </c>
    </row>
    <row r="13" spans="1:22" ht="16" customHeight="1" x14ac:dyDescent="0.35">
      <c r="A13" t="s">
        <v>117</v>
      </c>
      <c r="B13" s="59">
        <v>36</v>
      </c>
      <c r="C13" t="s">
        <v>30</v>
      </c>
      <c r="D13" s="120"/>
      <c r="E13" s="123"/>
      <c r="F13" s="124"/>
      <c r="G13" s="125"/>
      <c r="H13" s="63">
        <v>5.25</v>
      </c>
      <c r="I13" s="54">
        <f t="shared" si="0"/>
        <v>14.215384617291667</v>
      </c>
      <c r="J13" cm="1">
        <f t="array" ref="J13">INDEX($H$3:$H$23, MATCH(MIN(ABS($H$3:$H$23-I13)),ABS($H$3:$H$23-I13),0))</f>
        <v>13.95</v>
      </c>
      <c r="K13" s="55">
        <f t="shared" si="1"/>
        <v>2.657142857142857</v>
      </c>
      <c r="L13" s="55">
        <f t="shared" si="2"/>
        <v>36.684863528494624</v>
      </c>
      <c r="N13" s="127"/>
      <c r="O13" s="100"/>
      <c r="P13" s="128"/>
      <c r="Q13" s="129"/>
    </row>
    <row r="14" spans="1:22" ht="16" customHeight="1" x14ac:dyDescent="0.35">
      <c r="D14" s="120"/>
      <c r="E14" s="123"/>
      <c r="F14" s="124"/>
      <c r="G14" s="125"/>
      <c r="H14" s="63">
        <v>5.55</v>
      </c>
      <c r="I14" s="54">
        <f t="shared" si="0"/>
        <v>15.027692309708332</v>
      </c>
      <c r="J14" cm="1">
        <f t="array" ref="J14">INDEX($H$3:$H$23, MATCH(MIN(ABS($H$3:$H$23-I14)),ABS($H$3:$H$23-I14),0))</f>
        <v>13.95</v>
      </c>
      <c r="K14" s="55">
        <f t="shared" si="1"/>
        <v>2.5135135135135136</v>
      </c>
      <c r="L14" s="55">
        <f t="shared" si="2"/>
        <v>38.781141444408604</v>
      </c>
      <c r="N14" s="127"/>
      <c r="O14" s="100"/>
      <c r="P14" s="128"/>
      <c r="Q14" s="129"/>
    </row>
    <row r="15" spans="1:22" ht="16" customHeight="1" x14ac:dyDescent="0.35">
      <c r="A15" t="s">
        <v>118</v>
      </c>
      <c r="B15" s="55">
        <f>(12*4000)/(Pi*B12)</f>
        <v>156.74313800553276</v>
      </c>
      <c r="D15" s="120"/>
      <c r="E15" s="123"/>
      <c r="F15" s="124"/>
      <c r="G15" s="125"/>
      <c r="H15" s="63">
        <v>5.95</v>
      </c>
      <c r="I15" s="54">
        <f t="shared" si="0"/>
        <v>16.110769232930554</v>
      </c>
      <c r="J15" cm="1">
        <f t="array" ref="J15">INDEX($H$3:$H$23, MATCH(MIN(ABS($H$3:$H$23-I15)),ABS($H$3:$H$23-I15),0))</f>
        <v>13.95</v>
      </c>
      <c r="K15" s="55">
        <f t="shared" si="1"/>
        <v>2.3445378151260501</v>
      </c>
      <c r="L15" s="55">
        <f t="shared" si="2"/>
        <v>41.576178665627246</v>
      </c>
      <c r="N15" s="127" t="s">
        <v>119</v>
      </c>
      <c r="O15" s="100" cm="1">
        <f t="array" ref="O15">INDEX($L$43:$L$60, MATCH(MIN(ABS($L$43:$L$60-O6)),ABS($L$43:$L$60-O6),0))</f>
        <v>36.24770004351759</v>
      </c>
      <c r="P15" s="128"/>
      <c r="Q15" s="129">
        <f>ABS((O15/O6)-1)</f>
        <v>6.8805567643774879E-3</v>
      </c>
    </row>
    <row r="16" spans="1:22" ht="16" customHeight="1" x14ac:dyDescent="0.35">
      <c r="A16" t="s">
        <v>120</v>
      </c>
      <c r="B16">
        <f>B12/B13</f>
        <v>2.7076923080555555</v>
      </c>
      <c r="D16" s="120"/>
      <c r="E16" s="123"/>
      <c r="F16" s="124"/>
      <c r="G16" s="125"/>
      <c r="H16" s="63">
        <v>6.45</v>
      </c>
      <c r="I16" s="54">
        <f t="shared" si="0"/>
        <v>17.464615386958332</v>
      </c>
      <c r="J16" cm="1">
        <f t="array" ref="J16">INDEX($H$3:$H$23, MATCH(MIN(ABS($H$3:$H$23-I16)),ABS($H$3:$H$23-I16),0))</f>
        <v>18.95</v>
      </c>
      <c r="K16" s="55">
        <f t="shared" si="1"/>
        <v>2.9379844961240309</v>
      </c>
      <c r="L16" s="55">
        <f t="shared" si="2"/>
        <v>33.178161157282325</v>
      </c>
      <c r="N16" s="127"/>
      <c r="O16" s="100"/>
      <c r="P16" s="128"/>
      <c r="Q16" s="129"/>
    </row>
    <row r="17" spans="1:17" ht="16" customHeight="1" x14ac:dyDescent="0.35">
      <c r="A17" s="130" t="s">
        <v>121</v>
      </c>
      <c r="B17" s="130"/>
      <c r="D17" s="120"/>
      <c r="E17" s="123"/>
      <c r="F17" s="124"/>
      <c r="G17" s="125"/>
      <c r="H17" s="63">
        <v>6.85</v>
      </c>
      <c r="I17" s="54">
        <f t="shared" si="0"/>
        <v>18.547692310180555</v>
      </c>
      <c r="J17" cm="1">
        <f t="array" ref="J17">INDEX($H$3:$H$23, MATCH(MIN(ABS($H$3:$H$23-I17)),ABS($H$3:$H$23-I17),0))</f>
        <v>18.95</v>
      </c>
      <c r="K17" s="55">
        <f t="shared" si="1"/>
        <v>2.7664233576642334</v>
      </c>
      <c r="L17" s="55">
        <f t="shared" si="2"/>
        <v>35.235721539129287</v>
      </c>
      <c r="N17" s="127"/>
      <c r="O17" s="100"/>
      <c r="P17" s="128"/>
      <c r="Q17" s="129"/>
    </row>
    <row r="18" spans="1:17" ht="16" customHeight="1" x14ac:dyDescent="0.35">
      <c r="A18" s="130"/>
      <c r="B18" s="130"/>
      <c r="D18" s="120"/>
      <c r="E18" s="123"/>
      <c r="F18" s="124"/>
      <c r="G18" s="125"/>
      <c r="H18" s="63">
        <v>7.95</v>
      </c>
      <c r="I18" s="54">
        <f t="shared" si="0"/>
        <v>21.526153849041666</v>
      </c>
      <c r="J18" cm="1">
        <f t="array" ref="J18">INDEX($H$3:$H$23, MATCH(MIN(ABS($H$3:$H$23-I18)),ABS($H$3:$H$23-I18),0))</f>
        <v>18.95</v>
      </c>
      <c r="K18" s="55">
        <f t="shared" si="1"/>
        <v>2.3836477987421381</v>
      </c>
      <c r="L18" s="55">
        <f t="shared" si="2"/>
        <v>40.894012589208451</v>
      </c>
    </row>
    <row r="19" spans="1:17" ht="16" customHeight="1" x14ac:dyDescent="0.35">
      <c r="A19" s="12" t="s">
        <v>122</v>
      </c>
      <c r="B19" s="67" cm="1">
        <f t="array" ref="B19">_xlfn.XLOOKUP(O9,L3:L23,H3:H23, no hay numero,0)</f>
        <v>2.95</v>
      </c>
      <c r="D19" s="120"/>
      <c r="E19" s="68"/>
      <c r="F19" s="124"/>
      <c r="G19" s="125"/>
      <c r="H19" s="63">
        <v>10.55</v>
      </c>
      <c r="I19" s="54">
        <f t="shared" si="0"/>
        <v>28.566153849986112</v>
      </c>
      <c r="J19" cm="1">
        <f t="array" ref="J19">INDEX($H$3:$H$23, MATCH(MIN(ABS($H$3:$H$23-I19)),ABS($H$3:$H$23-I19),0))</f>
        <v>24.95</v>
      </c>
      <c r="K19" s="55">
        <f t="shared" si="1"/>
        <v>2.3649289099526065</v>
      </c>
      <c r="L19" s="55">
        <f t="shared" si="2"/>
        <v>41.217696937855713</v>
      </c>
    </row>
    <row r="20" spans="1:17" ht="16" customHeight="1" x14ac:dyDescent="0.35">
      <c r="A20" s="12" t="s">
        <v>123</v>
      </c>
      <c r="B20" s="67" cm="1">
        <f t="array" ref="B20">_xlfn.XLOOKUP(O9,L3:L23,J3:J23, no hay numero,0)</f>
        <v>7.95</v>
      </c>
      <c r="D20" s="120"/>
      <c r="E20" s="68"/>
      <c r="F20" s="68"/>
      <c r="G20" s="69"/>
      <c r="H20" s="63">
        <v>13.95</v>
      </c>
      <c r="I20" s="54">
        <f t="shared" si="0"/>
        <v>37.772307697374998</v>
      </c>
      <c r="J20" cm="1">
        <f t="array" ref="J20">INDEX($H$3:$H$23, MATCH(MIN(ABS($H$3:$H$23-I20)),ABS($H$3:$H$23-I20),0))</f>
        <v>33.450000000000003</v>
      </c>
      <c r="K20" s="55">
        <f t="shared" si="1"/>
        <v>2.3978494623655919</v>
      </c>
      <c r="L20" s="55">
        <f t="shared" si="2"/>
        <v>40.651810974753353</v>
      </c>
    </row>
    <row r="21" spans="1:17" ht="16" customHeight="1" x14ac:dyDescent="0.35">
      <c r="A21" s="12" t="s">
        <v>124</v>
      </c>
      <c r="B21" s="70">
        <f>O9</f>
        <v>36.170682152893086</v>
      </c>
      <c r="D21" s="120"/>
      <c r="E21" s="68"/>
      <c r="F21" s="68"/>
      <c r="G21" s="69"/>
      <c r="H21" s="63">
        <v>18.95</v>
      </c>
      <c r="I21" s="54">
        <f t="shared" si="0"/>
        <v>51.310769237652778</v>
      </c>
      <c r="J21" cm="1">
        <f t="array" ref="J21">INDEX($H$3:$H$23, MATCH(MIN(ABS($H$3:$H$23-I21)),ABS($H$3:$H$23-I21),0))</f>
        <v>33.450000000000003</v>
      </c>
      <c r="K21" s="55">
        <f t="shared" si="1"/>
        <v>1.7651715039577838</v>
      </c>
      <c r="L21" s="55">
        <f t="shared" si="2"/>
        <v>55.222352542765314</v>
      </c>
    </row>
    <row r="22" spans="1:17" ht="16" customHeight="1" x14ac:dyDescent="0.35">
      <c r="A22" s="131" t="s">
        <v>125</v>
      </c>
      <c r="B22" s="131"/>
      <c r="D22" s="120"/>
      <c r="E22" s="68"/>
      <c r="F22" s="68"/>
      <c r="G22" s="69"/>
      <c r="H22" s="63">
        <v>24.95</v>
      </c>
      <c r="I22" s="54">
        <f t="shared" si="0"/>
        <v>67.556923085986114</v>
      </c>
      <c r="J22" cm="1">
        <f t="array" ref="J22">INDEX($H$3:$H$23, MATCH(MIN(ABS($H$3:$H$23-I22)),ABS($H$3:$H$23-I22),0))</f>
        <v>33.450000000000003</v>
      </c>
      <c r="K22" s="55">
        <f t="shared" si="1"/>
        <v>1.340681362725451</v>
      </c>
      <c r="L22" s="55">
        <f t="shared" si="2"/>
        <v>72.707002424379667</v>
      </c>
    </row>
    <row r="23" spans="1:17" ht="16" customHeight="1" x14ac:dyDescent="0.35">
      <c r="A23" s="12" t="s">
        <v>126</v>
      </c>
      <c r="B23" s="59">
        <v>25</v>
      </c>
      <c r="D23" s="121"/>
      <c r="E23" s="68"/>
      <c r="F23" s="68"/>
      <c r="G23" s="69"/>
      <c r="H23" s="63">
        <v>33.450000000000003</v>
      </c>
      <c r="I23" s="54">
        <f t="shared" si="0"/>
        <v>90.572307704458339</v>
      </c>
      <c r="J23" cm="1">
        <f t="array" ref="J23">INDEX($H$3:$H$23, MATCH(MIN(ABS($H$3:$H$23-I23)),ABS($H$3:$H$23-I23),0))</f>
        <v>33.450000000000003</v>
      </c>
      <c r="K23" s="55">
        <f t="shared" si="1"/>
        <v>1</v>
      </c>
      <c r="L23" s="55">
        <f t="shared" si="2"/>
        <v>97.47692309</v>
      </c>
      <c r="O23" s="132" t="s">
        <v>127</v>
      </c>
      <c r="P23" s="132"/>
      <c r="Q23" s="132"/>
    </row>
    <row r="24" spans="1:17" ht="16" customHeight="1" x14ac:dyDescent="0.35">
      <c r="A24" s="12" t="s">
        <v>128</v>
      </c>
      <c r="B24" s="55">
        <f>(2*B23)+((Pi/2)*(B20+B19))+(((B20-B19)*(B20-B19))/(4*B23))</f>
        <v>67.371719999999996</v>
      </c>
      <c r="D24" s="119" t="s">
        <v>114</v>
      </c>
      <c r="E24" s="133" t="s">
        <v>95</v>
      </c>
      <c r="F24" s="134" t="s">
        <v>96</v>
      </c>
      <c r="G24" s="125" t="s">
        <v>97</v>
      </c>
      <c r="H24" s="71">
        <v>7</v>
      </c>
      <c r="I24" s="54">
        <f t="shared" si="0"/>
        <v>18.953846156388888</v>
      </c>
      <c r="J24" cm="1">
        <f t="array" ref="J24">INDEX($H$24:$H$42, MATCH(MIN(ABS($H$24:$H$42-I24)),ABS($H$24:$H$42-I24),0))</f>
        <v>21.1</v>
      </c>
      <c r="K24" s="55">
        <f t="shared" si="1"/>
        <v>3.0142857142857147</v>
      </c>
      <c r="L24" s="55">
        <f t="shared" si="2"/>
        <v>32.338315717061604</v>
      </c>
      <c r="O24" s="72" t="s">
        <v>94</v>
      </c>
      <c r="P24" s="73" t="s">
        <v>114</v>
      </c>
      <c r="Q24" s="74" t="s">
        <v>129</v>
      </c>
    </row>
    <row r="25" spans="1:17" ht="16" customHeight="1" x14ac:dyDescent="0.35">
      <c r="A25" s="12" t="s">
        <v>130</v>
      </c>
      <c r="B25">
        <f>LOOKUP(B24,O25:O55)</f>
        <v>67</v>
      </c>
      <c r="D25" s="120"/>
      <c r="E25" s="133"/>
      <c r="F25" s="134"/>
      <c r="G25" s="125"/>
      <c r="H25" s="71">
        <v>7.4</v>
      </c>
      <c r="I25" s="54">
        <f t="shared" si="0"/>
        <v>20.03692307961111</v>
      </c>
      <c r="J25" cm="1">
        <f t="array" ref="J25">INDEX($H$24:$H$42, MATCH(MIN(ABS($H$24:$H$42-I25)),ABS($H$24:$H$42-I25),0))</f>
        <v>21.1</v>
      </c>
      <c r="K25" s="55">
        <f t="shared" si="1"/>
        <v>2.8513513513513513</v>
      </c>
      <c r="L25" s="55">
        <f t="shared" si="2"/>
        <v>34.186219472322279</v>
      </c>
      <c r="O25" s="3">
        <v>25</v>
      </c>
      <c r="P25" s="3">
        <v>50</v>
      </c>
      <c r="Q25" s="3">
        <v>100</v>
      </c>
    </row>
    <row r="26" spans="1:17" ht="16" customHeight="1" x14ac:dyDescent="0.35">
      <c r="A26" s="12" t="s">
        <v>131</v>
      </c>
      <c r="B26" s="55">
        <f>(4*B25)-(2*Pi)*(B20+B19)</f>
        <v>199.51312000000001</v>
      </c>
      <c r="D26" s="120"/>
      <c r="E26" s="133"/>
      <c r="F26" s="134"/>
      <c r="G26" s="125"/>
      <c r="H26" s="71">
        <v>7.9</v>
      </c>
      <c r="I26" s="54">
        <f t="shared" si="0"/>
        <v>21.390769233638888</v>
      </c>
      <c r="J26" cm="1">
        <f t="array" ref="J26">INDEX($H$24:$H$42, MATCH(MIN(ABS($H$24:$H$42-I26)),ABS($H$24:$H$42-I26),0))</f>
        <v>21.1</v>
      </c>
      <c r="K26" s="55">
        <f t="shared" si="1"/>
        <v>2.6708860759493671</v>
      </c>
      <c r="L26" s="55">
        <f t="shared" si="2"/>
        <v>36.496099166398103</v>
      </c>
      <c r="O26" s="3">
        <v>26.5</v>
      </c>
      <c r="P26" s="3">
        <v>53</v>
      </c>
      <c r="Q26" s="3">
        <v>106</v>
      </c>
    </row>
    <row r="27" spans="1:17" ht="16" customHeight="1" x14ac:dyDescent="0.35">
      <c r="A27" s="12" t="s">
        <v>126</v>
      </c>
      <c r="B27" s="55">
        <f>(B26+SQRT((B26^2)-(32*(B20-B19)^2)))/(16)</f>
        <v>24.813198963351908</v>
      </c>
      <c r="D27" s="120"/>
      <c r="E27" s="133"/>
      <c r="F27" s="134"/>
      <c r="G27" s="125"/>
      <c r="H27" s="71">
        <v>8.4</v>
      </c>
      <c r="I27" s="54">
        <f t="shared" si="0"/>
        <v>22.744615387666666</v>
      </c>
      <c r="J27" cm="1">
        <f t="array" ref="J27">INDEX($H$24:$H$42, MATCH(MIN(ABS($H$24:$H$42-I27)),ABS($H$24:$H$42-I27),0))</f>
        <v>21.1</v>
      </c>
      <c r="K27" s="55">
        <f t="shared" si="1"/>
        <v>2.5119047619047619</v>
      </c>
      <c r="L27" s="55">
        <f t="shared" si="2"/>
        <v>38.805978860473935</v>
      </c>
      <c r="O27" s="3">
        <v>28</v>
      </c>
      <c r="P27" s="3">
        <v>56</v>
      </c>
      <c r="Q27" s="3">
        <v>112</v>
      </c>
    </row>
    <row r="28" spans="1:17" ht="16" customHeight="1" x14ac:dyDescent="0.35">
      <c r="A28" s="12" t="s">
        <v>132</v>
      </c>
      <c r="B28" s="55">
        <f>180-2*DEGREES(ASIN((B20-B19)/(2*B27)))</f>
        <v>168.4349532534136</v>
      </c>
      <c r="C28" s="17" t="s">
        <v>133</v>
      </c>
      <c r="D28" s="120"/>
      <c r="E28" s="133"/>
      <c r="F28" s="134"/>
      <c r="G28" s="125"/>
      <c r="H28" s="71">
        <v>8.9</v>
      </c>
      <c r="I28" s="54">
        <f t="shared" si="0"/>
        <v>24.098461541694444</v>
      </c>
      <c r="J28" cm="1">
        <f t="array" ref="J28">INDEX($H$24:$H$42, MATCH(MIN(ABS($H$24:$H$42-I28)),ABS($H$24:$H$42-I28),0))</f>
        <v>21.1</v>
      </c>
      <c r="K28" s="55">
        <f t="shared" si="1"/>
        <v>2.3707865168539328</v>
      </c>
      <c r="L28" s="55">
        <f t="shared" si="2"/>
        <v>41.11585855454976</v>
      </c>
      <c r="O28" s="3">
        <v>30</v>
      </c>
      <c r="P28" s="3">
        <v>60</v>
      </c>
      <c r="Q28" s="3">
        <v>118</v>
      </c>
    </row>
    <row r="29" spans="1:17" ht="16" customHeight="1" x14ac:dyDescent="0.35">
      <c r="A29" s="12" t="s">
        <v>134</v>
      </c>
      <c r="B29" s="55">
        <f>180+2*DEGREES(ASIN((B20-B19)/(2*B27)))</f>
        <v>191.5650467465864</v>
      </c>
      <c r="C29" s="17" t="s">
        <v>135</v>
      </c>
      <c r="D29" s="120"/>
      <c r="E29" s="133"/>
      <c r="F29" s="134"/>
      <c r="G29" s="125"/>
      <c r="H29" s="71">
        <v>9.15</v>
      </c>
      <c r="I29" s="54">
        <f t="shared" si="0"/>
        <v>24.775384618708333</v>
      </c>
      <c r="J29" cm="1">
        <f t="array" ref="J29">INDEX($H$24:$H$42, MATCH(MIN(ABS($H$24:$H$42-I29)),ABS($H$24:$H$42-I29),0))</f>
        <v>27.7</v>
      </c>
      <c r="K29" s="55">
        <f t="shared" si="1"/>
        <v>3.0273224043715845</v>
      </c>
      <c r="L29" s="55">
        <f t="shared" si="2"/>
        <v>32.199055822148019</v>
      </c>
      <c r="O29" s="3">
        <v>31.5</v>
      </c>
      <c r="P29" s="3">
        <v>63</v>
      </c>
      <c r="Q29" s="3">
        <v>125</v>
      </c>
    </row>
    <row r="30" spans="1:17" ht="16" customHeight="1" x14ac:dyDescent="0.35">
      <c r="A30" s="12" t="s">
        <v>136</v>
      </c>
      <c r="B30" s="55">
        <f>B12/LOOKUP(B19,H3:H23,L3:L23)</f>
        <v>2.6949152542372876</v>
      </c>
      <c r="D30" s="120"/>
      <c r="E30" s="133"/>
      <c r="F30" s="134"/>
      <c r="G30" s="125"/>
      <c r="H30" s="71">
        <v>9.65</v>
      </c>
      <c r="I30" s="54">
        <f t="shared" si="0"/>
        <v>26.129230772736111</v>
      </c>
      <c r="J30" cm="1">
        <f t="array" ref="J30">INDEX($H$24:$H$42, MATCH(MIN(ABS($H$24:$H$42-I30)),ABS($H$24:$H$42-I30),0))</f>
        <v>27.7</v>
      </c>
      <c r="K30" s="55">
        <f t="shared" si="1"/>
        <v>2.8704663212435233</v>
      </c>
      <c r="L30" s="55">
        <f t="shared" si="2"/>
        <v>33.958567069259928</v>
      </c>
      <c r="O30" s="3">
        <v>33.5</v>
      </c>
      <c r="P30" s="3">
        <v>67</v>
      </c>
      <c r="Q30" s="3">
        <v>132</v>
      </c>
    </row>
    <row r="31" spans="1:17" ht="16" customHeight="1" x14ac:dyDescent="0.35">
      <c r="A31" s="12" t="s">
        <v>137</v>
      </c>
      <c r="B31" s="59">
        <v>0.88</v>
      </c>
      <c r="D31" s="120"/>
      <c r="E31" s="133"/>
      <c r="F31" s="134"/>
      <c r="G31" s="125"/>
      <c r="H31" s="71">
        <v>10.199999999999999</v>
      </c>
      <c r="I31" s="54">
        <f t="shared" si="0"/>
        <v>27.618461542166663</v>
      </c>
      <c r="J31" cm="1">
        <f t="array" ref="J31">INDEX($H$24:$H$42, MATCH(MIN(ABS($H$24:$H$42-I31)),ABS($H$24:$H$42-I31),0))</f>
        <v>27.7</v>
      </c>
      <c r="K31" s="55">
        <f t="shared" si="1"/>
        <v>2.715686274509804</v>
      </c>
      <c r="L31" s="55">
        <f t="shared" si="2"/>
        <v>35.894029441083028</v>
      </c>
      <c r="O31" s="3">
        <v>35.5</v>
      </c>
      <c r="P31" s="3">
        <v>71</v>
      </c>
      <c r="Q31" s="3">
        <v>140</v>
      </c>
    </row>
    <row r="32" spans="1:17" ht="16" customHeight="1" x14ac:dyDescent="0.35">
      <c r="A32" s="12" t="s">
        <v>138</v>
      </c>
      <c r="B32" s="59">
        <v>1.1000000000000001</v>
      </c>
      <c r="D32" s="120"/>
      <c r="E32" s="133"/>
      <c r="F32" s="134"/>
      <c r="G32" s="125"/>
      <c r="H32" s="71">
        <v>10.8</v>
      </c>
      <c r="I32" s="54">
        <f t="shared" si="0"/>
        <v>29.243076927000001</v>
      </c>
      <c r="J32" cm="1">
        <f t="array" ref="J32">INDEX($H$24:$H$42, MATCH(MIN(ABS($H$24:$H$42-I32)),ABS($H$24:$H$42-I32),0))</f>
        <v>27.7</v>
      </c>
      <c r="K32" s="55">
        <f t="shared" si="1"/>
        <v>2.5648148148148144</v>
      </c>
      <c r="L32" s="55">
        <f t="shared" si="2"/>
        <v>38.005442937617332</v>
      </c>
      <c r="O32" s="3">
        <v>37.5</v>
      </c>
      <c r="P32" s="3">
        <v>75</v>
      </c>
      <c r="Q32" s="3">
        <v>150</v>
      </c>
    </row>
    <row r="33" spans="1:17" ht="16" customHeight="1" x14ac:dyDescent="0.35">
      <c r="A33" s="12" t="s">
        <v>139</v>
      </c>
      <c r="B33" s="59">
        <v>0.77</v>
      </c>
      <c r="D33" s="120"/>
      <c r="E33" s="133"/>
      <c r="F33" s="134"/>
      <c r="G33" s="125"/>
      <c r="H33" s="71">
        <v>11.7</v>
      </c>
      <c r="I33" s="54">
        <f t="shared" si="0"/>
        <v>31.680000004249997</v>
      </c>
      <c r="J33" cm="1">
        <f t="array" ref="J33">INDEX($H$24:$H$42, MATCH(MIN(ABS($H$24:$H$42-I33)),ABS($H$24:$H$42-I33),0))</f>
        <v>27.7</v>
      </c>
      <c r="K33" s="55">
        <f t="shared" si="1"/>
        <v>2.3675213675213675</v>
      </c>
      <c r="L33" s="55">
        <f t="shared" si="2"/>
        <v>41.17256318241877</v>
      </c>
      <c r="O33" s="3">
        <v>40</v>
      </c>
      <c r="P33" s="3">
        <v>80</v>
      </c>
      <c r="Q33" s="3">
        <v>160</v>
      </c>
    </row>
    <row r="34" spans="1:17" ht="16" customHeight="1" x14ac:dyDescent="0.35">
      <c r="A34" s="12" t="s">
        <v>140</v>
      </c>
      <c r="B34" s="59">
        <v>2</v>
      </c>
      <c r="D34" s="120"/>
      <c r="E34" s="133"/>
      <c r="F34" s="134"/>
      <c r="G34" s="125"/>
      <c r="H34" s="71">
        <v>12.4</v>
      </c>
      <c r="I34" s="54">
        <f t="shared" si="0"/>
        <v>33.575384619888887</v>
      </c>
      <c r="J34" cm="1">
        <f t="array" ref="J34">INDEX($H$24:$H$42, MATCH(MIN(ABS($H$24:$H$42-I34)),ABS($H$24:$H$42-I34),0))</f>
        <v>37.4</v>
      </c>
      <c r="K34" s="55">
        <f t="shared" si="1"/>
        <v>3.0161290322580645</v>
      </c>
      <c r="L34" s="55">
        <f t="shared" si="2"/>
        <v>32.318552040534762</v>
      </c>
      <c r="O34" s="3">
        <v>42.5</v>
      </c>
      <c r="P34" s="3">
        <v>85</v>
      </c>
      <c r="Q34" s="3">
        <v>170</v>
      </c>
    </row>
    <row r="35" spans="1:17" ht="16" customHeight="1" x14ac:dyDescent="0.35">
      <c r="A35" s="12" t="s">
        <v>141</v>
      </c>
      <c r="B35">
        <f>(B33+B34)*B31*B32</f>
        <v>2.6813600000000006</v>
      </c>
      <c r="D35" s="120"/>
      <c r="E35" s="133"/>
      <c r="F35" s="134"/>
      <c r="G35" s="125"/>
      <c r="H35" s="71">
        <v>13.1</v>
      </c>
      <c r="I35" s="54">
        <f t="shared" si="0"/>
        <v>35.470769235527776</v>
      </c>
      <c r="J35" cm="1">
        <f t="array" ref="J35">INDEX($H$24:$H$42, MATCH(MIN(ABS($H$24:$H$42-I35)),ABS($H$24:$H$42-I35),0))</f>
        <v>37.4</v>
      </c>
      <c r="K35" s="55">
        <f t="shared" si="1"/>
        <v>2.8549618320610688</v>
      </c>
      <c r="L35" s="55">
        <f t="shared" si="2"/>
        <v>34.142986429919787</v>
      </c>
      <c r="O35" s="3">
        <v>45</v>
      </c>
      <c r="P35" s="3">
        <v>90</v>
      </c>
      <c r="Q35" s="3">
        <v>180</v>
      </c>
    </row>
    <row r="36" spans="1:17" ht="16" customHeight="1" x14ac:dyDescent="0.35">
      <c r="A36" s="12" t="s">
        <v>142</v>
      </c>
      <c r="B36" s="75">
        <f>ROUNDUP((B10/B35),0)</f>
        <v>1</v>
      </c>
      <c r="D36" s="120"/>
      <c r="E36" s="133"/>
      <c r="F36" s="134"/>
      <c r="G36" s="125"/>
      <c r="H36" s="71">
        <v>13.9</v>
      </c>
      <c r="I36" s="54">
        <f t="shared" si="0"/>
        <v>37.63692308197222</v>
      </c>
      <c r="J36" cm="1">
        <f t="array" ref="J36">INDEX($H$24:$H$42, MATCH(MIN(ABS($H$24:$H$42-I36)),ABS($H$24:$H$42-I36),0))</f>
        <v>37.4</v>
      </c>
      <c r="K36" s="55">
        <f t="shared" si="1"/>
        <v>2.6906474820143882</v>
      </c>
      <c r="L36" s="55">
        <f t="shared" si="2"/>
        <v>36.228054303502681</v>
      </c>
      <c r="O36" s="3">
        <v>50</v>
      </c>
      <c r="P36" s="3">
        <v>95</v>
      </c>
      <c r="Q36" s="3">
        <v>190</v>
      </c>
    </row>
    <row r="37" spans="1:17" ht="16" customHeight="1" x14ac:dyDescent="0.35">
      <c r="A37" s="131" t="s">
        <v>143</v>
      </c>
      <c r="B37" s="131"/>
      <c r="D37" s="120"/>
      <c r="E37" s="133"/>
      <c r="F37" s="134"/>
      <c r="G37" s="125"/>
      <c r="H37" s="71">
        <v>14.9</v>
      </c>
      <c r="I37" s="54">
        <f t="shared" si="0"/>
        <v>40.344615390027776</v>
      </c>
      <c r="J37" cm="1">
        <f t="array" ref="J37">INDEX($H$24:$H$42, MATCH(MIN(ABS($H$24:$H$42-I37)),ABS($H$24:$H$42-I37),0))</f>
        <v>37.4</v>
      </c>
      <c r="K37" s="55">
        <f t="shared" si="1"/>
        <v>2.5100671140939594</v>
      </c>
      <c r="L37" s="55">
        <f t="shared" si="2"/>
        <v>38.834389145481289</v>
      </c>
      <c r="O37" s="3">
        <v>53</v>
      </c>
      <c r="P37" s="3">
        <v>100</v>
      </c>
      <c r="Q37" s="3">
        <v>200</v>
      </c>
    </row>
    <row r="38" spans="1:17" ht="16" customHeight="1" x14ac:dyDescent="0.35">
      <c r="A38" s="12" t="s">
        <v>144</v>
      </c>
      <c r="B38" s="10">
        <f>B25</f>
        <v>67</v>
      </c>
      <c r="D38" s="120"/>
      <c r="E38" s="69"/>
      <c r="F38" s="134"/>
      <c r="G38" s="125"/>
      <c r="H38" s="71">
        <v>15.9</v>
      </c>
      <c r="I38" s="54">
        <f t="shared" si="0"/>
        <v>43.052307698083332</v>
      </c>
      <c r="J38" cm="1">
        <f t="array" ref="J38">INDEX($H$24:$H$42, MATCH(MIN(ABS($H$24:$H$42-I38)),ABS($H$24:$H$42-I38),0))</f>
        <v>37.4</v>
      </c>
      <c r="K38" s="55">
        <f t="shared" si="1"/>
        <v>2.3522012578616351</v>
      </c>
      <c r="L38" s="55">
        <f t="shared" si="2"/>
        <v>41.440723987459897</v>
      </c>
      <c r="O38" s="3">
        <v>56</v>
      </c>
      <c r="P38" s="3">
        <v>106</v>
      </c>
      <c r="Q38" s="3">
        <v>212</v>
      </c>
    </row>
    <row r="39" spans="1:17" ht="16" customHeight="1" x14ac:dyDescent="0.35">
      <c r="A39" s="12" t="s">
        <v>126</v>
      </c>
      <c r="B39" s="56">
        <f>B27</f>
        <v>24.813198963351908</v>
      </c>
      <c r="D39" s="120"/>
      <c r="E39" s="69"/>
      <c r="F39" s="69"/>
      <c r="G39" s="69"/>
      <c r="H39" s="71">
        <v>21.1</v>
      </c>
      <c r="I39" s="54">
        <f t="shared" si="0"/>
        <v>57.132307699972223</v>
      </c>
      <c r="J39" cm="1">
        <f t="array" ref="J39">INDEX($H$24:$H$42, MATCH(MIN(ABS($H$24:$H$42-I39)),ABS($H$24:$H$42-I39),0))</f>
        <v>49.9</v>
      </c>
      <c r="K39" s="55">
        <f t="shared" si="1"/>
        <v>2.3649289099526065</v>
      </c>
      <c r="L39" s="55">
        <f t="shared" si="2"/>
        <v>41.217696937855713</v>
      </c>
      <c r="O39" s="3">
        <v>60</v>
      </c>
      <c r="P39" s="3">
        <v>112</v>
      </c>
      <c r="Q39" s="3">
        <v>224</v>
      </c>
    </row>
    <row r="40" spans="1:17" ht="16" customHeight="1" x14ac:dyDescent="0.35">
      <c r="A40" s="12" t="s">
        <v>122</v>
      </c>
      <c r="B40" s="10">
        <f>B19</f>
        <v>2.95</v>
      </c>
      <c r="D40" s="120"/>
      <c r="E40" s="69"/>
      <c r="F40" s="69"/>
      <c r="G40" s="69"/>
      <c r="H40" s="71">
        <v>27.7</v>
      </c>
      <c r="I40" s="54">
        <f t="shared" si="0"/>
        <v>75.003076933138885</v>
      </c>
      <c r="J40" cm="1">
        <f t="array" ref="J40">INDEX($H$24:$H$42, MATCH(MIN(ABS($H$24:$H$42-I40)),ABS($H$24:$H$42-I40),0))</f>
        <v>49.9</v>
      </c>
      <c r="K40" s="55">
        <f t="shared" si="1"/>
        <v>1.8014440433212997</v>
      </c>
      <c r="L40" s="55">
        <f t="shared" si="2"/>
        <v>54.110436264388774</v>
      </c>
      <c r="O40" s="3">
        <v>63</v>
      </c>
      <c r="P40" s="3">
        <v>118</v>
      </c>
      <c r="Q40" s="3">
        <v>236</v>
      </c>
    </row>
    <row r="41" spans="1:17" ht="16" customHeight="1" x14ac:dyDescent="0.35">
      <c r="A41" s="12" t="s">
        <v>123</v>
      </c>
      <c r="B41" s="10">
        <f>B20</f>
        <v>7.95</v>
      </c>
      <c r="D41" s="120"/>
      <c r="E41" s="69"/>
      <c r="F41" s="69"/>
      <c r="G41" s="69"/>
      <c r="H41" s="71">
        <v>37.4</v>
      </c>
      <c r="I41" s="54">
        <f t="shared" si="0"/>
        <v>101.26769232127778</v>
      </c>
      <c r="J41" cm="1">
        <f t="array" ref="J41">INDEX($H$24:$H$42, MATCH(MIN(ABS($H$24:$H$42-I41)),ABS($H$24:$H$42-I41),0))</f>
        <v>49.9</v>
      </c>
      <c r="K41" s="55">
        <f t="shared" si="1"/>
        <v>1.3342245989304813</v>
      </c>
      <c r="L41" s="55">
        <f t="shared" si="2"/>
        <v>73.058856183687368</v>
      </c>
      <c r="O41" s="3">
        <v>67</v>
      </c>
      <c r="P41" s="3">
        <v>125</v>
      </c>
      <c r="Q41" s="3">
        <v>250</v>
      </c>
    </row>
    <row r="42" spans="1:17" ht="16" customHeight="1" x14ac:dyDescent="0.35">
      <c r="A42" s="12" t="s">
        <v>124</v>
      </c>
      <c r="B42" s="56">
        <f>B21</f>
        <v>36.170682152893086</v>
      </c>
      <c r="D42" s="121"/>
      <c r="E42" s="69"/>
      <c r="F42" s="69"/>
      <c r="G42" s="69"/>
      <c r="H42" s="71">
        <v>49.9</v>
      </c>
      <c r="I42" s="54">
        <f t="shared" si="0"/>
        <v>135.11384617197223</v>
      </c>
      <c r="J42" cm="1">
        <f t="array" ref="J42">INDEX($H$24:$H$42, MATCH(MIN(ABS($H$24:$H$42-I42)),ABS($H$24:$H$42-I42),0))</f>
        <v>49.9</v>
      </c>
      <c r="K42" s="55">
        <f t="shared" si="1"/>
        <v>1</v>
      </c>
      <c r="L42" s="55">
        <f t="shared" si="2"/>
        <v>97.47692309</v>
      </c>
      <c r="O42" s="3">
        <v>71</v>
      </c>
      <c r="P42" s="3">
        <v>132</v>
      </c>
      <c r="Q42" s="3">
        <v>265</v>
      </c>
    </row>
    <row r="43" spans="1:17" ht="16" customHeight="1" x14ac:dyDescent="0.35">
      <c r="A43" s="135" t="s">
        <v>145</v>
      </c>
      <c r="B43" s="135"/>
      <c r="D43" s="119" t="s">
        <v>129</v>
      </c>
      <c r="E43" s="122" t="s">
        <v>96</v>
      </c>
      <c r="F43" s="134" t="s">
        <v>97</v>
      </c>
      <c r="G43" s="125" t="s">
        <v>146</v>
      </c>
      <c r="H43" s="66">
        <v>13</v>
      </c>
      <c r="I43" s="54">
        <f t="shared" si="0"/>
        <v>35.20000000472222</v>
      </c>
      <c r="J43" cm="1">
        <f t="array" ref="J43">INDEX($H$43:$H$60, MATCH(MIN(ABS($H$43:$H$60-I43)),ABS($H$43:$H$60-I43),0))</f>
        <v>39.799999999999997</v>
      </c>
      <c r="K43" s="55">
        <f t="shared" si="1"/>
        <v>3.0615384615384613</v>
      </c>
      <c r="L43" s="55">
        <f t="shared" si="2"/>
        <v>31.839195984170857</v>
      </c>
      <c r="O43" s="3">
        <v>75</v>
      </c>
      <c r="P43" s="3">
        <v>140</v>
      </c>
      <c r="Q43" s="3">
        <v>280</v>
      </c>
    </row>
    <row r="44" spans="1:17" ht="16" customHeight="1" x14ac:dyDescent="0.35">
      <c r="A44" s="135"/>
      <c r="B44" s="135"/>
      <c r="D44" s="120"/>
      <c r="E44" s="123"/>
      <c r="F44" s="134"/>
      <c r="G44" s="125"/>
      <c r="H44" s="66">
        <v>13.8</v>
      </c>
      <c r="I44" s="54">
        <f t="shared" si="0"/>
        <v>37.366153851166665</v>
      </c>
      <c r="J44" cm="1">
        <f t="array" ref="J44">INDEX($H$43:$H$60, MATCH(MIN(ABS($H$43:$H$60-I44)),ABS($H$43:$H$60-I44),0))</f>
        <v>39.799999999999997</v>
      </c>
      <c r="K44" s="55">
        <f t="shared" si="1"/>
        <v>2.8840579710144922</v>
      </c>
      <c r="L44" s="55">
        <f t="shared" si="2"/>
        <v>33.7985311216583</v>
      </c>
      <c r="O44" s="3">
        <v>80</v>
      </c>
      <c r="P44" s="3">
        <v>150</v>
      </c>
      <c r="Q44" s="3">
        <v>300</v>
      </c>
    </row>
    <row r="45" spans="1:17" ht="16" customHeight="1" x14ac:dyDescent="0.35">
      <c r="A45" s="12" t="s">
        <v>122</v>
      </c>
      <c r="B45" s="67">
        <f>_xlfn.XLOOKUP(O12,L24:L42,H24:H42,"No hay numero",0)</f>
        <v>10.199999999999999</v>
      </c>
      <c r="D45" s="120"/>
      <c r="E45" s="123"/>
      <c r="F45" s="134"/>
      <c r="G45" s="125"/>
      <c r="H45" s="66">
        <v>14.8</v>
      </c>
      <c r="I45" s="54">
        <f t="shared" si="0"/>
        <v>40.073846159222221</v>
      </c>
      <c r="J45" cm="1">
        <f t="array" ref="J45">INDEX($H$43:$H$60, MATCH(MIN(ABS($H$43:$H$60-I45)),ABS($H$43:$H$60-I45),0))</f>
        <v>39.799999999999997</v>
      </c>
      <c r="K45" s="55">
        <f t="shared" si="1"/>
        <v>2.689189189189189</v>
      </c>
      <c r="L45" s="55">
        <f t="shared" si="2"/>
        <v>36.24770004351759</v>
      </c>
      <c r="O45" s="3">
        <v>85</v>
      </c>
      <c r="P45" s="3">
        <v>160</v>
      </c>
      <c r="Q45" s="3">
        <v>315</v>
      </c>
    </row>
    <row r="46" spans="1:17" ht="16" customHeight="1" x14ac:dyDescent="0.35">
      <c r="A46" s="12" t="s">
        <v>123</v>
      </c>
      <c r="B46" s="67">
        <f>_xlfn.XLOOKUP(O12,L24:L42,J24:J42,"No hay numero",0)</f>
        <v>27.7</v>
      </c>
      <c r="D46" s="120"/>
      <c r="E46" s="123"/>
      <c r="F46" s="134"/>
      <c r="G46" s="125"/>
      <c r="H46" s="66">
        <v>15.8</v>
      </c>
      <c r="I46" s="54">
        <f t="shared" si="0"/>
        <v>42.781538467277777</v>
      </c>
      <c r="J46" cm="1">
        <f t="array" ref="J46">INDEX($H$43:$H$60, MATCH(MIN(ABS($H$43:$H$60-I46)),ABS($H$43:$H$60-I46),0))</f>
        <v>39.799999999999997</v>
      </c>
      <c r="K46" s="55">
        <f t="shared" si="1"/>
        <v>2.5189873417721516</v>
      </c>
      <c r="L46" s="55">
        <f t="shared" si="2"/>
        <v>38.696868965376886</v>
      </c>
      <c r="O46" s="3">
        <v>90</v>
      </c>
      <c r="P46" s="3">
        <v>170</v>
      </c>
      <c r="Q46" s="3">
        <v>335</v>
      </c>
    </row>
    <row r="47" spans="1:17" ht="16" customHeight="1" x14ac:dyDescent="0.35">
      <c r="A47" s="12" t="s">
        <v>124</v>
      </c>
      <c r="B47" s="70">
        <f>O12</f>
        <v>35.894029441083028</v>
      </c>
      <c r="D47" s="120"/>
      <c r="E47" s="123"/>
      <c r="F47" s="134"/>
      <c r="G47" s="125"/>
      <c r="H47" s="66">
        <v>16.8</v>
      </c>
      <c r="I47" s="54">
        <f t="shared" si="0"/>
        <v>45.489230775333333</v>
      </c>
      <c r="J47" cm="1">
        <f t="array" ref="J47">INDEX($H$43:$H$60, MATCH(MIN(ABS($H$43:$H$60-I47)),ABS($H$43:$H$60-I47),0))</f>
        <v>39.799999999999997</v>
      </c>
      <c r="K47" s="55">
        <f t="shared" si="1"/>
        <v>2.3690476190476186</v>
      </c>
      <c r="L47" s="55">
        <f t="shared" si="2"/>
        <v>41.14603788723619</v>
      </c>
      <c r="O47" s="3">
        <v>95</v>
      </c>
      <c r="P47" s="3">
        <v>180</v>
      </c>
      <c r="Q47" s="3">
        <v>355</v>
      </c>
    </row>
    <row r="48" spans="1:17" ht="16" customHeight="1" x14ac:dyDescent="0.35">
      <c r="A48" s="131" t="s">
        <v>125</v>
      </c>
      <c r="B48" s="131"/>
      <c r="D48" s="120"/>
      <c r="E48" s="123"/>
      <c r="F48" s="134"/>
      <c r="G48" s="125"/>
      <c r="H48" s="66">
        <v>17.8</v>
      </c>
      <c r="I48" s="54">
        <f t="shared" si="0"/>
        <v>48.196923083388889</v>
      </c>
      <c r="J48" cm="1">
        <f t="array" ref="J48">INDEX($H$43:$H$60, MATCH(MIN(ABS($H$43:$H$60-I48)),ABS($H$43:$H$60-I48),0))</f>
        <v>52.8</v>
      </c>
      <c r="K48" s="55">
        <f t="shared" si="1"/>
        <v>2.9662921348314604</v>
      </c>
      <c r="L48" s="55">
        <f t="shared" si="2"/>
        <v>32.861538465946971</v>
      </c>
      <c r="O48" s="3">
        <v>100</v>
      </c>
      <c r="P48" s="3">
        <v>190</v>
      </c>
      <c r="Q48" s="3">
        <v>375</v>
      </c>
    </row>
    <row r="49" spans="1:17" ht="16" customHeight="1" x14ac:dyDescent="0.35">
      <c r="A49" s="12" t="s">
        <v>126</v>
      </c>
      <c r="B49" s="59">
        <v>25</v>
      </c>
      <c r="D49" s="120"/>
      <c r="E49" s="123"/>
      <c r="F49" s="134"/>
      <c r="G49" s="125"/>
      <c r="H49" s="66">
        <v>18.8</v>
      </c>
      <c r="I49" s="54">
        <f t="shared" si="0"/>
        <v>50.904615391444445</v>
      </c>
      <c r="J49" cm="1">
        <f t="array" ref="J49">INDEX($H$43:$H$60, MATCH(MIN(ABS($H$43:$H$60-I49)),ABS($H$43:$H$60-I49),0))</f>
        <v>52.8</v>
      </c>
      <c r="K49" s="55">
        <f t="shared" si="1"/>
        <v>2.808510638297872</v>
      </c>
      <c r="L49" s="55">
        <f t="shared" si="2"/>
        <v>34.707692312348492</v>
      </c>
      <c r="O49" s="3">
        <v>106</v>
      </c>
      <c r="P49" s="3">
        <v>200</v>
      </c>
      <c r="Q49" s="3">
        <v>400</v>
      </c>
    </row>
    <row r="50" spans="1:17" ht="16" customHeight="1" x14ac:dyDescent="0.35">
      <c r="A50" s="12" t="s">
        <v>128</v>
      </c>
      <c r="B50" s="55">
        <f>(2*B49)+((Pi/2)*(B46+B45))+(((B46-B45)*(B46-B45))/(4*B49))</f>
        <v>112.59582</v>
      </c>
      <c r="D50" s="120"/>
      <c r="E50" s="123"/>
      <c r="F50" s="134"/>
      <c r="G50" s="125"/>
      <c r="H50" s="66">
        <v>19.8</v>
      </c>
      <c r="I50" s="54">
        <f t="shared" si="0"/>
        <v>53.612307699500001</v>
      </c>
      <c r="J50" cm="1">
        <f t="array" ref="J50">INDEX($H$43:$H$60, MATCH(MIN(ABS($H$43:$H$60-I50)),ABS($H$43:$H$60-I50),0))</f>
        <v>52.8</v>
      </c>
      <c r="K50" s="55">
        <f t="shared" si="1"/>
        <v>2.6666666666666665</v>
      </c>
      <c r="L50" s="55">
        <f t="shared" si="2"/>
        <v>36.553846158750005</v>
      </c>
      <c r="O50" s="3">
        <v>112</v>
      </c>
      <c r="P50" s="3">
        <v>212</v>
      </c>
      <c r="Q50" s="3">
        <v>425</v>
      </c>
    </row>
    <row r="51" spans="1:17" ht="16" customHeight="1" x14ac:dyDescent="0.35">
      <c r="A51" s="12" t="s">
        <v>130</v>
      </c>
      <c r="B51">
        <f>LOOKUP(B50,P25:P59)</f>
        <v>112</v>
      </c>
      <c r="D51" s="120"/>
      <c r="E51" s="123"/>
      <c r="F51" s="134"/>
      <c r="G51" s="125"/>
      <c r="H51" s="66">
        <v>21</v>
      </c>
      <c r="I51" s="54">
        <f t="shared" si="0"/>
        <v>56.861538469166668</v>
      </c>
      <c r="J51" cm="1">
        <f t="array" ref="J51">INDEX($H$43:$H$60, MATCH(MIN(ABS($H$43:$H$60-I51)),ABS($H$43:$H$60-I51),0))</f>
        <v>52.8</v>
      </c>
      <c r="K51" s="55">
        <f t="shared" si="1"/>
        <v>2.5142857142857142</v>
      </c>
      <c r="L51" s="55">
        <f t="shared" si="2"/>
        <v>38.769230774431819</v>
      </c>
      <c r="O51" s="3">
        <v>118</v>
      </c>
      <c r="P51" s="3">
        <v>224</v>
      </c>
      <c r="Q51" s="3">
        <v>450</v>
      </c>
    </row>
    <row r="52" spans="1:17" ht="16" customHeight="1" x14ac:dyDescent="0.35">
      <c r="A52" s="12" t="s">
        <v>131</v>
      </c>
      <c r="B52" s="55">
        <f>(4*B51)-(2*Pi)*(B46+B45)</f>
        <v>209.86672000000002</v>
      </c>
      <c r="D52" s="120"/>
      <c r="E52" s="123"/>
      <c r="F52" s="134"/>
      <c r="G52" s="125"/>
      <c r="H52" s="66">
        <v>22.2</v>
      </c>
      <c r="I52" s="54">
        <f t="shared" si="0"/>
        <v>60.110769238833328</v>
      </c>
      <c r="J52" cm="1">
        <f t="array" ref="J52">INDEX($H$43:$H$60, MATCH(MIN(ABS($H$43:$H$60-I52)),ABS($H$43:$H$60-I52),0))</f>
        <v>52.8</v>
      </c>
      <c r="K52" s="55">
        <f t="shared" si="1"/>
        <v>2.3783783783783785</v>
      </c>
      <c r="L52" s="55">
        <f t="shared" si="2"/>
        <v>40.984615390113632</v>
      </c>
      <c r="O52" s="3">
        <v>125</v>
      </c>
      <c r="P52" s="3">
        <v>236</v>
      </c>
      <c r="Q52" s="3">
        <v>475</v>
      </c>
    </row>
    <row r="53" spans="1:17" ht="16" customHeight="1" x14ac:dyDescent="0.35">
      <c r="A53" s="12" t="s">
        <v>126</v>
      </c>
      <c r="B53" s="55">
        <f>(B52+SQRT((B52^2)-(32*(B46-B45)^2)))/(16)</f>
        <v>24.682385796650895</v>
      </c>
      <c r="D53" s="120"/>
      <c r="E53" s="136"/>
      <c r="F53" s="134"/>
      <c r="G53" s="125"/>
      <c r="H53" s="66">
        <v>22.8</v>
      </c>
      <c r="I53" s="54">
        <f t="shared" si="0"/>
        <v>61.735384623666668</v>
      </c>
      <c r="J53" cm="1">
        <f t="array" ref="J53">INDEX($H$43:$H$60, MATCH(MIN(ABS($H$43:$H$60-I53)),ABS($H$43:$H$60-I53),0))</f>
        <v>52.8</v>
      </c>
      <c r="K53" s="55">
        <f t="shared" si="1"/>
        <v>2.3157894736842102</v>
      </c>
      <c r="L53" s="55">
        <f t="shared" si="2"/>
        <v>42.092307697954553</v>
      </c>
      <c r="O53" s="3">
        <v>132</v>
      </c>
      <c r="P53" s="3">
        <v>250</v>
      </c>
      <c r="Q53" s="3">
        <v>500</v>
      </c>
    </row>
    <row r="54" spans="1:17" ht="16" customHeight="1" x14ac:dyDescent="0.35">
      <c r="A54" s="12" t="s">
        <v>132</v>
      </c>
      <c r="B54" s="55">
        <f>180-2*DEGREES(ASIN((B46-B45)/(2*B53)))</f>
        <v>138.47392480496794</v>
      </c>
      <c r="C54" s="17" t="s">
        <v>133</v>
      </c>
      <c r="D54" s="120"/>
      <c r="E54" s="2"/>
      <c r="F54" s="134"/>
      <c r="G54" s="125"/>
      <c r="H54" s="66">
        <v>23.8</v>
      </c>
      <c r="I54" s="54">
        <f t="shared" si="0"/>
        <v>64.443076931722217</v>
      </c>
      <c r="J54" cm="1">
        <f t="array" ref="J54">INDEX($H$43:$H$60, MATCH(MIN(ABS($H$43:$H$60-I54)),ABS($H$43:$H$60-I54),0))</f>
        <v>70.8</v>
      </c>
      <c r="K54" s="55">
        <f t="shared" si="1"/>
        <v>2.9747899159663862</v>
      </c>
      <c r="L54" s="55">
        <f t="shared" si="2"/>
        <v>32.767666236468934</v>
      </c>
      <c r="O54" s="3">
        <v>140</v>
      </c>
      <c r="P54" s="3">
        <v>265</v>
      </c>
      <c r="Q54" s="3"/>
    </row>
    <row r="55" spans="1:17" ht="16" customHeight="1" x14ac:dyDescent="0.35">
      <c r="A55" s="12" t="s">
        <v>134</v>
      </c>
      <c r="B55" s="55">
        <f>180+2*DEGREES(ASIN((B46-B45)/(2*B53)))</f>
        <v>221.52607519503206</v>
      </c>
      <c r="C55" s="17" t="s">
        <v>135</v>
      </c>
      <c r="D55" s="120"/>
      <c r="E55" s="2"/>
      <c r="F55" s="134"/>
      <c r="G55" s="125"/>
      <c r="H55" s="66">
        <v>24.8</v>
      </c>
      <c r="I55" s="54">
        <f t="shared" si="0"/>
        <v>67.150769239777773</v>
      </c>
      <c r="J55" cm="1">
        <f t="array" ref="J55">INDEX($H$43:$H$60, MATCH(MIN(ABS($H$43:$H$60-I55)),ABS($H$43:$H$60-I55),0))</f>
        <v>70.8</v>
      </c>
      <c r="K55" s="55">
        <f t="shared" si="1"/>
        <v>2.854838709677419</v>
      </c>
      <c r="L55" s="55">
        <f t="shared" si="2"/>
        <v>34.14445893548023</v>
      </c>
      <c r="O55" s="3">
        <v>165</v>
      </c>
      <c r="P55" s="3">
        <v>280</v>
      </c>
      <c r="Q55" s="3"/>
    </row>
    <row r="56" spans="1:17" ht="16" customHeight="1" x14ac:dyDescent="0.35">
      <c r="A56" s="12" t="s">
        <v>136</v>
      </c>
      <c r="B56" s="55">
        <f>B12/LOOKUP(B45,H24:H42,L24:L42)</f>
        <v>2.7156862745098045</v>
      </c>
      <c r="D56" s="120"/>
      <c r="E56" s="2"/>
      <c r="F56" s="69"/>
      <c r="G56" s="69"/>
      <c r="H56" s="66">
        <v>29.8</v>
      </c>
      <c r="I56" s="54">
        <f t="shared" si="0"/>
        <v>80.689230780055553</v>
      </c>
      <c r="J56" cm="1">
        <f t="array" ref="J56">INDEX($H$43:$H$60, MATCH(MIN(ABS($H$43:$H$60-I56)),ABS($H$43:$H$60-I56),0))</f>
        <v>70.8</v>
      </c>
      <c r="K56" s="55">
        <f t="shared" si="1"/>
        <v>2.3758389261744965</v>
      </c>
      <c r="L56" s="55">
        <f t="shared" si="2"/>
        <v>41.028422430536722</v>
      </c>
      <c r="O56" s="3"/>
      <c r="P56" s="3">
        <v>300</v>
      </c>
      <c r="Q56" s="3"/>
    </row>
    <row r="57" spans="1:17" ht="16" customHeight="1" x14ac:dyDescent="0.35">
      <c r="A57" s="12" t="s">
        <v>137</v>
      </c>
      <c r="B57" s="59">
        <v>0.97499999999999998</v>
      </c>
      <c r="D57" s="120"/>
      <c r="E57" s="2"/>
      <c r="F57" s="69"/>
      <c r="G57" s="69"/>
      <c r="H57" s="66">
        <v>39.799999999999997</v>
      </c>
      <c r="I57" s="54">
        <f t="shared" si="0"/>
        <v>107.7661538606111</v>
      </c>
      <c r="J57" cm="1">
        <f t="array" ref="J57">INDEX($H$43:$H$60, MATCH(MIN(ABS($H$43:$H$60-I57)),ABS($H$43:$H$60-I57),0))</f>
        <v>94.8</v>
      </c>
      <c r="K57" s="55">
        <f t="shared" si="1"/>
        <v>2.3819095477386933</v>
      </c>
      <c r="L57" s="55">
        <f t="shared" si="2"/>
        <v>40.923855896434603</v>
      </c>
      <c r="O57" s="3"/>
      <c r="P57" s="3">
        <v>315</v>
      </c>
      <c r="Q57" s="3"/>
    </row>
    <row r="58" spans="1:17" ht="16" customHeight="1" x14ac:dyDescent="0.35">
      <c r="A58" s="12" t="s">
        <v>138</v>
      </c>
      <c r="B58" s="59">
        <v>0.96</v>
      </c>
      <c r="C58" s="53"/>
      <c r="D58" s="120"/>
      <c r="E58" s="2"/>
      <c r="F58" s="69"/>
      <c r="G58" s="69"/>
      <c r="H58" s="66">
        <v>52.8</v>
      </c>
      <c r="I58" s="54">
        <f t="shared" si="0"/>
        <v>142.96615386533333</v>
      </c>
      <c r="J58" cm="1">
        <f t="array" ref="J58">INDEX($H$43:$H$60, MATCH(MIN(ABS($H$43:$H$60-I58)),ABS($H$43:$H$60-I58),0))</f>
        <v>94.8</v>
      </c>
      <c r="K58" s="55">
        <f t="shared" si="1"/>
        <v>1.7954545454545454</v>
      </c>
      <c r="L58" s="55">
        <f t="shared" si="2"/>
        <v>54.290944505822786</v>
      </c>
      <c r="O58" s="3"/>
      <c r="P58" s="3">
        <v>335</v>
      </c>
      <c r="Q58" s="3"/>
    </row>
    <row r="59" spans="1:17" ht="16" customHeight="1" x14ac:dyDescent="0.35">
      <c r="A59" s="12" t="s">
        <v>139</v>
      </c>
      <c r="B59" s="59">
        <v>12</v>
      </c>
      <c r="D59" s="120"/>
      <c r="E59" s="2"/>
      <c r="F59" s="69"/>
      <c r="G59" s="69"/>
      <c r="H59" s="66">
        <v>70.8</v>
      </c>
      <c r="I59" s="54">
        <f t="shared" si="0"/>
        <v>191.70461541033333</v>
      </c>
      <c r="J59" cm="1">
        <f t="array" ref="J59">INDEX($H$43:$H$60, MATCH(MIN(ABS($H$43:$H$60-I59)),ABS($H$43:$H$60-I59),0))</f>
        <v>94.8</v>
      </c>
      <c r="K59" s="55">
        <f t="shared" si="1"/>
        <v>1.3389830508474576</v>
      </c>
      <c r="L59" s="55">
        <f t="shared" si="2"/>
        <v>72.799221041898733</v>
      </c>
      <c r="O59" s="3"/>
      <c r="P59" s="3">
        <v>355</v>
      </c>
      <c r="Q59" s="3"/>
    </row>
    <row r="60" spans="1:17" ht="16" customHeight="1" x14ac:dyDescent="0.35">
      <c r="A60" s="12" t="s">
        <v>140</v>
      </c>
      <c r="B60" s="59">
        <v>0.66</v>
      </c>
      <c r="D60" s="121"/>
      <c r="E60" s="2"/>
      <c r="F60" s="69"/>
      <c r="G60" s="69"/>
      <c r="H60" s="76">
        <v>94.8</v>
      </c>
      <c r="I60" s="54">
        <f t="shared" si="0"/>
        <v>256.68923080366665</v>
      </c>
      <c r="J60" cm="1">
        <f t="array" ref="J60">INDEX($H$43:$H$60, MATCH(MIN(ABS($H$43:$H$60-I60)),ABS($H$43:$H$60-I60),0))</f>
        <v>94.8</v>
      </c>
      <c r="K60" s="55">
        <f t="shared" si="1"/>
        <v>1</v>
      </c>
      <c r="L60" s="55">
        <f t="shared" si="2"/>
        <v>97.47692309</v>
      </c>
    </row>
    <row r="61" spans="1:17" ht="16" customHeight="1" x14ac:dyDescent="0.35">
      <c r="A61" s="12" t="s">
        <v>141</v>
      </c>
      <c r="B61">
        <f>(B59+B60)*B57*B58</f>
        <v>11.84976</v>
      </c>
    </row>
    <row r="62" spans="1:17" ht="16" customHeight="1" x14ac:dyDescent="0.35">
      <c r="A62" s="12" t="s">
        <v>142</v>
      </c>
      <c r="B62" s="75">
        <f>ROUNDUP((B10/B61),0)</f>
        <v>1</v>
      </c>
    </row>
    <row r="63" spans="1:17" ht="16" customHeight="1" x14ac:dyDescent="0.35">
      <c r="A63" s="131" t="s">
        <v>143</v>
      </c>
      <c r="B63" s="131"/>
    </row>
    <row r="64" spans="1:17" ht="16" customHeight="1" x14ac:dyDescent="0.35">
      <c r="A64" s="12" t="s">
        <v>144</v>
      </c>
      <c r="B64" s="10">
        <f>B51</f>
        <v>112</v>
      </c>
    </row>
    <row r="65" spans="1:3" ht="16" customHeight="1" x14ac:dyDescent="0.35">
      <c r="A65" s="12" t="s">
        <v>126</v>
      </c>
      <c r="B65" s="56">
        <f>B53</f>
        <v>24.682385796650895</v>
      </c>
    </row>
    <row r="66" spans="1:3" ht="16" customHeight="1" x14ac:dyDescent="0.35">
      <c r="A66" s="12" t="s">
        <v>122</v>
      </c>
      <c r="B66" s="10">
        <f>B45</f>
        <v>10.199999999999999</v>
      </c>
    </row>
    <row r="67" spans="1:3" ht="16" customHeight="1" x14ac:dyDescent="0.35">
      <c r="A67" s="12" t="s">
        <v>123</v>
      </c>
      <c r="B67" s="10">
        <f>B46</f>
        <v>27.7</v>
      </c>
    </row>
    <row r="68" spans="1:3" ht="16" customHeight="1" x14ac:dyDescent="0.35">
      <c r="A68" s="12" t="s">
        <v>124</v>
      </c>
      <c r="B68" s="56">
        <f>B47</f>
        <v>35.894029441083028</v>
      </c>
    </row>
    <row r="69" spans="1:3" ht="16" customHeight="1" x14ac:dyDescent="0.35">
      <c r="A69" s="138" t="s">
        <v>147</v>
      </c>
      <c r="B69" s="138"/>
    </row>
    <row r="70" spans="1:3" x14ac:dyDescent="0.35">
      <c r="A70" s="138"/>
      <c r="B70" s="138"/>
    </row>
    <row r="71" spans="1:3" x14ac:dyDescent="0.35">
      <c r="A71" s="12" t="s">
        <v>122</v>
      </c>
      <c r="B71" s="67">
        <f>_xlfn.XLOOKUP(O15,L43:L60,H43:H60,"No hay numero",0)</f>
        <v>14.8</v>
      </c>
    </row>
    <row r="72" spans="1:3" x14ac:dyDescent="0.35">
      <c r="A72" s="12" t="s">
        <v>123</v>
      </c>
      <c r="B72" s="67">
        <f>_xlfn.XLOOKUP(O15,L43:L60,J43:J60,"No hay numero",0)</f>
        <v>39.799999999999997</v>
      </c>
    </row>
    <row r="73" spans="1:3" x14ac:dyDescent="0.35">
      <c r="A73" s="12" t="s">
        <v>124</v>
      </c>
      <c r="B73" s="70">
        <f>O15</f>
        <v>36.24770004351759</v>
      </c>
    </row>
    <row r="74" spans="1:3" x14ac:dyDescent="0.35">
      <c r="A74" s="131" t="s">
        <v>125</v>
      </c>
      <c r="B74" s="131"/>
    </row>
    <row r="75" spans="1:3" x14ac:dyDescent="0.35">
      <c r="A75" s="12" t="s">
        <v>126</v>
      </c>
      <c r="B75" s="59">
        <v>57</v>
      </c>
    </row>
    <row r="76" spans="1:3" x14ac:dyDescent="0.35">
      <c r="A76" s="12" t="s">
        <v>128</v>
      </c>
      <c r="B76" s="55">
        <f>(2*B75)+((Pi/2)*(B72+B71))+(((B72-B71)*(B72-B71))/(4*B75))</f>
        <v>202.5069080701754</v>
      </c>
    </row>
    <row r="77" spans="1:3" x14ac:dyDescent="0.35">
      <c r="A77" s="12" t="s">
        <v>130</v>
      </c>
      <c r="B77">
        <f>LOOKUP(B76,Q25:Q53)</f>
        <v>200</v>
      </c>
    </row>
    <row r="78" spans="1:3" x14ac:dyDescent="0.35">
      <c r="A78" s="12" t="s">
        <v>131</v>
      </c>
      <c r="B78" s="55">
        <f>(4*B77)-(2*Pi)*(B72+B71)</f>
        <v>456.93728000000004</v>
      </c>
    </row>
    <row r="79" spans="1:3" x14ac:dyDescent="0.35">
      <c r="A79" s="12" t="s">
        <v>126</v>
      </c>
      <c r="B79" s="55">
        <f>(B78+SQRT((B78^2)-(32*(B72-B71)^2)))/(16)</f>
        <v>55.714932693548526</v>
      </c>
    </row>
    <row r="80" spans="1:3" x14ac:dyDescent="0.35">
      <c r="A80" s="12" t="s">
        <v>132</v>
      </c>
      <c r="B80" s="55">
        <f>180-2*DEGREES(ASIN((B72-B71)/(2*B79)))</f>
        <v>154.06993351222181</v>
      </c>
      <c r="C80" s="17" t="s">
        <v>133</v>
      </c>
    </row>
    <row r="81" spans="1:3" x14ac:dyDescent="0.35">
      <c r="A81" s="12" t="s">
        <v>134</v>
      </c>
      <c r="B81" s="55">
        <f>180+2*DEGREES(ASIN((B72-B71)/(2*B79)))</f>
        <v>205.93006648777819</v>
      </c>
      <c r="C81" t="s">
        <v>135</v>
      </c>
    </row>
    <row r="82" spans="1:3" x14ac:dyDescent="0.35">
      <c r="A82" s="12" t="s">
        <v>136</v>
      </c>
      <c r="B82" s="55">
        <f>B12/LOOKUP(B71,H43:H60,L43:L60)</f>
        <v>2.689189189189189</v>
      </c>
    </row>
    <row r="83" spans="1:3" x14ac:dyDescent="0.35">
      <c r="A83" s="12" t="s">
        <v>137</v>
      </c>
      <c r="B83" s="59">
        <v>0.97</v>
      </c>
    </row>
    <row r="84" spans="1:3" x14ac:dyDescent="0.35">
      <c r="A84" s="12" t="s">
        <v>138</v>
      </c>
      <c r="B84" s="59">
        <v>1.02</v>
      </c>
    </row>
    <row r="85" spans="1:3" x14ac:dyDescent="0.35">
      <c r="A85" s="12" t="s">
        <v>139</v>
      </c>
      <c r="B85" s="59">
        <v>26.5</v>
      </c>
    </row>
    <row r="86" spans="1:3" x14ac:dyDescent="0.35">
      <c r="A86" s="12" t="s">
        <v>140</v>
      </c>
      <c r="B86" s="59">
        <v>1.1499999999999999</v>
      </c>
    </row>
    <row r="87" spans="1:3" x14ac:dyDescent="0.35">
      <c r="A87" s="12" t="s">
        <v>141</v>
      </c>
      <c r="B87">
        <f>(B85+B86)*B83*B84</f>
        <v>27.356909999999999</v>
      </c>
    </row>
    <row r="88" spans="1:3" x14ac:dyDescent="0.35">
      <c r="A88" s="12" t="s">
        <v>142</v>
      </c>
      <c r="B88" s="75">
        <f>ROUNDUP((B13/B87),0)</f>
        <v>2</v>
      </c>
    </row>
    <row r="89" spans="1:3" x14ac:dyDescent="0.35">
      <c r="A89" s="131" t="s">
        <v>143</v>
      </c>
      <c r="B89" s="131"/>
    </row>
    <row r="90" spans="1:3" x14ac:dyDescent="0.35">
      <c r="A90" s="12" t="s">
        <v>144</v>
      </c>
      <c r="B90" s="10">
        <f>B77</f>
        <v>200</v>
      </c>
    </row>
    <row r="91" spans="1:3" x14ac:dyDescent="0.35">
      <c r="A91" s="12" t="s">
        <v>126</v>
      </c>
      <c r="B91" s="56">
        <f>B79</f>
        <v>55.714932693548526</v>
      </c>
    </row>
    <row r="92" spans="1:3" x14ac:dyDescent="0.35">
      <c r="A92" s="12" t="s">
        <v>122</v>
      </c>
      <c r="B92" s="10">
        <f>B71</f>
        <v>14.8</v>
      </c>
    </row>
    <row r="93" spans="1:3" x14ac:dyDescent="0.35">
      <c r="A93" s="12" t="s">
        <v>123</v>
      </c>
      <c r="B93" s="10">
        <f>B72</f>
        <v>39.799999999999997</v>
      </c>
    </row>
    <row r="94" spans="1:3" x14ac:dyDescent="0.35">
      <c r="A94" s="12" t="s">
        <v>124</v>
      </c>
      <c r="B94" s="56">
        <f>B73</f>
        <v>36.24770004351759</v>
      </c>
    </row>
    <row r="95" spans="1:3" x14ac:dyDescent="0.35">
      <c r="A95" s="139" t="s">
        <v>148</v>
      </c>
      <c r="B95" s="139"/>
      <c r="C95" s="140" t="s">
        <v>149</v>
      </c>
    </row>
    <row r="96" spans="1:3" x14ac:dyDescent="0.35">
      <c r="A96" s="139"/>
      <c r="B96" s="139"/>
      <c r="C96" s="140"/>
    </row>
    <row r="97" spans="1:3" x14ac:dyDescent="0.35">
      <c r="A97" s="12" t="s">
        <v>122</v>
      </c>
      <c r="B97" s="77">
        <v>5.25</v>
      </c>
      <c r="C97" s="140"/>
    </row>
    <row r="98" spans="1:3" x14ac:dyDescent="0.35">
      <c r="A98" s="12" t="s">
        <v>123</v>
      </c>
      <c r="B98" s="77">
        <v>13.95</v>
      </c>
      <c r="C98" s="140"/>
    </row>
    <row r="99" spans="1:3" x14ac:dyDescent="0.35">
      <c r="A99" s="12" t="s">
        <v>124</v>
      </c>
      <c r="B99" s="78"/>
      <c r="C99" s="140"/>
    </row>
    <row r="100" spans="1:3" x14ac:dyDescent="0.35">
      <c r="A100" s="131" t="s">
        <v>125</v>
      </c>
      <c r="B100" s="131"/>
      <c r="C100" s="137" t="s">
        <v>150</v>
      </c>
    </row>
    <row r="101" spans="1:3" x14ac:dyDescent="0.35">
      <c r="A101" s="12" t="s">
        <v>126</v>
      </c>
      <c r="B101" s="59">
        <v>24</v>
      </c>
      <c r="C101" s="137"/>
    </row>
    <row r="102" spans="1:3" x14ac:dyDescent="0.35">
      <c r="A102" s="12" t="s">
        <v>151</v>
      </c>
      <c r="B102" s="56">
        <f>(2*$B$101)+((Pi/2)*($B$98+$B$97))+((($B$98-$B$97)*($B$98-$B$97))/(4*$B$101))</f>
        <v>78.947797499999993</v>
      </c>
      <c r="C102" s="137"/>
    </row>
    <row r="103" spans="1:3" x14ac:dyDescent="0.35">
      <c r="A103" s="12" t="s">
        <v>152</v>
      </c>
      <c r="B103" s="79">
        <f>LOOKUP(B102,O25:O55)</f>
        <v>75</v>
      </c>
    </row>
    <row r="104" spans="1:3" x14ac:dyDescent="0.35">
      <c r="A104" s="12" t="s">
        <v>153</v>
      </c>
      <c r="B104" s="79">
        <f>LOOKUP(B102,P25:P59)</f>
        <v>75</v>
      </c>
    </row>
    <row r="105" spans="1:3" x14ac:dyDescent="0.35">
      <c r="A105" s="12" t="s">
        <v>154</v>
      </c>
      <c r="B105" s="79" t="e">
        <f>LOOKUP(B102,Q25:Q53)</f>
        <v>#N/A</v>
      </c>
    </row>
    <row r="106" spans="1:3" x14ac:dyDescent="0.35">
      <c r="A106" s="12" t="s">
        <v>131</v>
      </c>
      <c r="B106" s="56">
        <f>(4*B103)-(2*Pi)*(B98+B97)</f>
        <v>179.36256</v>
      </c>
    </row>
    <row r="107" spans="1:3" x14ac:dyDescent="0.35">
      <c r="A107" s="12" t="s">
        <v>126</v>
      </c>
      <c r="B107" s="56">
        <f>(B106+SQRT((B106^2)-(32*(B98-B97)^2)))/(16)</f>
        <v>21.990068961841935</v>
      </c>
    </row>
    <row r="108" spans="1:3" x14ac:dyDescent="0.35">
      <c r="A108" s="12" t="s">
        <v>132</v>
      </c>
      <c r="B108" s="56">
        <f>180-2*DEGREES(ASIN((B98-B97)/(2*B107)))</f>
        <v>157.18138618578857</v>
      </c>
    </row>
    <row r="109" spans="1:3" x14ac:dyDescent="0.35">
      <c r="A109" s="12" t="s">
        <v>134</v>
      </c>
      <c r="B109" s="56">
        <f>180+2*DEGREES(ASIN((B98-B97)/(2*B107)))</f>
        <v>202.81861381421143</v>
      </c>
    </row>
    <row r="110" spans="1:3" x14ac:dyDescent="0.35">
      <c r="A110" s="12" t="s">
        <v>137</v>
      </c>
      <c r="B110" s="59">
        <v>0.97</v>
      </c>
    </row>
    <row r="111" spans="1:3" x14ac:dyDescent="0.35">
      <c r="A111" s="12" t="s">
        <v>138</v>
      </c>
      <c r="B111" s="59">
        <v>1.02</v>
      </c>
    </row>
    <row r="112" spans="1:3" x14ac:dyDescent="0.35">
      <c r="A112" s="12" t="s">
        <v>139</v>
      </c>
      <c r="B112" s="59">
        <v>26.5</v>
      </c>
    </row>
    <row r="113" spans="1:2" x14ac:dyDescent="0.35">
      <c r="A113" s="12" t="s">
        <v>140</v>
      </c>
      <c r="B113" s="59">
        <v>1.1499999999999999</v>
      </c>
    </row>
    <row r="114" spans="1:2" x14ac:dyDescent="0.35">
      <c r="A114" s="12" t="s">
        <v>141</v>
      </c>
      <c r="B114" s="10">
        <f>(B112+B113)*B110*B111</f>
        <v>27.356909999999999</v>
      </c>
    </row>
    <row r="115" spans="1:2" x14ac:dyDescent="0.35">
      <c r="A115" s="12" t="s">
        <v>142</v>
      </c>
      <c r="B115" s="11">
        <f>ROUNDUP((B13/B114),0)</f>
        <v>2</v>
      </c>
    </row>
    <row r="116" spans="1:2" x14ac:dyDescent="0.35">
      <c r="A116" s="131" t="s">
        <v>143</v>
      </c>
      <c r="B116" s="131"/>
    </row>
    <row r="117" spans="1:2" x14ac:dyDescent="0.35">
      <c r="A117" s="12" t="s">
        <v>144</v>
      </c>
      <c r="B117" s="75">
        <f>B103</f>
        <v>75</v>
      </c>
    </row>
    <row r="118" spans="1:2" x14ac:dyDescent="0.35">
      <c r="A118" s="12" t="s">
        <v>126</v>
      </c>
      <c r="B118" s="56">
        <f>B107</f>
        <v>21.990068961841935</v>
      </c>
    </row>
    <row r="119" spans="1:2" x14ac:dyDescent="0.35">
      <c r="A119" s="12" t="s">
        <v>122</v>
      </c>
      <c r="B119" s="10">
        <f>B97</f>
        <v>5.25</v>
      </c>
    </row>
    <row r="120" spans="1:2" x14ac:dyDescent="0.35">
      <c r="A120" s="12" t="s">
        <v>123</v>
      </c>
      <c r="B120" s="10">
        <f>B98</f>
        <v>13.95</v>
      </c>
    </row>
    <row r="121" spans="1:2" x14ac:dyDescent="0.35">
      <c r="A121" s="12" t="s">
        <v>124</v>
      </c>
      <c r="B121" s="56">
        <f>B99</f>
        <v>0</v>
      </c>
    </row>
  </sheetData>
  <mergeCells count="40">
    <mergeCell ref="A100:B100"/>
    <mergeCell ref="C100:C102"/>
    <mergeCell ref="A116:B116"/>
    <mergeCell ref="A63:B63"/>
    <mergeCell ref="A69:B70"/>
    <mergeCell ref="A74:B74"/>
    <mergeCell ref="A89:B89"/>
    <mergeCell ref="A95:B96"/>
    <mergeCell ref="C95:C99"/>
    <mergeCell ref="A43:B44"/>
    <mergeCell ref="D43:D60"/>
    <mergeCell ref="E43:E53"/>
    <mergeCell ref="F43:F55"/>
    <mergeCell ref="G43:G55"/>
    <mergeCell ref="A48:B48"/>
    <mergeCell ref="Q15:Q17"/>
    <mergeCell ref="A17:B18"/>
    <mergeCell ref="A22:B22"/>
    <mergeCell ref="O23:Q23"/>
    <mergeCell ref="D24:D42"/>
    <mergeCell ref="E24:E37"/>
    <mergeCell ref="F24:F38"/>
    <mergeCell ref="G24:G38"/>
    <mergeCell ref="A37:B37"/>
    <mergeCell ref="U1:U2"/>
    <mergeCell ref="D3:D23"/>
    <mergeCell ref="E3:E18"/>
    <mergeCell ref="F3:F19"/>
    <mergeCell ref="G3:G19"/>
    <mergeCell ref="N6:N8"/>
    <mergeCell ref="O6:O8"/>
    <mergeCell ref="N9:N11"/>
    <mergeCell ref="O9:O11"/>
    <mergeCell ref="P9:P17"/>
    <mergeCell ref="Q9:Q11"/>
    <mergeCell ref="N12:N14"/>
    <mergeCell ref="O12:O14"/>
    <mergeCell ref="Q12:Q14"/>
    <mergeCell ref="N15:N17"/>
    <mergeCell ref="O15:O1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2</vt:i4>
      </vt:variant>
    </vt:vector>
  </HeadingPairs>
  <TitlesOfParts>
    <vt:vector size="5" baseType="lpstr">
      <vt:lpstr>DMin</vt:lpstr>
      <vt:lpstr>Se </vt:lpstr>
      <vt:lpstr>bandas en V</vt:lpstr>
      <vt:lpstr>Pi</vt:lpstr>
      <vt:lpstr>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Diego T</cp:lastModifiedBy>
  <dcterms:created xsi:type="dcterms:W3CDTF">2021-04-19T20:45:16Z</dcterms:created>
  <dcterms:modified xsi:type="dcterms:W3CDTF">2021-05-19T17:20:38Z</dcterms:modified>
</cp:coreProperties>
</file>