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 ICS21" sheetId="1" r:id="rId4"/>
    <sheet state="visible" name="XSbench" sheetId="2" r:id="rId5"/>
    <sheet state="visible" name="Lulesh" sheetId="3" r:id="rId6"/>
    <sheet state="visible" name="top500 nov20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<sst xmlns="http://schemas.openxmlformats.org/spreadsheetml/2006/main" count="1870" uniqueCount="267">
  <si>
    <t>This sheet contains traffic and results for STREAM, Jacobi, Laplace, XSBench and Vecmul</t>
  </si>
  <si>
    <t>Stream</t>
  </si>
  <si>
    <t>mapmc</t>
  </si>
  <si>
    <t>literature</t>
  </si>
  <si>
    <t xml:space="preserve">sequential </t>
  </si>
  <si>
    <t>gcc</t>
  </si>
  <si>
    <t>No pref</t>
  </si>
  <si>
    <t>Read</t>
  </si>
  <si>
    <t>Write</t>
  </si>
  <si>
    <t>Pref</t>
  </si>
  <si>
    <t>Intel</t>
  </si>
  <si>
    <t>broad</t>
  </si>
  <si>
    <t>no pref</t>
  </si>
  <si>
    <t>stride:</t>
  </si>
  <si>
    <t>pref</t>
  </si>
  <si>
    <t>sk</t>
  </si>
  <si>
    <t>MapInt</t>
  </si>
  <si>
    <t>double</t>
  </si>
  <si>
    <t>ck</t>
  </si>
  <si>
    <t xml:space="preserve">Read </t>
  </si>
  <si>
    <t xml:space="preserve">write </t>
  </si>
  <si>
    <t>Total</t>
  </si>
  <si>
    <t>cp</t>
  </si>
  <si>
    <t>Mapint</t>
  </si>
  <si>
    <t>Jacobi</t>
  </si>
  <si>
    <t>Laplace2D</t>
  </si>
  <si>
    <t>Vecmul</t>
  </si>
  <si>
    <t>stride 50</t>
  </si>
  <si>
    <t>10% drop for sk, ck, cp</t>
  </si>
  <si>
    <t>Mapint-no pref</t>
  </si>
  <si>
    <t>Mapint-pref BW</t>
  </si>
  <si>
    <t>Mapint-pref SK,CS,CL</t>
  </si>
  <si>
    <t>stride 200</t>
  </si>
  <si>
    <t>Small data size</t>
  </si>
  <si>
    <t>grid:</t>
  </si>
  <si>
    <t>Big data size</t>
  </si>
  <si>
    <t>XSbench</t>
  </si>
  <si>
    <t>sk1</t>
  </si>
  <si>
    <t>A</t>
  </si>
  <si>
    <t>CL</t>
  </si>
  <si>
    <t>LLC</t>
  </si>
  <si>
    <t>LLC/CL</t>
  </si>
  <si>
    <t>cache</t>
  </si>
  <si>
    <t>bw</t>
  </si>
  <si>
    <t>sl</t>
  </si>
  <si>
    <t>cl</t>
  </si>
  <si>
    <t>Experiments done in cooper lake</t>
  </si>
  <si>
    <t>Different data sizes</t>
  </si>
  <si>
    <t>No prefetch</t>
  </si>
  <si>
    <t>Prefetch enabled</t>
  </si>
  <si>
    <t>MAPredict data</t>
  </si>
  <si>
    <t>Accuracy</t>
  </si>
  <si>
    <t>App name</t>
  </si>
  <si>
    <t>write</t>
  </si>
  <si>
    <t>no Prefetch</t>
  </si>
  <si>
    <t>Prefetch</t>
  </si>
  <si>
    <t>Vecmul_50_50</t>
  </si>
  <si>
    <t>Triad_50</t>
  </si>
  <si>
    <t>Vecmul_50_100</t>
  </si>
  <si>
    <t>Triad_100</t>
  </si>
  <si>
    <t>Vecmul_50_200</t>
  </si>
  <si>
    <t>Triad_150</t>
  </si>
  <si>
    <t>Vecmul_200_50</t>
  </si>
  <si>
    <t>jacobi_4096</t>
  </si>
  <si>
    <t>Vecmul_200_100</t>
  </si>
  <si>
    <t>jacobi_8192</t>
  </si>
  <si>
    <t>Vecmul_200_200</t>
  </si>
  <si>
    <t>jacobi_16384</t>
  </si>
  <si>
    <t>laplace_4096</t>
  </si>
  <si>
    <t>laplace_8000</t>
  </si>
  <si>
    <t>laplace_10000</t>
  </si>
  <si>
    <t>xsbench_small</t>
  </si>
  <si>
    <t>xsbench_big</t>
  </si>
  <si>
    <t>Vecmul_R7_50</t>
  </si>
  <si>
    <t>Vecmul_R7_100</t>
  </si>
  <si>
    <t>Vecmul_R7_200</t>
  </si>
  <si>
    <t>Vecmul_R8_50</t>
  </si>
  <si>
    <t>lulesh_250</t>
  </si>
  <si>
    <t>Vecmul_R8_100</t>
  </si>
  <si>
    <t>lulesh_300</t>
  </si>
  <si>
    <t>Vecmul_R8_200</t>
  </si>
  <si>
    <t>lulesh_400</t>
  </si>
  <si>
    <t>laplace_2048</t>
  </si>
  <si>
    <t>-----------------------------------------------------------------------------------openmp-------------------------------------------------------------------------------------------------------</t>
  </si>
  <si>
    <t>Openmp</t>
  </si>
  <si>
    <t>not done</t>
  </si>
  <si>
    <t>export OMP_PLACES='{2},{3},{4},{5},{6},{7},{8},{9}'</t>
  </si>
  <si>
    <t>non init</t>
  </si>
  <si>
    <t>Ja</t>
  </si>
  <si>
    <t>Matrix multiplication</t>
  </si>
  <si>
    <t>-----------------------------------------------------------------------------------Intel-------------------------------------------------------------------------------------------------------</t>
  </si>
  <si>
    <t>ICC</t>
  </si>
  <si>
    <t>stride</t>
  </si>
  <si>
    <t>-------------OMP comparison</t>
  </si>
  <si>
    <t>DAta</t>
  </si>
  <si>
    <t>Laplace</t>
  </si>
  <si>
    <t>XSBench</t>
  </si>
  <si>
    <t>Vecmul-50</t>
  </si>
  <si>
    <t>Vecmul-200</t>
  </si>
  <si>
    <t>Lulesh</t>
  </si>
  <si>
    <t>BW</t>
  </si>
  <si>
    <t>gcc-pref</t>
  </si>
  <si>
    <t>omp</t>
  </si>
  <si>
    <t>omp-pref</t>
  </si>
  <si>
    <t>-------------compiler comparison</t>
  </si>
  <si>
    <t>intel</t>
  </si>
  <si>
    <t>intel-pref</t>
  </si>
  <si>
    <t>-------------Same microarchitecture but different cache sizes</t>
  </si>
  <si>
    <t>Triad</t>
  </si>
  <si>
    <t>Triad_pref</t>
  </si>
  <si>
    <t>Jacobi_pref</t>
  </si>
  <si>
    <t>Laplace_pref</t>
  </si>
  <si>
    <t>XSBench_pref</t>
  </si>
  <si>
    <t>Vecmul-50_pref</t>
  </si>
  <si>
    <t>Vecmul-200_pref</t>
  </si>
  <si>
    <t>Lulesh_pref</t>
  </si>
  <si>
    <t>quad00</t>
  </si>
  <si>
    <t>pegasus</t>
  </si>
  <si>
    <t>-------------Numa OMP comparison</t>
  </si>
  <si>
    <t>This is non numa</t>
  </si>
  <si>
    <t>This is numa</t>
  </si>
  <si>
    <t>quad00-pref</t>
  </si>
  <si>
    <t>pegasus-pref</t>
  </si>
  <si>
    <t>Small data set</t>
  </si>
  <si>
    <t>SK</t>
  </si>
  <si>
    <t>CS</t>
  </si>
  <si>
    <t>CP</t>
  </si>
  <si>
    <t>SK1</t>
  </si>
  <si>
    <t>Readings</t>
  </si>
  <si>
    <t>Read no prefetch</t>
  </si>
  <si>
    <t>Read prefetch</t>
  </si>
  <si>
    <t>Sk</t>
  </si>
  <si>
    <t>Big data set</t>
  </si>
  <si>
    <t>Correction Ratio</t>
  </si>
  <si>
    <t>Big</t>
  </si>
  <si>
    <t>Corrected</t>
  </si>
  <si>
    <t>Correction ratio</t>
  </si>
  <si>
    <t>Crrected</t>
  </si>
  <si>
    <t>The functions of lagrange</t>
  </si>
  <si>
    <t>dependency</t>
  </si>
  <si>
    <t>script created</t>
  </si>
  <si>
    <t>CalcForceForNodes(domain);</t>
  </si>
  <si>
    <t>lots</t>
  </si>
  <si>
    <t>Detail is below</t>
  </si>
  <si>
    <t>CalcAccelerationForNodes(domain, domain.numNode());</t>
  </si>
  <si>
    <t>stream</t>
  </si>
  <si>
    <t>uninitialized data structures</t>
  </si>
  <si>
    <t>2_seq_....</t>
  </si>
  <si>
    <t>ApplyAccelerationBoundaryConditionsForNodes(domain);</t>
  </si>
  <si>
    <t>mostly stream</t>
  </si>
  <si>
    <t>Initialized</t>
  </si>
  <si>
    <t>3_seq_....</t>
  </si>
  <si>
    <t>CalcVelocityForNodes( domain, delt, u_cut, domain.numNode()) ;</t>
  </si>
  <si>
    <t>4_seq_....</t>
  </si>
  <si>
    <t>CalcPositionForNodes( domain, delt, domain.numNode() );</t>
  </si>
  <si>
    <t>Initialized data structures.</t>
  </si>
  <si>
    <t>5_seq_....</t>
  </si>
  <si>
    <t>From experiments</t>
  </si>
  <si>
    <t>deduced size Size</t>
  </si>
  <si>
    <t>Manual calculations</t>
  </si>
  <si>
    <t>input</t>
  </si>
  <si>
    <t>Data sizes</t>
  </si>
  <si>
    <t>Cacheline</t>
  </si>
  <si>
    <t>total read and write</t>
  </si>
  <si>
    <t>Own initialization</t>
  </si>
  <si>
    <t>stride: 1 10382521 9945692</t>
  </si>
  <si>
    <t>CalcVolumeForceForElems</t>
  </si>
  <si>
    <t>three dependency given below</t>
  </si>
  <si>
    <t>-----&gt;&gt;&gt;</t>
  </si>
  <si>
    <t>InitStressTermsForElems</t>
  </si>
  <si>
    <t>no dep</t>
  </si>
  <si>
    <t>IntegrateStressForElems</t>
  </si>
  <si>
    <t>some deps</t>
  </si>
  <si>
    <t>CalcHourglassControlForElems</t>
  </si>
  <si>
    <t>CalcFBHourglassForceForElems</t>
  </si>
  <si>
    <t>Randomness</t>
  </si>
  <si>
    <t>Type</t>
  </si>
  <si>
    <t>algorithmic randomness</t>
  </si>
  <si>
    <t>depends on algorithm such as BFS or any search</t>
  </si>
  <si>
    <t>Cache thrashing</t>
  </si>
  <si>
    <t>access is normal but cache excludes some previous access. depends on cache size</t>
  </si>
  <si>
    <t>Data structure access randomness</t>
  </si>
  <si>
    <t>One array is access based on the value of other array's value. in lulesh. not entirely depnds on cache. but depends both on cache and value of the array</t>
  </si>
  <si>
    <t>Result of 4 functions</t>
  </si>
  <si>
    <t>Mapmc</t>
  </si>
  <si>
    <t>OpenMP</t>
  </si>
  <si>
    <t>icc</t>
  </si>
  <si>
    <t>numa 8 threads</t>
  </si>
  <si>
    <t>numa 16 threads</t>
  </si>
  <si>
    <t>stride = ['1'</t>
  </si>
  <si>
    <t>2'</t>
  </si>
  <si>
    <t>4'</t>
  </si>
  <si>
    <t>8'</t>
  </si>
  <si>
    <t>16'</t>
  </si>
  <si>
    <t>32'</t>
  </si>
  <si>
    <t>64'</t>
  </si>
  <si>
    <t>128'</t>
  </si>
  <si>
    <t>256'</t>
  </si>
  <si>
    <t>512'</t>
  </si>
  <si>
    <t>1024'</t>
  </si>
  <si>
    <t>2048'</t>
  </si>
  <si>
    <t>4096'</t>
  </si>
  <si>
    <t>8192']</t>
  </si>
  <si>
    <t>read=[19083795</t>
  </si>
  <si>
    <t>37848]</t>
  </si>
  <si>
    <t>read1=[18861923</t>
  </si>
  <si>
    <t>37868]</t>
  </si>
  <si>
    <t>readc=[18706394</t>
  </si>
  <si>
    <t>37785]</t>
  </si>
  <si>
    <t>reads=[18765642</t>
  </si>
  <si>
    <t>37756]</t>
  </si>
  <si>
    <t>SL</t>
  </si>
  <si>
    <t>Processor Generation</t>
  </si>
  <si>
    <t>Count</t>
  </si>
  <si>
    <t>System Share (%)</t>
  </si>
  <si>
    <t>Rmax (GFlops)</t>
  </si>
  <si>
    <t>Rpeak (GFlops)</t>
  </si>
  <si>
    <t>Cores</t>
  </si>
  <si>
    <t>Manufacturer</t>
  </si>
  <si>
    <t>Xeon Gold</t>
  </si>
  <si>
    <t>Intel Xeon E5 (Broadwell)</t>
  </si>
  <si>
    <t>Xeon Gold 62xx (Cascade Lake)</t>
  </si>
  <si>
    <t>Xeon Platinum</t>
  </si>
  <si>
    <t>Intel Xeon E5 (Haswell)</t>
  </si>
  <si>
    <t>Xeon Platinum 82xx (Cascade Lake)</t>
  </si>
  <si>
    <t>AMD Rome</t>
  </si>
  <si>
    <t>AMD</t>
  </si>
  <si>
    <t>Intel Xeon Phi</t>
  </si>
  <si>
    <t>IBM POWER9</t>
  </si>
  <si>
    <t>IBM</t>
  </si>
  <si>
    <t>Intel Xeon E5 (IvyBridge)</t>
  </si>
  <si>
    <t>Xeon Silver</t>
  </si>
  <si>
    <t>Xeon Platinum 92xx (Cascade Lake)</t>
  </si>
  <si>
    <t>Intel Xeon E5 (SandyBridge)</t>
  </si>
  <si>
    <t>Fujitsu A64FX</t>
  </si>
  <si>
    <t>ARM</t>
  </si>
  <si>
    <t>Vector Engine</t>
  </si>
  <si>
    <t>Others</t>
  </si>
  <si>
    <t>Intel Xeon E7 (Haswell-Ex)</t>
  </si>
  <si>
    <t>AMD Naples</t>
  </si>
  <si>
    <t>Marvell ThunderX2</t>
  </si>
  <si>
    <t>SPARC64 XIfx</t>
  </si>
  <si>
    <t>POWER7</t>
  </si>
  <si>
    <t>Power BQC</t>
  </si>
  <si>
    <t>Hygon Dhyana</t>
  </si>
  <si>
    <t>Xeon 5600-series (Westmere-EP)</t>
  </si>
  <si>
    <t>Sunway</t>
  </si>
  <si>
    <t>SUM of System Share (%)</t>
  </si>
  <si>
    <t>SUM of Count</t>
  </si>
  <si>
    <t>Grand Total</t>
  </si>
  <si>
    <t>Sl</t>
  </si>
  <si>
    <t>Accelerator/CP Family</t>
  </si>
  <si>
    <t>NVIDIA Volta</t>
  </si>
  <si>
    <t>NVIDIA</t>
  </si>
  <si>
    <t>NVIDIA Pascal</t>
  </si>
  <si>
    <t>NVIDIA Kepler</t>
  </si>
  <si>
    <t>NVIDIA Ampere</t>
  </si>
  <si>
    <t>Matrix-2000</t>
  </si>
  <si>
    <t>China</t>
  </si>
  <si>
    <t>MN-Core</t>
  </si>
  <si>
    <t>TSMC</t>
  </si>
  <si>
    <t>AMD Vega</t>
  </si>
  <si>
    <t>NVIDIA Fermi</t>
  </si>
  <si>
    <t>Hybrid</t>
  </si>
  <si>
    <t>others</t>
  </si>
  <si>
    <t xml:space="preserve">Total </t>
  </si>
  <si>
    <t>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</si>
</sst>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8.0"/>
      <color rgb="FF980000"/>
      <name val="Arial"/>
    </font>
    <font>
      <color theme="1"/>
      <name val="Arial"/>
    </font>
    <font>
      <b/>
      <color rgb="FFFF0000"/>
      <name val="Arial"/>
    </font>
    <font>
      <sz val="11.0"/>
      <color rgb="FF1155CC"/>
      <name val="Inconsolata"/>
    </font>
    <font>
      <b/>
      <sz val="12.0"/>
      <color rgb="FF222222"/>
      <name val="Roboto"/>
    </font>
    <font/>
    <font>
      <b/>
      <color theme="1"/>
      <name val="Arial"/>
    </font>
    <font>
      <b/>
      <color rgb="FF000000"/>
      <name val="Arial"/>
    </font>
    <font>
      <color rgb="FF666666"/>
      <name val="Arial"/>
    </font>
    <font>
      <b/>
      <color rgb="FF3D3C3F"/>
      <name val="Arial"/>
    </font>
    <font>
      <color rgb="FF3D3C3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4" numFmtId="0" xfId="0" applyFill="1" applyFont="1"/>
    <xf borderId="0" fillId="0" fontId="2" numFmtId="0" xfId="0" applyAlignment="1" applyFont="1">
      <alignment horizontal="right" vertical="bottom"/>
    </xf>
    <xf borderId="0" fillId="0" fontId="2" numFmtId="3" xfId="0" applyFont="1" applyNumberFormat="1"/>
    <xf borderId="0" fillId="0" fontId="2" numFmtId="3" xfId="0" applyAlignment="1" applyFont="1" applyNumberFormat="1">
      <alignment readingOrder="0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horizontal="center" readingOrder="0"/>
    </xf>
    <xf borderId="2" fillId="0" fontId="6" numFmtId="0" xfId="0" applyBorder="1" applyFont="1"/>
    <xf borderId="3" fillId="0" fontId="6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8" numFmtId="0" xfId="0" applyFont="1"/>
    <xf quotePrefix="1" borderId="0" fillId="0" fontId="2" numFmtId="0" xfId="0" applyAlignment="1" applyFont="1">
      <alignment readingOrder="0"/>
    </xf>
    <xf borderId="4" fillId="0" fontId="7" numFmtId="0" xfId="0" applyAlignment="1" applyBorder="1" applyFont="1">
      <alignment readingOrder="0" shrinkToFit="0" vertical="bottom" wrapText="0"/>
    </xf>
    <xf borderId="4" fillId="0" fontId="9" numFmtId="0" xfId="0" applyAlignment="1" applyBorder="1" applyFont="1">
      <alignment horizontal="right" readingOrder="0" vertical="bottom"/>
    </xf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right" readingOrder="0" shrinkToFit="0" vertical="bottom" wrapText="0"/>
    </xf>
    <xf borderId="4" fillId="0" fontId="2" numFmtId="3" xfId="0" applyAlignment="1" applyBorder="1" applyFont="1" applyNumberFormat="1">
      <alignment horizontal="right" readingOrder="0" shrinkToFit="0" vertical="bottom" wrapText="0"/>
    </xf>
    <xf borderId="4" fillId="0" fontId="10" numFmtId="0" xfId="0" applyAlignment="1" applyBorder="1" applyFont="1">
      <alignment readingOrder="0" shrinkToFit="0" vertical="bottom" wrapText="0"/>
    </xf>
    <xf borderId="4" fillId="0" fontId="11" numFmtId="0" xfId="0" applyAlignment="1" applyBorder="1" applyFont="1">
      <alignment horizontal="left" readingOrder="0" vertical="bottom"/>
    </xf>
    <xf borderId="4" fillId="0" fontId="11" numFmtId="0" xfId="0" applyAlignment="1" applyBorder="1" applyFont="1">
      <alignment horizontal="right" readingOrder="0" shrinkToFit="0" vertical="bottom" wrapText="0"/>
    </xf>
    <xf borderId="4" fillId="0" fontId="11" numFmtId="3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6:I30" sheet="top500 nov20"/>
  </cacheSource>
  <cacheFields>
    <cacheField name="SL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</sharedItems>
    </cacheField>
    <cacheField name="Processor Generation" numFmtId="0">
      <sharedItems>
        <s v="Xeon Gold"/>
        <s v="Intel Xeon E5 (Broadwell)"/>
        <s v="Xeon Gold 62xx (Cascade Lake)"/>
        <s v="Xeon Platinum"/>
        <s v="Intel Xeon E5 (Haswell)"/>
        <s v="Xeon Platinum 82xx (Cascade Lake)"/>
        <s v="AMD Rome"/>
        <s v="Intel Xeon Phi"/>
        <s v="IBM POWER9"/>
        <s v="Intel Xeon E5 (IvyBridge)"/>
        <s v="Xeon Silver"/>
        <s v="Xeon Platinum 92xx (Cascade Lake)"/>
        <s v="Intel Xeon E5 (SandyBridge)"/>
        <s v="Fujitsu A64FX"/>
        <s v="Vector Engine"/>
        <s v="Intel Xeon E7 (Haswell-Ex)"/>
        <s v="AMD Naples"/>
        <s v="Marvell ThunderX2"/>
        <s v="SPARC64 XIfx"/>
        <s v="POWER7"/>
        <s v="Power BQC"/>
        <s v="Hygon Dhyana"/>
        <s v="Xeon 5600-series (Westmere-EP)"/>
        <s v="Sunway"/>
      </sharedItems>
    </cacheField>
    <cacheField name="Count" numFmtId="0">
      <sharedItems containsSemiMixedTypes="0" containsString="0" containsNumber="1" containsInteger="1">
        <n v="163.0"/>
        <n v="140.0"/>
        <n v="49.0"/>
        <n v="31.0"/>
        <n v="24.0"/>
        <n v="19.0"/>
        <n v="9.0"/>
        <n v="8.0"/>
        <n v="5.0"/>
        <n v="4.0"/>
        <n v="2.0"/>
        <n v="1.0"/>
      </sharedItems>
    </cacheField>
    <cacheField name="System Share (%)" numFmtId="0">
      <sharedItems containsSemiMixedTypes="0" containsString="0" containsNumber="1">
        <n v="32.6"/>
        <n v="28.0"/>
        <n v="9.8"/>
        <n v="6.2"/>
        <n v="4.8"/>
        <n v="3.8"/>
        <n v="1.8"/>
        <n v="1.6"/>
        <n v="1.0"/>
        <n v="0.8"/>
        <n v="0.4"/>
        <n v="0.2"/>
      </sharedItems>
    </cacheField>
    <cacheField name="Rmax (GFlops)" numFmtId="3">
      <sharedItems containsSemiMixedTypes="0" containsString="0" containsNumber="1" containsInteger="1">
        <n v="3.73439988E8"/>
        <n v="2.68664224E8"/>
        <n v="1.8162946E8"/>
        <n v="1.25905488E8"/>
        <n v="8.118616E7"/>
        <n v="8.395702E7"/>
        <n v="1.9262174E8"/>
        <n v="9.611161E7"/>
        <n v="3.13031E8"/>
        <n v="8.4595496E7"/>
        <n v="1.07849E7"/>
        <n v="1.769436E7"/>
        <n v="6718600.0"/>
        <n v="4.672193E8"/>
        <n v="1.04883E7"/>
        <n v="3393510.0"/>
        <n v="3407000.0"/>
        <n v="1833000.0"/>
        <n v="3157000.0"/>
        <n v="1587000.0"/>
        <n v="1431102.0"/>
        <n v="4325000.0"/>
        <n v="2566000.0"/>
        <n v="9.3014594E7"/>
      </sharedItems>
    </cacheField>
    <cacheField name="Rpeak (GFlops)" numFmtId="3">
      <sharedItems containsSemiMixedTypes="0" containsString="0" containsNumber="1" containsInteger="1">
        <n v="8.12886069E8"/>
        <n v="3.76073808E8"/>
        <n v="3.23872144E8"/>
        <n v="1.96183217E8"/>
        <n v="1.11489845E8"/>
        <n v="1.38730409E8"/>
        <n v="2.6750625E8"/>
        <n v="1.83141296E8"/>
        <n v="4.19573103E8"/>
        <n v="1.3516081E8"/>
        <n v="2.922992E7"/>
        <n v="2.5487156E7"/>
        <n v="1.0138928E7"/>
        <n v="5.66821173E8"/>
        <n v="1.487064E7"/>
        <n v="8.417024E7"/>
        <n v="5041152.0"/>
        <n v="2298240.0"/>
        <n v="3481056.0"/>
        <n v="1931625.0"/>
        <n v="1677722.0"/>
        <n v="6134170.0"/>
        <n v="4701000.0"/>
        <n v="1.25435904E8"/>
      </sharedItems>
    </cacheField>
    <cacheField name="Cores" numFmtId="3">
      <sharedItems containsSemiMixedTypes="0" containsString="0" containsNumber="1" containsInteger="1">
        <n v="1.0036584E7"/>
        <n v="9472624.0"/>
        <n v="3886588.0"/>
        <n v="2406096.0"/>
        <n v="2568522.0"/>
        <n v="1748976.0"/>
        <n v="3754688.0"/>
        <n v="4139324.0"/>
        <n v="5104640.0"/>
        <n v="5959252.0"/>
        <n v="464184.0"/>
        <n v="345512.0"/>
        <n v="389400.0"/>
        <n v="8054784.0"/>
        <n v="49408.0"/>
        <n v="2391200.0"/>
        <n v="246720.0"/>
        <n v="143640.0"/>
        <n v="110160.0"/>
        <n v="62944.0"/>
        <n v="131072.0"/>
        <n v="163840.0"/>
        <n v="186368.0"/>
        <n v="1.06496E7"/>
      </sharedItems>
    </cacheField>
    <cacheField name="Manufacturer" numFmtId="0">
      <sharedItems>
        <s v="Intel"/>
        <s v="AMD"/>
        <s v="IBM"/>
        <s v="ARM"/>
        <s v="Others"/>
      </sharedItems>
    </cacheField>
    <cacheField name="system share (%)2" numFmtId="0">
      <sharedItems containsSemiMixedTypes="0" containsString="0" containsNumber="1">
        <n v="32.6"/>
        <n v="28.0"/>
        <n v="9.8"/>
        <n v="6.2"/>
        <n v="4.8"/>
        <n v="3.8"/>
        <n v="1.8"/>
        <n v="1.6"/>
        <n v="1.0"/>
        <n v="0.8"/>
        <n v="0.4"/>
        <n v="0.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46:H56" sheet="top500 nov20"/>
  </cacheSource>
  <cacheFields>
    <cacheField name="Sl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  <cacheField name="Accelerator/CP Family" numFmtId="0">
      <sharedItems>
        <s v="NVIDIA Volta"/>
        <s v="NVIDIA Pascal"/>
        <s v="NVIDIA Kepler"/>
        <s v="NVIDIA Ampere"/>
        <s v="Intel Xeon Phi"/>
        <s v="Matrix-2000"/>
        <s v="MN-Core"/>
        <s v="AMD Vega"/>
        <s v="NVIDIA Fermi"/>
        <s v="Hybrid"/>
      </sharedItems>
    </cacheField>
    <cacheField name="Count" numFmtId="0">
      <sharedItems containsSemiMixedTypes="0" containsString="0" containsNumber="1" containsInteger="1">
        <n v="110.0"/>
        <n v="14.0"/>
        <n v="8.0"/>
        <n v="6.0"/>
        <n v="3.0"/>
        <n v="1.0"/>
      </sharedItems>
    </cacheField>
    <cacheField name="System Share (%)" numFmtId="0">
      <sharedItems containsSemiMixedTypes="0" containsString="0" containsNumber="1">
        <n v="22.0"/>
        <n v="2.8"/>
        <n v="1.6"/>
        <n v="1.2"/>
        <n v="0.6"/>
        <n v="0.2"/>
      </sharedItems>
    </cacheField>
    <cacheField name="Rmax (GFlops)" numFmtId="3">
      <sharedItems containsSemiMixedTypes="0" containsString="0" containsNumber="1" containsInteger="1">
        <n v="6.3583497E8"/>
        <n v="6.480754E7"/>
        <n v="2.226966E7"/>
        <n v="1.2057E8"/>
        <n v="6068250.0"/>
        <n v="6.14445E7"/>
        <n v="1652900.0"/>
        <n v="1661000.0"/>
        <n v="2566000.0"/>
        <n v="3126240.0"/>
      </sharedItems>
    </cacheField>
    <cacheField name="Rpeak (GFlops)" numFmtId="3">
      <sharedItems containsSemiMixedTypes="0" containsString="0" containsNumber="1" containsInteger="1">
        <n v="1.053763692E9"/>
        <n v="1.00487954E8"/>
        <n v="3.8079725E7"/>
        <n v="1.6853419E8"/>
        <n v="8474207.0"/>
        <n v="1.00678664E8"/>
        <n v="3137870.0"/>
        <n v="2472960.0"/>
        <n v="4701000.0"/>
        <n v="5610481.0"/>
      </sharedItems>
    </cacheField>
    <cacheField name="Cores" numFmtId="3">
      <sharedItems containsSemiMixedTypes="0" containsString="0" containsNumber="1" containsInteger="1">
        <n v="1.216804E7"/>
        <n v="1324504.0"/>
        <n v="602878.0"/>
        <n v="1127744.0"/>
        <n v="446232.0"/>
        <n v="4981760.0"/>
        <n v="1664.0"/>
        <n v="100800.0"/>
        <n v="186368.0"/>
        <n v="152692.0"/>
      </sharedItems>
    </cacheField>
    <cacheField name="Manufacturer" numFmtId="0">
      <sharedItems>
        <s v="NVIDIA"/>
        <s v="Intel"/>
        <s v="China"/>
        <s v="TSMC"/>
        <s v="AMD"/>
        <s v="other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op500 nov20" cacheId="0" dataCaption="" compact="0" compactData="0">
  <location ref="B34:D40" firstHeaderRow="0" firstDataRow="2" firstDataCol="0"/>
  <pivotFields>
    <pivotField name="S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ocessor Gene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ystem Shar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max (GFlops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Rpeak (GFlops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o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anufacturer" axis="axisRow" compact="0" outline="0" multipleItemSelectionAllowed="1" showAll="0" sortType="ascending">
      <items>
        <item x="1"/>
        <item x="3"/>
        <item x="2"/>
        <item x="0"/>
        <item x="4"/>
        <item t="default"/>
      </items>
    </pivotField>
    <pivotField name="system share (%)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7"/>
  </rowFields>
  <colFields>
    <field x="-2"/>
  </colFields>
  <dataFields>
    <dataField name="SUM of system share (%)2" fld="8" baseField="0"/>
    <dataField name="SUM of Count" fld="2" baseField="0"/>
  </dataFields>
</pivotTableDefinition>
</file>

<file path=xl/pivotTables/pivotTable2.xml><?xml version="1.0" encoding="utf-8"?>
<pivotTableDefinition xmlns="http://schemas.openxmlformats.org/spreadsheetml/2006/main" name="top500 nov20 2" cacheId="1" dataCaption="" compact="0" compactData="0">
  <location ref="B60:D67" firstHeaderRow="0" firstDataRow="2" firstDataCol="0"/>
  <pivotFields>
    <pivotField name="S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ccelerator/CP Famil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unt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ystem Share (%)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max (GFlops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peak (GFlops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anufacturer" axis="axisRow" compact="0" outline="0" multipleItemSelectionAllowed="1" showAll="0" sortType="ascending">
      <items>
        <item x="4"/>
        <item x="2"/>
        <item x="1"/>
        <item x="0"/>
        <item x="5"/>
        <item x="3"/>
        <item t="default"/>
      </items>
    </pivotField>
  </pivotFields>
  <rowFields>
    <field x="7"/>
  </rowFields>
  <colFields>
    <field x="-2"/>
  </colFields>
  <dataFields>
    <dataField name="SUM of Count" fld="2" baseField="0"/>
    <dataField name="SUM of System Share (%)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43"/>
  </cols>
  <sheetData>
    <row r="2">
      <c r="B2" s="1" t="s">
        <v>0</v>
      </c>
    </row>
    <row r="6">
      <c r="B6" s="2" t="s">
        <v>1</v>
      </c>
      <c r="H6" s="2" t="s">
        <v>2</v>
      </c>
      <c r="I6" s="2" t="s">
        <v>3</v>
      </c>
    </row>
    <row r="7">
      <c r="C7" s="2" t="s">
        <v>4</v>
      </c>
      <c r="D7" s="2" t="s">
        <v>5</v>
      </c>
      <c r="H7" s="3">
        <f t="shared" ref="H7:I7" si="1">(H9+H12+H15+H18)/4</f>
        <v>99.06715535</v>
      </c>
      <c r="I7" s="3">
        <f t="shared" si="1"/>
        <v>75.19814676</v>
      </c>
      <c r="J7" s="2" t="s">
        <v>6</v>
      </c>
    </row>
    <row r="8">
      <c r="E8" s="2" t="s">
        <v>7</v>
      </c>
      <c r="F8" s="2" t="s">
        <v>8</v>
      </c>
      <c r="H8" s="3">
        <f t="shared" ref="H8:I8" si="2">(H10+H13+H16+H19)/4</f>
        <v>99.26415805</v>
      </c>
      <c r="I8" s="3">
        <f t="shared" si="2"/>
        <v>75.35751428</v>
      </c>
      <c r="J8" s="2" t="s">
        <v>9</v>
      </c>
      <c r="K8" s="2" t="s">
        <v>10</v>
      </c>
      <c r="L8" s="3">
        <v>1.875E7</v>
      </c>
    </row>
    <row r="9">
      <c r="A9" s="2" t="s">
        <v>11</v>
      </c>
      <c r="B9" s="2" t="s">
        <v>12</v>
      </c>
      <c r="C9" s="2" t="s">
        <v>13</v>
      </c>
      <c r="D9" s="2">
        <v>1.0</v>
      </c>
      <c r="E9" s="2">
        <v>1.8924509E7</v>
      </c>
      <c r="F9" s="2">
        <v>6414347.0</v>
      </c>
      <c r="G9" s="3">
        <f t="shared" ref="G9:G10" si="3">E9+F9</f>
        <v>25338856</v>
      </c>
      <c r="H9" s="3">
        <f t="shared" ref="H9:H10" si="4">100-ABS($M$18-G9)/G9*100</f>
        <v>98.66270206</v>
      </c>
      <c r="I9" s="3">
        <f t="shared" ref="I9:I10" si="5">100-ABS($M$19-G9)/G9*100</f>
        <v>73.99702654</v>
      </c>
    </row>
    <row r="10">
      <c r="A10" s="2" t="s">
        <v>11</v>
      </c>
      <c r="B10" s="2" t="s">
        <v>14</v>
      </c>
      <c r="C10" s="2" t="s">
        <v>13</v>
      </c>
      <c r="D10" s="2">
        <v>1.0</v>
      </c>
      <c r="E10" s="2">
        <v>1.879793E7</v>
      </c>
      <c r="F10" s="2">
        <v>6282547.0</v>
      </c>
      <c r="G10" s="3">
        <f t="shared" si="3"/>
        <v>25080477</v>
      </c>
      <c r="H10" s="3">
        <f t="shared" si="4"/>
        <v>99.67912492</v>
      </c>
      <c r="I10" s="3">
        <f t="shared" si="5"/>
        <v>74.75934369</v>
      </c>
      <c r="L10" s="3">
        <v>2.5E7</v>
      </c>
    </row>
    <row r="12">
      <c r="A12" s="2" t="s">
        <v>15</v>
      </c>
      <c r="B12" s="2" t="s">
        <v>12</v>
      </c>
      <c r="C12" s="2" t="s">
        <v>13</v>
      </c>
      <c r="D12" s="2">
        <v>1.0</v>
      </c>
      <c r="E12" s="2">
        <v>1.8688408E7</v>
      </c>
      <c r="F12" s="2">
        <v>6250709.0</v>
      </c>
      <c r="G12" s="3">
        <f t="shared" ref="G12:G13" si="6">E12+F12</f>
        <v>24939117</v>
      </c>
      <c r="H12" s="3">
        <f t="shared" ref="H12:H13" si="7">100-ABS($M$18-G12)/G12*100</f>
        <v>99.75587347</v>
      </c>
      <c r="I12" s="3">
        <f t="shared" ref="I12:I13" si="8">100-ABS($M$19-G12)/G12*100</f>
        <v>75.18309489</v>
      </c>
    </row>
    <row r="13">
      <c r="A13" s="2" t="s">
        <v>15</v>
      </c>
      <c r="B13" s="2" t="s">
        <v>14</v>
      </c>
      <c r="C13" s="2" t="s">
        <v>13</v>
      </c>
      <c r="D13" s="2">
        <v>1.0</v>
      </c>
      <c r="E13" s="2">
        <v>1.8794607E7</v>
      </c>
      <c r="F13" s="2">
        <v>6254850.0</v>
      </c>
      <c r="G13" s="3">
        <f t="shared" si="6"/>
        <v>25049457</v>
      </c>
      <c r="H13" s="3">
        <f t="shared" si="7"/>
        <v>99.80256259</v>
      </c>
      <c r="I13" s="3">
        <f t="shared" si="8"/>
        <v>74.85192194</v>
      </c>
    </row>
    <row r="14">
      <c r="K14" s="2" t="s">
        <v>16</v>
      </c>
      <c r="L14" s="2" t="s">
        <v>17</v>
      </c>
    </row>
    <row r="15">
      <c r="A15" s="2" t="s">
        <v>18</v>
      </c>
      <c r="B15" s="2" t="s">
        <v>12</v>
      </c>
      <c r="C15" s="2" t="s">
        <v>13</v>
      </c>
      <c r="D15" s="2">
        <v>1.0</v>
      </c>
      <c r="E15" s="2">
        <v>1.8528602E7</v>
      </c>
      <c r="F15" s="2">
        <v>6204350.0</v>
      </c>
      <c r="G15" s="3">
        <f t="shared" ref="G15:G16" si="9">E15+F15</f>
        <v>24732952</v>
      </c>
      <c r="H15" s="3">
        <f t="shared" ref="H15:H16" si="10">100-ABS($M$18-G15)/G15*100</f>
        <v>98.92027446</v>
      </c>
      <c r="I15" s="3">
        <f t="shared" ref="I15:I16" si="11">100-ABS($M$19-G15)/G15*100</f>
        <v>75.80979416</v>
      </c>
      <c r="K15" s="2">
        <v>5.0E7</v>
      </c>
      <c r="L15" s="2">
        <v>8.0</v>
      </c>
    </row>
    <row r="16">
      <c r="A16" s="2" t="s">
        <v>18</v>
      </c>
      <c r="B16" s="2" t="s">
        <v>14</v>
      </c>
      <c r="C16" s="2" t="s">
        <v>13</v>
      </c>
      <c r="D16" s="2">
        <v>1.0</v>
      </c>
      <c r="E16" s="2">
        <v>1.8352835E7</v>
      </c>
      <c r="F16" s="2">
        <v>6137000.0</v>
      </c>
      <c r="G16" s="3">
        <f t="shared" si="9"/>
        <v>24489835</v>
      </c>
      <c r="H16" s="3">
        <f t="shared" si="10"/>
        <v>97.91682957</v>
      </c>
      <c r="I16" s="3">
        <f t="shared" si="11"/>
        <v>76.56237782</v>
      </c>
    </row>
    <row r="17">
      <c r="K17" s="2" t="s">
        <v>19</v>
      </c>
      <c r="L17" s="2" t="s">
        <v>20</v>
      </c>
      <c r="M17" s="2" t="s">
        <v>21</v>
      </c>
    </row>
    <row r="18">
      <c r="A18" s="2" t="s">
        <v>22</v>
      </c>
      <c r="B18" s="2" t="s">
        <v>12</v>
      </c>
      <c r="C18" s="2" t="s">
        <v>13</v>
      </c>
      <c r="D18" s="2">
        <v>1.0</v>
      </c>
      <c r="E18" s="2">
        <v>1.8574077E7</v>
      </c>
      <c r="F18" s="2">
        <v>6161199.0</v>
      </c>
      <c r="G18" s="3">
        <f t="shared" ref="G18:G19" si="12">E18+F18</f>
        <v>24735276</v>
      </c>
      <c r="H18" s="3">
        <f t="shared" ref="H18:H19" si="13">100-ABS($M$18-G18)/G18*100</f>
        <v>98.92977139</v>
      </c>
      <c r="I18" s="3">
        <f t="shared" ref="I18:I19" si="14">100-ABS($M$19-G18)/G18*100</f>
        <v>75.80267146</v>
      </c>
      <c r="J18" s="2" t="s">
        <v>23</v>
      </c>
      <c r="K18" s="2">
        <v>0.0</v>
      </c>
      <c r="L18" s="3">
        <v>2.5E7</v>
      </c>
      <c r="M18" s="3">
        <f t="shared" ref="M18:M19" si="15">K18+L18</f>
        <v>25000000</v>
      </c>
    </row>
    <row r="19">
      <c r="A19" s="2" t="s">
        <v>22</v>
      </c>
      <c r="B19" s="2" t="s">
        <v>14</v>
      </c>
      <c r="C19" s="2" t="s">
        <v>13</v>
      </c>
      <c r="D19" s="2">
        <v>1.0</v>
      </c>
      <c r="E19" s="2">
        <v>1.8736121E7</v>
      </c>
      <c r="F19" s="2">
        <v>6178699.0</v>
      </c>
      <c r="G19" s="3">
        <f t="shared" si="12"/>
        <v>24914820</v>
      </c>
      <c r="H19" s="3">
        <f t="shared" si="13"/>
        <v>99.65811513</v>
      </c>
      <c r="I19" s="3">
        <f t="shared" si="14"/>
        <v>75.25641365</v>
      </c>
      <c r="J19" s="2" t="s">
        <v>3</v>
      </c>
      <c r="K19" s="3">
        <f>K15*L15/64*2</f>
        <v>12500000</v>
      </c>
      <c r="L19" s="3">
        <f>K15*L15/64</f>
        <v>6250000</v>
      </c>
      <c r="M19" s="3">
        <f t="shared" si="15"/>
        <v>18750000</v>
      </c>
    </row>
    <row r="21">
      <c r="A21" s="2" t="s">
        <v>15</v>
      </c>
      <c r="B21" s="2" t="s">
        <v>12</v>
      </c>
      <c r="C21" s="2" t="s">
        <v>13</v>
      </c>
      <c r="D21" s="2">
        <v>1.0</v>
      </c>
      <c r="E21" s="2">
        <v>1.8589098E7</v>
      </c>
      <c r="F21" s="2">
        <v>6245387.0</v>
      </c>
      <c r="G21" s="3">
        <f t="shared" ref="G21:G22" si="16">E21+F21</f>
        <v>24834485</v>
      </c>
      <c r="H21" s="3">
        <f t="shared" ref="H21:H22" si="17">100-ABS($M$18-G21)/G21*100</f>
        <v>99.33352755</v>
      </c>
      <c r="I21" s="3">
        <f t="shared" ref="I21:I22" si="18">100-ABS($M$19-G21)/G21*100</f>
        <v>75.49985434</v>
      </c>
    </row>
    <row r="22">
      <c r="A22" s="2" t="s">
        <v>15</v>
      </c>
      <c r="B22" s="2" t="s">
        <v>14</v>
      </c>
      <c r="C22" s="2" t="s">
        <v>13</v>
      </c>
      <c r="D22" s="2">
        <v>1.0</v>
      </c>
      <c r="E22" s="2">
        <v>1.8496868E7</v>
      </c>
      <c r="F22" s="2">
        <v>6186211.0</v>
      </c>
      <c r="G22" s="3">
        <f t="shared" si="16"/>
        <v>24683079</v>
      </c>
      <c r="H22" s="3">
        <f t="shared" si="17"/>
        <v>98.71603944</v>
      </c>
      <c r="I22" s="3">
        <f t="shared" si="18"/>
        <v>75.96297042</v>
      </c>
    </row>
    <row r="24">
      <c r="D24" s="3" t="str">
        <f>"map=["&amp;H9&amp;", "&amp;H10&amp;", "&amp;H12&amp;", "&amp;H13&amp;", "&amp;H15&amp;", "&amp;H16&amp;", "&amp;H18&amp;", "&amp;H19&amp;"]"</f>
        <v>map=[98.6627020572673, 99.6791249225443, 99.7558734737882, 99.8025625864864, 98.9202744581399, 97.9168295743928, 98.9297713920799, 99.6581151298705]</v>
      </c>
    </row>
    <row r="25">
      <c r="D25" s="3" t="str">
        <f>"lit=["&amp;I9&amp;", "&amp;I10&amp;", "&amp;I12&amp;", "&amp;I13&amp;", "&amp;I15&amp;", "&amp;I16&amp;", "&amp;I18&amp;", "&amp;I19&amp;"]"</f>
        <v>lit=[73.9970265429505, 74.7593436919083, 75.1830948946589, 74.8519219398648, 75.8097941563951, 76.5623778192054, 75.8026714559401, 75.2564136525971]</v>
      </c>
    </row>
    <row r="31">
      <c r="D31" s="3" t="str">
        <f>"total=["&amp;M18&amp;", "&amp;M19&amp;", "&amp;G9&amp;", "&amp;G10&amp;", "&amp;G12&amp;", "&amp;G13&amp;", "&amp;G15&amp;", "&amp;G16&amp;"]"</f>
        <v>total=[25000000, 18750000, 25338856, 25080477, 24939117, 25049457, 24732952, 24489835]</v>
      </c>
    </row>
    <row r="34">
      <c r="L34" s="2">
        <v>4096.0</v>
      </c>
      <c r="M34" s="2">
        <v>4096.0</v>
      </c>
      <c r="N34" s="3">
        <f>L34*M34</f>
        <v>16777216</v>
      </c>
    </row>
    <row r="36">
      <c r="B36" s="2" t="s">
        <v>24</v>
      </c>
      <c r="H36" s="2" t="s">
        <v>2</v>
      </c>
      <c r="I36" s="2" t="s">
        <v>3</v>
      </c>
      <c r="L36" s="2">
        <f t="shared" ref="L36:M36" si="19">8192*2</f>
        <v>16384</v>
      </c>
      <c r="M36" s="2">
        <f t="shared" si="19"/>
        <v>16384</v>
      </c>
      <c r="N36" s="3">
        <f>L36*M36</f>
        <v>268435456</v>
      </c>
    </row>
    <row r="37">
      <c r="C37" s="2" t="s">
        <v>4</v>
      </c>
      <c r="D37" s="2" t="s">
        <v>5</v>
      </c>
      <c r="H37" s="3">
        <f t="shared" ref="H37:I37" si="20">(H39+H42+H45+H48)/4</f>
        <v>89.05547906</v>
      </c>
      <c r="I37" s="3">
        <f t="shared" si="20"/>
        <v>89.05547906</v>
      </c>
    </row>
    <row r="38">
      <c r="E38" s="2" t="s">
        <v>7</v>
      </c>
      <c r="F38" s="2" t="s">
        <v>8</v>
      </c>
      <c r="G38" s="2" t="s">
        <v>21</v>
      </c>
      <c r="H38" s="3">
        <f t="shared" ref="H38:I38" si="21">(H40+H43+H46+H49)/4</f>
        <v>89.60686329</v>
      </c>
      <c r="I38" s="3">
        <f t="shared" si="21"/>
        <v>89.60686329</v>
      </c>
      <c r="J38" s="2">
        <v>8192.0</v>
      </c>
      <c r="K38" s="2">
        <v>8192.0</v>
      </c>
    </row>
    <row r="39">
      <c r="A39" s="2" t="s">
        <v>11</v>
      </c>
      <c r="B39" s="2" t="s">
        <v>12</v>
      </c>
      <c r="C39" s="2" t="s">
        <v>13</v>
      </c>
      <c r="D39" s="2">
        <v>1.0</v>
      </c>
      <c r="E39" s="2">
        <v>4620741.0</v>
      </c>
      <c r="F39" s="2">
        <v>4821091.0</v>
      </c>
      <c r="G39" s="3">
        <f t="shared" ref="G39:G40" si="22">E39+F39</f>
        <v>9441832</v>
      </c>
      <c r="H39" s="3">
        <f t="shared" ref="H39:H40" si="23">100-ABS($M$48-G39)/G39*100</f>
        <v>88.8451309</v>
      </c>
      <c r="I39" s="3">
        <f t="shared" ref="I39:I40" si="24">100-ABS($M$49-G39)/G39*100</f>
        <v>88.8451309</v>
      </c>
    </row>
    <row r="40">
      <c r="A40" s="2" t="s">
        <v>11</v>
      </c>
      <c r="B40" s="2" t="s">
        <v>14</v>
      </c>
      <c r="C40" s="2" t="s">
        <v>13</v>
      </c>
      <c r="D40" s="2">
        <v>1.0</v>
      </c>
      <c r="E40" s="2">
        <v>4569441.0</v>
      </c>
      <c r="F40" s="2">
        <v>4740749.0</v>
      </c>
      <c r="G40" s="3">
        <f t="shared" si="22"/>
        <v>9310190</v>
      </c>
      <c r="H40" s="3">
        <f t="shared" si="23"/>
        <v>90.10136206</v>
      </c>
      <c r="I40" s="3">
        <f t="shared" si="24"/>
        <v>90.10136206</v>
      </c>
    </row>
    <row r="42">
      <c r="A42" s="2" t="s">
        <v>15</v>
      </c>
      <c r="B42" s="2" t="s">
        <v>12</v>
      </c>
      <c r="C42" s="2" t="s">
        <v>13</v>
      </c>
      <c r="D42" s="2">
        <v>1.0</v>
      </c>
      <c r="E42" s="2">
        <v>4520072.0</v>
      </c>
      <c r="F42" s="2">
        <v>4317901.0</v>
      </c>
      <c r="G42" s="3">
        <f t="shared" ref="G42:G43" si="25">E42+F42</f>
        <v>8837973</v>
      </c>
      <c r="H42" s="3">
        <f t="shared" ref="H42:H43" si="26">100-ABS($M$48-G42)/G42*100</f>
        <v>94.91551966</v>
      </c>
      <c r="I42" s="3">
        <f t="shared" ref="I42:I43" si="27">100-ABS($M$49-G42)/G42*100</f>
        <v>94.91551966</v>
      </c>
    </row>
    <row r="43">
      <c r="A43" s="2" t="s">
        <v>15</v>
      </c>
      <c r="B43" s="2" t="s">
        <v>14</v>
      </c>
      <c r="C43" s="2" t="s">
        <v>13</v>
      </c>
      <c r="D43" s="2">
        <v>1.0</v>
      </c>
      <c r="E43" s="2">
        <v>5047367.0</v>
      </c>
      <c r="F43" s="2">
        <v>4335252.0</v>
      </c>
      <c r="G43" s="3">
        <f t="shared" si="25"/>
        <v>9382619</v>
      </c>
      <c r="H43" s="3">
        <f t="shared" si="26"/>
        <v>89.40582581</v>
      </c>
      <c r="I43" s="3">
        <f t="shared" si="27"/>
        <v>89.40582581</v>
      </c>
    </row>
    <row r="44">
      <c r="K44" s="2" t="s">
        <v>16</v>
      </c>
      <c r="L44" s="2" t="s">
        <v>17</v>
      </c>
    </row>
    <row r="45">
      <c r="A45" s="2" t="s">
        <v>18</v>
      </c>
      <c r="B45" s="2" t="s">
        <v>12</v>
      </c>
      <c r="C45" s="2" t="s">
        <v>13</v>
      </c>
      <c r="D45" s="2">
        <v>1.0</v>
      </c>
      <c r="E45" s="2">
        <v>4728305.0</v>
      </c>
      <c r="F45" s="2">
        <v>4537964.0</v>
      </c>
      <c r="G45" s="3">
        <f t="shared" ref="G45:G46" si="28">E45+F45</f>
        <v>9266269</v>
      </c>
      <c r="H45" s="3">
        <f t="shared" ref="H45:H46" si="29">100-ABS($M$48-G45)/G45*100</f>
        <v>90.52843167</v>
      </c>
      <c r="I45" s="3">
        <f t="shared" ref="I45:I46" si="30">100-ABS($M$49-G45)/G45*100</f>
        <v>90.52843167</v>
      </c>
      <c r="K45" s="3">
        <f>J38*K38</f>
        <v>67108864</v>
      </c>
      <c r="L45" s="2">
        <v>4.0</v>
      </c>
      <c r="M45" s="3">
        <f>K45*L45</f>
        <v>268435456</v>
      </c>
    </row>
    <row r="46">
      <c r="A46" s="2" t="s">
        <v>18</v>
      </c>
      <c r="B46" s="2" t="s">
        <v>14</v>
      </c>
      <c r="C46" s="2" t="s">
        <v>13</v>
      </c>
      <c r="D46" s="2">
        <v>1.0</v>
      </c>
      <c r="E46" s="2">
        <v>4800994.0</v>
      </c>
      <c r="F46" s="2">
        <v>4525494.0</v>
      </c>
      <c r="G46" s="3">
        <f t="shared" si="28"/>
        <v>9326488</v>
      </c>
      <c r="H46" s="3">
        <f t="shared" si="29"/>
        <v>89.94391029</v>
      </c>
      <c r="I46" s="3">
        <f t="shared" si="30"/>
        <v>89.94391029</v>
      </c>
    </row>
    <row r="47">
      <c r="K47" s="2" t="s">
        <v>19</v>
      </c>
      <c r="L47" s="2" t="s">
        <v>20</v>
      </c>
      <c r="M47" s="2" t="s">
        <v>21</v>
      </c>
    </row>
    <row r="48">
      <c r="A48" s="2" t="s">
        <v>22</v>
      </c>
      <c r="B48" s="2" t="s">
        <v>12</v>
      </c>
      <c r="C48" s="2" t="s">
        <v>13</v>
      </c>
      <c r="D48" s="2">
        <v>1.0</v>
      </c>
      <c r="E48" s="2">
        <v>5655726.0</v>
      </c>
      <c r="F48" s="2">
        <v>4582670.0</v>
      </c>
      <c r="G48" s="3">
        <f t="shared" ref="G48:G49" si="31">E48+F48</f>
        <v>10238396</v>
      </c>
      <c r="H48" s="3">
        <f t="shared" ref="H48:H49" si="32">100-ABS($M$48-G48)/G48*100</f>
        <v>81.93283401</v>
      </c>
      <c r="I48" s="3">
        <f t="shared" ref="I48:I49" si="33">100-ABS($M$49-G48)/G48*100</f>
        <v>81.93283401</v>
      </c>
      <c r="J48" s="2" t="s">
        <v>23</v>
      </c>
      <c r="K48" s="2">
        <v>0.0</v>
      </c>
      <c r="L48" s="2">
        <v>8388608.0</v>
      </c>
      <c r="M48" s="3">
        <f t="shared" ref="M48:M49" si="34">K48+L48</f>
        <v>8388608</v>
      </c>
    </row>
    <row r="49">
      <c r="A49" s="2" t="s">
        <v>22</v>
      </c>
      <c r="B49" s="2" t="s">
        <v>14</v>
      </c>
      <c r="C49" s="2" t="s">
        <v>13</v>
      </c>
      <c r="D49" s="2">
        <v>1.0</v>
      </c>
      <c r="E49" s="2">
        <v>4837348.0</v>
      </c>
      <c r="F49" s="2">
        <v>4590559.0</v>
      </c>
      <c r="G49" s="3">
        <f t="shared" si="31"/>
        <v>9427907</v>
      </c>
      <c r="H49" s="3">
        <f t="shared" si="32"/>
        <v>88.97635499</v>
      </c>
      <c r="I49" s="3">
        <f t="shared" si="33"/>
        <v>88.97635499</v>
      </c>
      <c r="J49" s="2" t="s">
        <v>3</v>
      </c>
      <c r="K49" s="3">
        <f>K45*L45/64</f>
        <v>4194304</v>
      </c>
      <c r="L49" s="3">
        <f>K45*L45/64</f>
        <v>4194304</v>
      </c>
      <c r="M49" s="3">
        <f t="shared" si="34"/>
        <v>8388608</v>
      </c>
    </row>
    <row r="51">
      <c r="A51" s="2" t="s">
        <v>15</v>
      </c>
      <c r="B51" s="2" t="s">
        <v>12</v>
      </c>
      <c r="C51" s="2" t="s">
        <v>13</v>
      </c>
      <c r="D51" s="2">
        <v>1.0</v>
      </c>
      <c r="E51" s="2">
        <v>4672570.0</v>
      </c>
      <c r="F51" s="2">
        <v>4512171.0</v>
      </c>
      <c r="G51" s="3">
        <f t="shared" ref="G51:G52" si="35">E51+F51</f>
        <v>9184741</v>
      </c>
      <c r="H51" s="3">
        <f t="shared" ref="H51:H52" si="36">100-ABS($M$48-G51)/G51*100</f>
        <v>91.33200381</v>
      </c>
      <c r="I51" s="3">
        <f t="shared" ref="I51:I52" si="37">100-ABS($M$49-G51)/G51*100</f>
        <v>91.33200381</v>
      </c>
    </row>
    <row r="52">
      <c r="A52" s="2" t="s">
        <v>15</v>
      </c>
      <c r="B52" s="2" t="s">
        <v>14</v>
      </c>
      <c r="C52" s="2" t="s">
        <v>13</v>
      </c>
      <c r="D52" s="2">
        <v>1.0</v>
      </c>
      <c r="E52" s="2">
        <v>4688749.0</v>
      </c>
      <c r="F52" s="2">
        <v>4485998.0</v>
      </c>
      <c r="G52" s="3">
        <f t="shared" si="35"/>
        <v>9174747</v>
      </c>
      <c r="H52" s="3">
        <f t="shared" si="36"/>
        <v>91.43149124</v>
      </c>
      <c r="I52" s="3">
        <f t="shared" si="37"/>
        <v>91.43149124</v>
      </c>
    </row>
    <row r="54">
      <c r="D54" s="3" t="str">
        <f>"map=["&amp;H39&amp;", "&amp;H40&amp;", "&amp;H42&amp;", "&amp;H43&amp;", "&amp;H45&amp;", "&amp;H46&amp;", "&amp;H48&amp;", "&amp;H49&amp;"]"</f>
        <v>map=[88.8451309025621, 90.1013620559838, 94.9155196559211, 89.4058258147325, 90.5284316697476, 89.9439102907761, 81.9328340103274, 88.9763549852581]</v>
      </c>
    </row>
    <row r="55">
      <c r="D55" s="3" t="str">
        <f>"lit=["&amp;I39&amp;", "&amp;I40&amp;", "&amp;I42&amp;", "&amp;I43&amp;", "&amp;I45&amp;", "&amp;I46&amp;", "&amp;I48&amp;", "&amp;I49&amp;"]"</f>
        <v>lit=[88.8451309025621, 90.1013620559838, 94.9155196559211, 89.4058258147325, 90.5284316697476, 89.9439102907761, 81.9328340103274, 88.9763549852581]</v>
      </c>
    </row>
    <row r="61">
      <c r="D61" s="3" t="str">
        <f>"total=["&amp;M48&amp;", "&amp;M49&amp;", "&amp;G39&amp;", "&amp;G40&amp;", "&amp;G42&amp;", "&amp;G43&amp;", "&amp;G45&amp;", "&amp;G46&amp;"]"</f>
        <v>total=[8388608, 8388608, 9441832, 9310190, 8837973, 9382619, 9266269, 9326488]</v>
      </c>
    </row>
    <row r="65">
      <c r="B65" s="2" t="s">
        <v>25</v>
      </c>
      <c r="H65" s="2" t="s">
        <v>2</v>
      </c>
      <c r="I65" s="2" t="s">
        <v>3</v>
      </c>
    </row>
    <row r="66">
      <c r="C66" s="2" t="s">
        <v>4</v>
      </c>
      <c r="D66" s="2" t="s">
        <v>5</v>
      </c>
      <c r="H66" s="3">
        <f t="shared" ref="H66:I66" si="38">(H68+H71+H74+H77)/4</f>
        <v>95.58619507</v>
      </c>
      <c r="I66" s="3">
        <f t="shared" si="38"/>
        <v>66.81244144</v>
      </c>
    </row>
    <row r="67">
      <c r="E67" s="2" t="s">
        <v>7</v>
      </c>
      <c r="F67" s="2" t="s">
        <v>8</v>
      </c>
      <c r="G67" s="2" t="s">
        <v>21</v>
      </c>
      <c r="H67" s="3">
        <f t="shared" ref="H67:I67" si="39">(H69+H72+H75+H78)/4</f>
        <v>93.39123636</v>
      </c>
      <c r="I67" s="3">
        <f t="shared" si="39"/>
        <v>68.70734434</v>
      </c>
      <c r="J67" s="2">
        <v>4096.0</v>
      </c>
      <c r="K67" s="2">
        <v>4096.0</v>
      </c>
    </row>
    <row r="68">
      <c r="A68" s="2" t="s">
        <v>11</v>
      </c>
      <c r="B68" s="2" t="s">
        <v>12</v>
      </c>
      <c r="C68" s="2" t="s">
        <v>13</v>
      </c>
      <c r="D68" s="2">
        <v>1.0</v>
      </c>
      <c r="E68" s="2">
        <v>4319186.0</v>
      </c>
      <c r="F68" s="2">
        <v>2541288.0</v>
      </c>
      <c r="G68" s="3">
        <f t="shared" ref="G68:G69" si="40">E68+F68</f>
        <v>6860474</v>
      </c>
      <c r="H68" s="3">
        <f t="shared" ref="H68:H69" si="41">100-ABS($M$77-G68)/G68*100</f>
        <v>91.66107182</v>
      </c>
      <c r="I68" s="3">
        <f t="shared" ref="I68:I69" si="42">100-ABS($M$78-G68)/G68*100</f>
        <v>61.13723337</v>
      </c>
    </row>
    <row r="69">
      <c r="A69" s="2" t="s">
        <v>11</v>
      </c>
      <c r="B69" s="2" t="s">
        <v>14</v>
      </c>
      <c r="C69" s="2" t="s">
        <v>13</v>
      </c>
      <c r="D69" s="2">
        <v>1.0</v>
      </c>
      <c r="E69" s="2">
        <v>4276900.0</v>
      </c>
      <c r="F69" s="2">
        <v>2499094.0</v>
      </c>
      <c r="G69" s="3">
        <f t="shared" si="40"/>
        <v>6775994</v>
      </c>
      <c r="H69" s="3">
        <f t="shared" si="41"/>
        <v>92.80386022</v>
      </c>
      <c r="I69" s="3">
        <f t="shared" si="42"/>
        <v>61.89946449</v>
      </c>
    </row>
    <row r="71">
      <c r="A71" s="2" t="s">
        <v>15</v>
      </c>
      <c r="B71" s="2" t="s">
        <v>12</v>
      </c>
      <c r="C71" s="2" t="s">
        <v>13</v>
      </c>
      <c r="D71" s="2">
        <v>1.0</v>
      </c>
      <c r="E71" s="2">
        <v>4058497.0</v>
      </c>
      <c r="F71" s="2">
        <v>1994509.0</v>
      </c>
      <c r="G71" s="3">
        <f t="shared" ref="G71:G72" si="43">E71+F71</f>
        <v>6053006</v>
      </c>
      <c r="H71" s="3">
        <f t="shared" ref="H71:H72" si="44">100-ABS($M$77-G71)/G71*100</f>
        <v>96.11138664</v>
      </c>
      <c r="I71" s="3">
        <f t="shared" ref="I71:I72" si="45">100-ABS($M$78-G71)/G71*100</f>
        <v>69.29291</v>
      </c>
    </row>
    <row r="72">
      <c r="A72" s="2" t="s">
        <v>15</v>
      </c>
      <c r="B72" s="2" t="s">
        <v>14</v>
      </c>
      <c r="C72" s="2" t="s">
        <v>13</v>
      </c>
      <c r="D72" s="2">
        <v>1.0</v>
      </c>
      <c r="E72" s="2">
        <v>4047308.0</v>
      </c>
      <c r="F72" s="2">
        <v>1982488.0</v>
      </c>
      <c r="G72" s="3">
        <f t="shared" si="43"/>
        <v>6029796</v>
      </c>
      <c r="H72" s="3">
        <f t="shared" si="44"/>
        <v>95.71149671</v>
      </c>
      <c r="I72" s="3">
        <f t="shared" si="45"/>
        <v>69.55963353</v>
      </c>
    </row>
    <row r="73">
      <c r="K73" s="2" t="s">
        <v>16</v>
      </c>
      <c r="L73" s="2" t="s">
        <v>17</v>
      </c>
    </row>
    <row r="74">
      <c r="A74" s="2" t="s">
        <v>18</v>
      </c>
      <c r="B74" s="2" t="s">
        <v>12</v>
      </c>
      <c r="C74" s="2" t="s">
        <v>13</v>
      </c>
      <c r="D74" s="2">
        <v>1.0</v>
      </c>
      <c r="E74" s="2">
        <v>4127736.0</v>
      </c>
      <c r="F74" s="2">
        <v>2170046.0</v>
      </c>
      <c r="G74" s="3">
        <f t="shared" ref="G74:G75" si="46">E74+F74</f>
        <v>6297782</v>
      </c>
      <c r="H74" s="3">
        <f t="shared" ref="H74:H75" si="47">100-ABS($M$77-G74)/G74*100</f>
        <v>99.85077286</v>
      </c>
      <c r="I74" s="3">
        <f t="shared" ref="I74:I75" si="48">100-ABS($M$78-G74)/G74*100</f>
        <v>66.59970129</v>
      </c>
      <c r="K74" s="3">
        <f>J67*K67</f>
        <v>16777216</v>
      </c>
      <c r="L74" s="2">
        <v>8.0</v>
      </c>
    </row>
    <row r="75">
      <c r="A75" s="2" t="s">
        <v>18</v>
      </c>
      <c r="B75" s="2" t="s">
        <v>14</v>
      </c>
      <c r="C75" s="2" t="s">
        <v>13</v>
      </c>
      <c r="D75" s="2">
        <v>1.0</v>
      </c>
      <c r="E75" s="2">
        <v>3851933.0</v>
      </c>
      <c r="F75" s="2">
        <v>1814583.0</v>
      </c>
      <c r="G75" s="3">
        <f t="shared" si="46"/>
        <v>5666516</v>
      </c>
      <c r="H75" s="3">
        <f t="shared" si="47"/>
        <v>89.02556703</v>
      </c>
      <c r="I75" s="3">
        <f t="shared" si="48"/>
        <v>74.01909745</v>
      </c>
    </row>
    <row r="76">
      <c r="K76" s="2" t="s">
        <v>19</v>
      </c>
      <c r="L76" s="2" t="s">
        <v>20</v>
      </c>
      <c r="M76" s="2" t="s">
        <v>21</v>
      </c>
    </row>
    <row r="77">
      <c r="A77" s="2" t="s">
        <v>22</v>
      </c>
      <c r="B77" s="2" t="s">
        <v>12</v>
      </c>
      <c r="C77" s="2" t="s">
        <v>13</v>
      </c>
      <c r="D77" s="2">
        <v>1.0</v>
      </c>
      <c r="E77" s="2">
        <v>4033503.0</v>
      </c>
      <c r="F77" s="2">
        <v>1939594.0</v>
      </c>
      <c r="G77" s="3">
        <f t="shared" ref="G77:G78" si="49">E77+F77</f>
        <v>5973097</v>
      </c>
      <c r="H77" s="3">
        <f t="shared" ref="H77:H78" si="50">100-ABS($M$77-G77)/G77*100</f>
        <v>94.72154897</v>
      </c>
      <c r="I77" s="3">
        <f t="shared" ref="I77:I78" si="51">100-ABS($M$78-G77)/G77*100</f>
        <v>70.21992109</v>
      </c>
      <c r="J77" s="2" t="s">
        <v>23</v>
      </c>
      <c r="K77" s="2">
        <v>0.0</v>
      </c>
      <c r="L77" s="2">
        <v>6288384.0</v>
      </c>
      <c r="M77" s="3">
        <f t="shared" ref="M77:M78" si="52">K77+L77</f>
        <v>6288384</v>
      </c>
    </row>
    <row r="78">
      <c r="A78" s="2" t="s">
        <v>22</v>
      </c>
      <c r="B78" s="2" t="s">
        <v>14</v>
      </c>
      <c r="C78" s="2" t="s">
        <v>13</v>
      </c>
      <c r="D78" s="2">
        <v>1.0</v>
      </c>
      <c r="E78" s="2">
        <v>4054291.0</v>
      </c>
      <c r="F78" s="2">
        <v>1993629.0</v>
      </c>
      <c r="G78" s="3">
        <f t="shared" si="49"/>
        <v>6047920</v>
      </c>
      <c r="H78" s="3">
        <f t="shared" si="50"/>
        <v>96.02402148</v>
      </c>
      <c r="I78" s="3">
        <f t="shared" si="51"/>
        <v>69.35118189</v>
      </c>
      <c r="J78" s="2" t="s">
        <v>3</v>
      </c>
      <c r="K78" s="3">
        <f>K74*L74/64</f>
        <v>2097152</v>
      </c>
      <c r="L78" s="3">
        <f>K74*L74/64</f>
        <v>2097152</v>
      </c>
      <c r="M78" s="3">
        <f t="shared" si="52"/>
        <v>4194304</v>
      </c>
    </row>
    <row r="80">
      <c r="A80" s="2" t="s">
        <v>15</v>
      </c>
      <c r="B80" s="2" t="s">
        <v>12</v>
      </c>
      <c r="C80" s="2" t="s">
        <v>13</v>
      </c>
      <c r="D80" s="2">
        <v>1.0</v>
      </c>
      <c r="E80" s="2">
        <v>4315941.0</v>
      </c>
      <c r="F80" s="2">
        <v>2169994.0</v>
      </c>
      <c r="G80" s="3">
        <f t="shared" ref="G80:G81" si="53">E80+F80</f>
        <v>6485935</v>
      </c>
      <c r="H80" s="3">
        <f t="shared" ref="H80:H81" si="54">100-ABS($M$77-G80)/G80*100</f>
        <v>96.95416312</v>
      </c>
      <c r="I80" s="3">
        <f t="shared" ref="I80:I81" si="55">100-ABS($M$78-G80)/G80*100</f>
        <v>64.66768477</v>
      </c>
    </row>
    <row r="81">
      <c r="A81" s="2" t="s">
        <v>15</v>
      </c>
      <c r="B81" s="2" t="s">
        <v>14</v>
      </c>
      <c r="C81" s="2" t="s">
        <v>13</v>
      </c>
      <c r="D81" s="2">
        <v>1.0</v>
      </c>
      <c r="E81" s="2">
        <v>4406640.0</v>
      </c>
      <c r="F81" s="2">
        <v>2091463.0</v>
      </c>
      <c r="G81" s="3">
        <f t="shared" si="53"/>
        <v>6498103</v>
      </c>
      <c r="H81" s="3">
        <f t="shared" si="54"/>
        <v>96.77261195</v>
      </c>
      <c r="I81" s="3">
        <f t="shared" si="55"/>
        <v>64.54659152</v>
      </c>
    </row>
    <row r="83">
      <c r="D83" s="3" t="str">
        <f>"map=["&amp;H68&amp;", "&amp;H69&amp;", "&amp;H71&amp;", "&amp;H72&amp;", "&amp;H74&amp;", "&amp;H75&amp;", "&amp;H77&amp;", "&amp;H78&amp;"]"</f>
        <v>map=[91.6610718151545, 92.8038602159329, 96.1113866399604, 95.7114967073513, 99.8507728593972, 89.0255670327235, 94.7215489719989, 96.0240214817656]</v>
      </c>
    </row>
    <row r="84">
      <c r="D84" s="3" t="str">
        <f>"lit=["&amp;I68&amp;", "&amp;I69&amp;", "&amp;I71&amp;", "&amp;I72&amp;", "&amp;I74&amp;", "&amp;I75&amp;", "&amp;I77&amp;", "&amp;I78&amp;"]"</f>
        <v>lit=[61.1372333748368, 61.8994644918517, 69.2929100020717, 69.5596335265737, 66.5997012916611, 74.0190974489439, 70.2199210895119, 69.3511818939404]</v>
      </c>
    </row>
    <row r="90">
      <c r="D90" s="3" t="str">
        <f>"total=["&amp;M77&amp;", "&amp;M78&amp;", "&amp;G68&amp;", "&amp;G69&amp;", "&amp;G71&amp;", "&amp;G72&amp;", "&amp;G74&amp;", "&amp;G75&amp;"]"</f>
        <v>total=[6288384, 4194304, 6860474, 6775994, 6053006, 6029796, 6297782, 5666516]</v>
      </c>
    </row>
    <row r="93">
      <c r="B93" s="2" t="s">
        <v>26</v>
      </c>
      <c r="C93" s="2" t="s">
        <v>27</v>
      </c>
      <c r="H93" s="2" t="s">
        <v>2</v>
      </c>
      <c r="I93" s="2" t="s">
        <v>3</v>
      </c>
    </row>
    <row r="94">
      <c r="C94" s="2" t="s">
        <v>4</v>
      </c>
      <c r="D94" s="2" t="s">
        <v>5</v>
      </c>
      <c r="H94" s="3">
        <f t="shared" ref="H94:I94" si="56">(H96+H99+H102+H105)/4</f>
        <v>93.14648225</v>
      </c>
      <c r="I94" s="3">
        <f t="shared" si="56"/>
        <v>54.47859351</v>
      </c>
    </row>
    <row r="95">
      <c r="E95" s="2" t="s">
        <v>7</v>
      </c>
      <c r="F95" s="2" t="s">
        <v>8</v>
      </c>
      <c r="G95" s="2" t="s">
        <v>21</v>
      </c>
      <c r="H95" s="3">
        <f t="shared" ref="H95:I95" si="57">(H97+H100+H103+H106)/4</f>
        <v>91.31252707</v>
      </c>
      <c r="I95" s="3">
        <f t="shared" si="57"/>
        <v>38.65548085</v>
      </c>
    </row>
    <row r="96">
      <c r="A96" s="2" t="s">
        <v>11</v>
      </c>
      <c r="B96" s="2" t="s">
        <v>12</v>
      </c>
      <c r="C96" s="2" t="s">
        <v>13</v>
      </c>
      <c r="D96" s="2">
        <v>50.0</v>
      </c>
      <c r="E96" s="2">
        <v>4350028.0</v>
      </c>
      <c r="F96" s="2">
        <v>6546274.0</v>
      </c>
      <c r="G96" s="3">
        <f t="shared" ref="G96:G97" si="58">E96+F96</f>
        <v>10896302</v>
      </c>
      <c r="H96" s="3">
        <f>100-ABS($M$105-G96)/G96*100</f>
        <v>94.14834501</v>
      </c>
      <c r="I96" s="3">
        <f t="shared" ref="I96:I97" si="59">100-ABS($M$106-G96)/G96*100</f>
        <v>55.06455309</v>
      </c>
      <c r="K96" s="4" t="s">
        <v>28</v>
      </c>
    </row>
    <row r="97">
      <c r="A97" s="2" t="s">
        <v>11</v>
      </c>
      <c r="B97" s="2" t="s">
        <v>14</v>
      </c>
      <c r="C97" s="2" t="s">
        <v>13</v>
      </c>
      <c r="D97" s="2">
        <v>50.0</v>
      </c>
      <c r="E97" s="2">
        <v>1.0331989E7</v>
      </c>
      <c r="F97" s="2">
        <v>6642376.0</v>
      </c>
      <c r="G97" s="3">
        <f t="shared" si="58"/>
        <v>16974365</v>
      </c>
      <c r="H97" s="3">
        <f>100-ABS($M$107-G97)/G97*100</f>
        <v>92.43374936</v>
      </c>
      <c r="I97" s="3">
        <f t="shared" si="59"/>
        <v>35.34741948</v>
      </c>
    </row>
    <row r="99">
      <c r="A99" s="2" t="s">
        <v>15</v>
      </c>
      <c r="B99" s="2" t="s">
        <v>12</v>
      </c>
      <c r="C99" s="2" t="s">
        <v>13</v>
      </c>
      <c r="D99" s="2">
        <v>50.0</v>
      </c>
      <c r="E99" s="2">
        <v>4587972.0</v>
      </c>
      <c r="F99" s="2">
        <v>6556922.0</v>
      </c>
      <c r="G99" s="3">
        <f t="shared" ref="G99:G100" si="60">E99+F99</f>
        <v>11144894</v>
      </c>
      <c r="H99" s="3">
        <f>100-ABS($M$105-G99)/G99*100</f>
        <v>92.04832276</v>
      </c>
      <c r="I99" s="3">
        <f t="shared" ref="I99:I100" si="61">100-ABS($M$106-G99)/G99*100</f>
        <v>53.83631284</v>
      </c>
    </row>
    <row r="100">
      <c r="A100" s="2" t="s">
        <v>15</v>
      </c>
      <c r="B100" s="2" t="s">
        <v>14</v>
      </c>
      <c r="C100" s="2" t="s">
        <v>13</v>
      </c>
      <c r="D100" s="2">
        <v>50.0</v>
      </c>
      <c r="E100" s="2">
        <v>8780493.0</v>
      </c>
      <c r="F100" s="2">
        <v>6538910.0</v>
      </c>
      <c r="G100" s="3">
        <f t="shared" si="60"/>
        <v>15319403</v>
      </c>
      <c r="H100" s="3">
        <f>100-ABS($M$108-G100)/G100*100</f>
        <v>92.56312403</v>
      </c>
      <c r="I100" s="3">
        <f t="shared" si="61"/>
        <v>39.16601711</v>
      </c>
    </row>
    <row r="101">
      <c r="K101" s="2" t="s">
        <v>16</v>
      </c>
      <c r="L101" s="2" t="s">
        <v>17</v>
      </c>
    </row>
    <row r="102">
      <c r="A102" s="2" t="s">
        <v>18</v>
      </c>
      <c r="B102" s="2" t="s">
        <v>12</v>
      </c>
      <c r="C102" s="2" t="s">
        <v>13</v>
      </c>
      <c r="D102" s="2">
        <v>50.0</v>
      </c>
      <c r="E102" s="2">
        <v>4479358.0</v>
      </c>
      <c r="F102" s="2">
        <v>6448158.0</v>
      </c>
      <c r="G102" s="3">
        <f t="shared" ref="G102:G103" si="62">E102+F102</f>
        <v>10927516</v>
      </c>
      <c r="H102" s="3">
        <f>100-ABS($M$105-G102)/G102*100</f>
        <v>93.87941413</v>
      </c>
      <c r="I102" s="3">
        <f t="shared" ref="I102:I103" si="63">100-ABS($M$106-G102)/G102*100</f>
        <v>54.90726346</v>
      </c>
      <c r="K102" s="2">
        <v>1.0E8</v>
      </c>
      <c r="L102" s="2">
        <v>4.0</v>
      </c>
    </row>
    <row r="103">
      <c r="A103" s="2" t="s">
        <v>18</v>
      </c>
      <c r="B103" s="2" t="s">
        <v>14</v>
      </c>
      <c r="C103" s="2" t="s">
        <v>13</v>
      </c>
      <c r="D103" s="2">
        <v>50.0</v>
      </c>
      <c r="E103" s="2">
        <v>8491966.0</v>
      </c>
      <c r="F103" s="2">
        <v>6444362.0</v>
      </c>
      <c r="G103" s="3">
        <f t="shared" si="62"/>
        <v>14936328</v>
      </c>
      <c r="H103" s="3">
        <f>100-ABS($M$108-G103)/G103*100</f>
        <v>89.80766893</v>
      </c>
      <c r="I103" s="3">
        <f t="shared" si="63"/>
        <v>40.17051581</v>
      </c>
    </row>
    <row r="104">
      <c r="K104" s="2" t="s">
        <v>19</v>
      </c>
      <c r="L104" s="2" t="s">
        <v>20</v>
      </c>
      <c r="M104" s="2" t="s">
        <v>21</v>
      </c>
    </row>
    <row r="105">
      <c r="A105" s="2" t="s">
        <v>22</v>
      </c>
      <c r="B105" s="2" t="s">
        <v>12</v>
      </c>
      <c r="C105" s="2" t="s">
        <v>13</v>
      </c>
      <c r="D105" s="2">
        <v>50.0</v>
      </c>
      <c r="E105" s="2">
        <v>4643904.0</v>
      </c>
      <c r="F105" s="2">
        <v>6445389.0</v>
      </c>
      <c r="G105" s="3">
        <f t="shared" ref="G105:G106" si="64">E105+F105</f>
        <v>11089293</v>
      </c>
      <c r="H105" s="3">
        <f>100-ABS($M$105-G105)/G105*100</f>
        <v>92.50984711</v>
      </c>
      <c r="I105" s="3">
        <f t="shared" ref="I105:I106" si="65">100-ABS($M$106-G105)/G105*100</f>
        <v>54.10624465</v>
      </c>
      <c r="J105" s="2" t="s">
        <v>29</v>
      </c>
      <c r="K105" s="2">
        <v>0.0</v>
      </c>
      <c r="L105" s="2">
        <v>1.0258688E7</v>
      </c>
      <c r="M105" s="3">
        <f t="shared" ref="M105:M107" si="66">K105+L105</f>
        <v>10258688</v>
      </c>
    </row>
    <row r="106">
      <c r="A106" s="2" t="s">
        <v>22</v>
      </c>
      <c r="B106" s="2" t="s">
        <v>14</v>
      </c>
      <c r="C106" s="2" t="s">
        <v>13</v>
      </c>
      <c r="D106" s="2">
        <v>50.0</v>
      </c>
      <c r="E106" s="2">
        <v>8549930.0</v>
      </c>
      <c r="F106" s="2">
        <v>6473367.0</v>
      </c>
      <c r="G106" s="3">
        <f t="shared" si="64"/>
        <v>15023297</v>
      </c>
      <c r="H106" s="3">
        <f>100-ABS($M$108-G106)/G106*100</f>
        <v>90.44556598</v>
      </c>
      <c r="I106" s="3">
        <f t="shared" si="65"/>
        <v>39.93797101</v>
      </c>
      <c r="J106" s="2" t="s">
        <v>3</v>
      </c>
      <c r="K106" s="3">
        <f>$K$102*$L$102/64*2 *16/50</f>
        <v>4000000</v>
      </c>
      <c r="L106" s="3">
        <f>K106/2</f>
        <v>2000000</v>
      </c>
      <c r="M106" s="3">
        <f t="shared" si="66"/>
        <v>6000000</v>
      </c>
    </row>
    <row r="107">
      <c r="J107" s="2" t="s">
        <v>30</v>
      </c>
      <c r="K107" s="2">
        <v>0.0</v>
      </c>
      <c r="L107" s="2">
        <v>1.8258688E7</v>
      </c>
      <c r="M107" s="3">
        <f t="shared" si="66"/>
        <v>18258688</v>
      </c>
    </row>
    <row r="108">
      <c r="A108" s="2" t="s">
        <v>15</v>
      </c>
      <c r="B108" s="2" t="s">
        <v>12</v>
      </c>
      <c r="C108" s="2" t="s">
        <v>13</v>
      </c>
      <c r="D108" s="2">
        <v>50.0</v>
      </c>
      <c r="E108" s="2">
        <v>4464907.0</v>
      </c>
      <c r="F108" s="2">
        <v>6417795.0</v>
      </c>
      <c r="G108" s="3">
        <f t="shared" ref="G108:G109" si="67">E108+F108</f>
        <v>10882702</v>
      </c>
      <c r="H108" s="3">
        <f>100-ABS($M$105-G108)/G108*100</f>
        <v>94.26600122</v>
      </c>
      <c r="I108" s="3">
        <f t="shared" ref="I108:I109" si="68">100-ABS($M$106-G108)/G108*100</f>
        <v>55.1333667</v>
      </c>
      <c r="J108" s="2" t="s">
        <v>31</v>
      </c>
      <c r="K108" s="5">
        <f>K102/50*3*2</f>
        <v>12000000</v>
      </c>
      <c r="M108" s="2">
        <v>1.6458688E7</v>
      </c>
    </row>
    <row r="109">
      <c r="A109" s="2" t="s">
        <v>15</v>
      </c>
      <c r="B109" s="2" t="s">
        <v>14</v>
      </c>
      <c r="C109" s="2" t="s">
        <v>13</v>
      </c>
      <c r="D109" s="2">
        <v>50.0</v>
      </c>
      <c r="E109" s="2">
        <v>8246398.0</v>
      </c>
      <c r="F109" s="2">
        <v>6380969.0</v>
      </c>
      <c r="G109" s="3">
        <f t="shared" si="67"/>
        <v>14627367</v>
      </c>
      <c r="H109" s="3">
        <f>100-ABS($M$108-G109)/G109*100</f>
        <v>87.48017329</v>
      </c>
      <c r="I109" s="3">
        <f t="shared" si="68"/>
        <v>41.01900226</v>
      </c>
    </row>
    <row r="111">
      <c r="D111" s="3" t="str">
        <f>"map=["&amp;H96&amp;", "&amp;H97&amp;", "&amp;H99&amp;", "&amp;H100&amp;", "&amp;H102&amp;", "&amp;H103&amp;", "&amp;H105&amp;", "&amp;H106&amp;"]"</f>
        <v>map=[94.1483450073245, 92.4337493626419, 92.0483227565915, 92.5631240329666, 93.8794141321779, 89.8076689263921, 92.5098471110827, 90.4455659766295]</v>
      </c>
    </row>
    <row r="112">
      <c r="D112" s="3" t="str">
        <f>"lit=["&amp;I96&amp;", "&amp;I97&amp;", "&amp;I99&amp;", "&amp;I100&amp;", "&amp;I102&amp;", "&amp;I103&amp;", "&amp;I105&amp;", "&amp;I106&amp;"]"</f>
        <v>lit=[55.0645530933339, 35.3474194763692, 53.8363128442496, 39.1660171091524, 54.9072634622544, 40.1705158054912, 54.1062446451726, 39.9379710059649]</v>
      </c>
    </row>
    <row r="118">
      <c r="D118" s="3" t="str">
        <f>"total=["&amp;M105&amp;", "&amp;M106&amp;", "&amp;G96&amp;", "&amp;G97&amp;", "&amp;G99&amp;", "&amp;G100&amp;", "&amp;G102&amp;", "&amp;G103&amp;"]"</f>
        <v>total=[10258688, 6000000, 10896302, 16974365, 11144894, 15319403, 10927516, 14936328]</v>
      </c>
    </row>
    <row r="125">
      <c r="B125" s="2" t="s">
        <v>26</v>
      </c>
      <c r="C125" s="2" t="s">
        <v>32</v>
      </c>
      <c r="H125" s="2" t="s">
        <v>2</v>
      </c>
      <c r="I125" s="2" t="s">
        <v>3</v>
      </c>
    </row>
    <row r="126">
      <c r="C126" s="2" t="s">
        <v>4</v>
      </c>
      <c r="D126" s="2" t="s">
        <v>5</v>
      </c>
      <c r="H126" s="3">
        <f t="shared" ref="H126:I126" si="69">(H128+H131+H134+H137)/4</f>
        <v>96.01979233</v>
      </c>
      <c r="I126" s="3">
        <f t="shared" si="69"/>
        <v>72.01484425</v>
      </c>
    </row>
    <row r="127">
      <c r="E127" s="2" t="s">
        <v>7</v>
      </c>
      <c r="F127" s="2" t="s">
        <v>8</v>
      </c>
      <c r="G127" s="2" t="s">
        <v>21</v>
      </c>
      <c r="H127" s="3">
        <f t="shared" ref="H127:I127" si="70">(H129+H132+H135+H138)/4</f>
        <v>95.93303966</v>
      </c>
      <c r="I127" s="3">
        <f t="shared" si="70"/>
        <v>71.94977975</v>
      </c>
    </row>
    <row r="128">
      <c r="A128" s="2" t="s">
        <v>11</v>
      </c>
      <c r="B128" s="2" t="s">
        <v>12</v>
      </c>
      <c r="C128" s="2" t="s">
        <v>13</v>
      </c>
      <c r="D128" s="2">
        <v>200.0</v>
      </c>
      <c r="E128" s="2">
        <v>1516527.0</v>
      </c>
      <c r="F128" s="2">
        <v>821676.0</v>
      </c>
      <c r="G128" s="6">
        <v>2335441.0</v>
      </c>
      <c r="H128" s="3">
        <f t="shared" ref="H128:H129" si="71">100-ABS($M$137-G128)/G128*100</f>
        <v>85.6369311</v>
      </c>
      <c r="I128" s="3">
        <f t="shared" ref="I128:I129" si="72">100-ABS($M$138-G128)/G128*100</f>
        <v>64.22769832</v>
      </c>
    </row>
    <row r="129">
      <c r="A129" s="2" t="s">
        <v>11</v>
      </c>
      <c r="B129" s="2" t="s">
        <v>14</v>
      </c>
      <c r="C129" s="2" t="s">
        <v>13</v>
      </c>
      <c r="D129" s="2">
        <v>200.0</v>
      </c>
      <c r="E129" s="2">
        <v>1520001.0</v>
      </c>
      <c r="F129" s="2">
        <v>826604.0</v>
      </c>
      <c r="G129" s="6">
        <v>2335805.0</v>
      </c>
      <c r="H129" s="3">
        <f t="shared" si="71"/>
        <v>85.62358587</v>
      </c>
      <c r="I129" s="3">
        <f t="shared" si="72"/>
        <v>64.2176894</v>
      </c>
    </row>
    <row r="131">
      <c r="A131" s="2" t="s">
        <v>15</v>
      </c>
      <c r="B131" s="2" t="s">
        <v>12</v>
      </c>
      <c r="C131" s="2" t="s">
        <v>13</v>
      </c>
      <c r="D131" s="2">
        <v>200.0</v>
      </c>
      <c r="E131" s="2">
        <v>1502104.0</v>
      </c>
      <c r="F131" s="2">
        <v>505245.0</v>
      </c>
      <c r="G131" s="3">
        <f t="shared" ref="G131:G132" si="73">E131+F131</f>
        <v>2007349</v>
      </c>
      <c r="H131" s="3">
        <f t="shared" ref="H131:H132" si="74">100-ABS($M$137-G131)/G131*100</f>
        <v>99.63389525</v>
      </c>
      <c r="I131" s="3">
        <f t="shared" ref="I131:I132" si="75">100-ABS($M$138-G131)/G131*100</f>
        <v>74.72542144</v>
      </c>
      <c r="M131" s="3">
        <f>K134/200</f>
        <v>500000</v>
      </c>
    </row>
    <row r="132">
      <c r="A132" s="2" t="s">
        <v>15</v>
      </c>
      <c r="B132" s="2" t="s">
        <v>14</v>
      </c>
      <c r="C132" s="2" t="s">
        <v>13</v>
      </c>
      <c r="D132" s="2">
        <v>200.0</v>
      </c>
      <c r="E132" s="2">
        <v>1503155.0</v>
      </c>
      <c r="F132" s="2">
        <v>508137.0</v>
      </c>
      <c r="G132" s="3">
        <f t="shared" si="73"/>
        <v>2011292</v>
      </c>
      <c r="H132" s="3">
        <f t="shared" si="74"/>
        <v>99.43856983</v>
      </c>
      <c r="I132" s="3">
        <f t="shared" si="75"/>
        <v>74.57892738</v>
      </c>
    </row>
    <row r="133">
      <c r="K133" s="2" t="s">
        <v>16</v>
      </c>
      <c r="L133" s="2" t="s">
        <v>17</v>
      </c>
    </row>
    <row r="134">
      <c r="A134" s="2" t="s">
        <v>18</v>
      </c>
      <c r="B134" s="2" t="s">
        <v>12</v>
      </c>
      <c r="C134" s="2" t="s">
        <v>13</v>
      </c>
      <c r="D134" s="2">
        <v>200.0</v>
      </c>
      <c r="E134" s="2">
        <v>1501175.0</v>
      </c>
      <c r="F134" s="2">
        <v>505334.0</v>
      </c>
      <c r="G134" s="3">
        <f t="shared" ref="G134:G135" si="76">E134+F134</f>
        <v>2006509</v>
      </c>
      <c r="H134" s="3">
        <f t="shared" ref="H134:H135" si="77">100-ABS($M$137-G134)/G134*100</f>
        <v>99.67560574</v>
      </c>
      <c r="I134" s="3">
        <f t="shared" ref="I134:I135" si="78">100-ABS($M$138-G134)/G134*100</f>
        <v>74.75670431</v>
      </c>
      <c r="K134" s="2">
        <v>1.0E8</v>
      </c>
      <c r="L134" s="2">
        <v>4.0</v>
      </c>
    </row>
    <row r="135">
      <c r="A135" s="2" t="s">
        <v>18</v>
      </c>
      <c r="B135" s="2" t="s">
        <v>14</v>
      </c>
      <c r="C135" s="2" t="s">
        <v>13</v>
      </c>
      <c r="D135" s="2">
        <v>200.0</v>
      </c>
      <c r="E135" s="2">
        <v>1502057.0</v>
      </c>
      <c r="F135" s="2">
        <v>505586.0</v>
      </c>
      <c r="G135" s="3">
        <f t="shared" si="76"/>
        <v>2007643</v>
      </c>
      <c r="H135" s="3">
        <f t="shared" si="77"/>
        <v>99.61930483</v>
      </c>
      <c r="I135" s="3">
        <f t="shared" si="78"/>
        <v>74.71447862</v>
      </c>
    </row>
    <row r="136">
      <c r="K136" s="2" t="s">
        <v>19</v>
      </c>
      <c r="L136" s="2" t="s">
        <v>20</v>
      </c>
      <c r="M136" s="2" t="s">
        <v>21</v>
      </c>
    </row>
    <row r="137">
      <c r="A137" s="2" t="s">
        <v>22</v>
      </c>
      <c r="B137" s="2" t="s">
        <v>12</v>
      </c>
      <c r="C137" s="2" t="s">
        <v>13</v>
      </c>
      <c r="D137" s="2">
        <v>200.0</v>
      </c>
      <c r="E137" s="2">
        <v>1515739.0</v>
      </c>
      <c r="F137" s="2">
        <v>501758.0</v>
      </c>
      <c r="G137" s="3">
        <f t="shared" ref="G137:G138" si="79">E137+F137</f>
        <v>2017497</v>
      </c>
      <c r="H137" s="3">
        <f t="shared" ref="H137:H138" si="80">100-ABS($M$137-G137)/G137*100</f>
        <v>99.13273725</v>
      </c>
      <c r="I137" s="3">
        <f t="shared" ref="I137:I138" si="81">100-ABS($M$138-G137)/G137*100</f>
        <v>74.34955294</v>
      </c>
      <c r="J137" s="2" t="s">
        <v>23</v>
      </c>
      <c r="K137" s="3">
        <f>K134*L134/64*3*16/200</f>
        <v>1500000</v>
      </c>
      <c r="L137" s="3">
        <f>K134*L134/64*16/200</f>
        <v>500000</v>
      </c>
      <c r="M137" s="3">
        <f t="shared" ref="M137:M138" si="82">K137+L137</f>
        <v>2000000</v>
      </c>
    </row>
    <row r="138">
      <c r="A138" s="2" t="s">
        <v>22</v>
      </c>
      <c r="B138" s="2" t="s">
        <v>14</v>
      </c>
      <c r="C138" s="2" t="s">
        <v>13</v>
      </c>
      <c r="D138" s="2">
        <v>200.0</v>
      </c>
      <c r="E138" s="2">
        <v>1515772.0</v>
      </c>
      <c r="F138" s="2">
        <v>503396.0</v>
      </c>
      <c r="G138" s="3">
        <f t="shared" si="79"/>
        <v>2019168</v>
      </c>
      <c r="H138" s="3">
        <f t="shared" si="80"/>
        <v>99.05069811</v>
      </c>
      <c r="I138" s="3">
        <f t="shared" si="81"/>
        <v>74.28802358</v>
      </c>
      <c r="J138" s="2" t="s">
        <v>3</v>
      </c>
      <c r="K138" s="3">
        <f>K134*L134/64*16/200*2</f>
        <v>1000000</v>
      </c>
      <c r="L138" s="3">
        <f>L137</f>
        <v>500000</v>
      </c>
      <c r="M138" s="3">
        <f t="shared" si="82"/>
        <v>1500000</v>
      </c>
    </row>
    <row r="140">
      <c r="A140" s="2" t="s">
        <v>15</v>
      </c>
      <c r="B140" s="2" t="s">
        <v>12</v>
      </c>
      <c r="C140" s="2" t="s">
        <v>13</v>
      </c>
      <c r="D140" s="2">
        <v>200.0</v>
      </c>
      <c r="E140" s="2">
        <v>1502075.0</v>
      </c>
      <c r="F140" s="2">
        <v>502152.0</v>
      </c>
      <c r="G140" s="3">
        <f t="shared" ref="G140:G141" si="83">E140+F140</f>
        <v>2004227</v>
      </c>
      <c r="H140" s="3">
        <f t="shared" ref="H140:H141" si="84">100-ABS($M$137-G140)/G140*100</f>
        <v>99.78909575</v>
      </c>
      <c r="I140" s="3">
        <f t="shared" ref="I140:I141" si="85">100-ABS($M$138-G140)/G140*100</f>
        <v>74.84182181</v>
      </c>
    </row>
    <row r="141">
      <c r="A141" s="2" t="s">
        <v>15</v>
      </c>
      <c r="B141" s="2" t="s">
        <v>14</v>
      </c>
      <c r="C141" s="2" t="s">
        <v>13</v>
      </c>
      <c r="D141" s="2">
        <v>200.0</v>
      </c>
      <c r="E141" s="2">
        <v>1504373.0</v>
      </c>
      <c r="F141" s="2">
        <v>505906.0</v>
      </c>
      <c r="G141" s="3">
        <f t="shared" si="83"/>
        <v>2010279</v>
      </c>
      <c r="H141" s="3">
        <f t="shared" si="84"/>
        <v>99.48867794</v>
      </c>
      <c r="I141" s="3">
        <f t="shared" si="85"/>
        <v>74.61650845</v>
      </c>
    </row>
    <row r="143">
      <c r="D143" s="3" t="str">
        <f>"map=["&amp;H128&amp;", "&amp;H129&amp;", "&amp;H131&amp;", "&amp;H132&amp;", "&amp;H134&amp;", "&amp;H135&amp;", "&amp;H137&amp;", "&amp;H138&amp;"]"</f>
        <v>map=[85.6369310978098, 85.6235858729646, 99.6338952518969, 99.4385698347132, 99.6756057411155, 99.6193048266051, 99.1327372481843, 99.0506981093203]</v>
      </c>
    </row>
    <row r="144">
      <c r="D144" s="3" t="str">
        <f>"lit=["&amp;I128&amp;", "&amp;I129&amp;", "&amp;I131&amp;", "&amp;I132&amp;", "&amp;I134&amp;", "&amp;I135&amp;", "&amp;I137&amp;", "&amp;I138&amp;"]"</f>
        <v>lit=[64.2276983233574, 64.2176894047234, 74.7254214389227, 74.5789273760349, 74.7567043058367, 74.7144786199538, 74.3495529361382, 74.2880235819902]</v>
      </c>
    </row>
    <row r="150">
      <c r="D150" s="3" t="str">
        <f>"total=["&amp;M137&amp;", "&amp;M138&amp;", "&amp;G128&amp;", "&amp;G129&amp;", "&amp;G131&amp;", "&amp;G132&amp;", "&amp;G134&amp;", "&amp;G135&amp;"]"</f>
        <v>total=[2000000, 1500000, 2335441, 2335805, 2007349, 2011292, 2006509, 2007643]</v>
      </c>
    </row>
    <row r="155">
      <c r="A155" s="2" t="s">
        <v>33</v>
      </c>
      <c r="D155" s="2" t="s">
        <v>34</v>
      </c>
      <c r="E155" s="2">
        <v>1.0</v>
      </c>
      <c r="F155" s="2">
        <v>1713800.0</v>
      </c>
      <c r="G155" s="2">
        <v>398826.0</v>
      </c>
      <c r="O155" s="2" t="s">
        <v>35</v>
      </c>
      <c r="R155" s="2" t="s">
        <v>34</v>
      </c>
      <c r="S155" s="2">
        <v>1.0</v>
      </c>
      <c r="T155" s="2">
        <v>1713800.0</v>
      </c>
      <c r="U155" s="2">
        <v>398826.0</v>
      </c>
    </row>
    <row r="156">
      <c r="E156" s="2">
        <v>534214.0</v>
      </c>
      <c r="I156" s="2">
        <v>4000000.0</v>
      </c>
      <c r="J156" s="3">
        <f>LOG(I156)</f>
        <v>6.602059991</v>
      </c>
      <c r="K156" s="3">
        <f>J156*100000</f>
        <v>660205.9991</v>
      </c>
      <c r="L156" s="3">
        <f>K156*3</f>
        <v>1980617.997</v>
      </c>
      <c r="W156" s="2">
        <v>4000000.0</v>
      </c>
      <c r="X156" s="3">
        <f>LOG(W156)</f>
        <v>6.602059991</v>
      </c>
      <c r="Y156" s="3">
        <f>X156*100000</f>
        <v>660205.9991</v>
      </c>
      <c r="Z156" s="3">
        <f>Y156*3</f>
        <v>1980617.997</v>
      </c>
    </row>
    <row r="158">
      <c r="B158" s="2" t="s">
        <v>36</v>
      </c>
      <c r="H158" s="2" t="s">
        <v>2</v>
      </c>
      <c r="I158" s="2" t="s">
        <v>3</v>
      </c>
      <c r="P158" s="2" t="s">
        <v>36</v>
      </c>
      <c r="V158" s="2" t="s">
        <v>2</v>
      </c>
      <c r="W158" s="2" t="s">
        <v>3</v>
      </c>
    </row>
    <row r="159">
      <c r="C159" s="2" t="s">
        <v>4</v>
      </c>
      <c r="D159" s="2" t="s">
        <v>5</v>
      </c>
      <c r="H159" s="3">
        <f t="shared" ref="H159:I159" si="86">(H161+H164+H167+H170)/4</f>
        <v>70.68630139</v>
      </c>
      <c r="I159" s="3">
        <f t="shared" si="86"/>
        <v>-589.0097572</v>
      </c>
      <c r="Q159" s="2" t="s">
        <v>4</v>
      </c>
      <c r="R159" s="2" t="s">
        <v>5</v>
      </c>
      <c r="V159" s="3">
        <f t="shared" ref="V159:W159" si="87">(V161+V164+V167)/3</f>
        <v>-1173.947426</v>
      </c>
      <c r="W159" s="3">
        <f t="shared" si="87"/>
        <v>-716.412418</v>
      </c>
    </row>
    <row r="160">
      <c r="E160" s="2" t="s">
        <v>7</v>
      </c>
      <c r="F160" s="2" t="s">
        <v>8</v>
      </c>
      <c r="G160" s="2" t="s">
        <v>21</v>
      </c>
      <c r="H160" s="3">
        <f t="shared" ref="H160:I160" si="88">(H162+H165+H168+H171)/4</f>
        <v>56.66427619</v>
      </c>
      <c r="I160" s="3">
        <f t="shared" si="88"/>
        <v>-455.4113257</v>
      </c>
      <c r="J160" s="2">
        <v>4096.0</v>
      </c>
      <c r="K160" s="2">
        <v>4096.0</v>
      </c>
      <c r="S160" s="2" t="s">
        <v>7</v>
      </c>
      <c r="T160" s="2" t="s">
        <v>8</v>
      </c>
      <c r="U160" s="2" t="s">
        <v>21</v>
      </c>
      <c r="V160" s="3">
        <f t="shared" ref="V160:W160" si="89">(V162+V165+V168)/3</f>
        <v>-957.0936098</v>
      </c>
      <c r="W160" s="3">
        <f t="shared" si="89"/>
        <v>-571.7725819</v>
      </c>
      <c r="X160" s="2">
        <v>4096.0</v>
      </c>
      <c r="Y160" s="2">
        <v>4096.0</v>
      </c>
    </row>
    <row r="161">
      <c r="A161" s="2" t="s">
        <v>11</v>
      </c>
      <c r="B161" s="2" t="s">
        <v>12</v>
      </c>
      <c r="C161" s="2" t="s">
        <v>34</v>
      </c>
      <c r="D161" s="2">
        <v>1.0</v>
      </c>
      <c r="E161" s="2">
        <v>426155.0</v>
      </c>
      <c r="G161" s="3">
        <f t="shared" ref="G161:G162" si="90">E161+F161</f>
        <v>426155</v>
      </c>
      <c r="H161" s="3">
        <f t="shared" ref="H161:H162" si="91">100-ABS($M$170-G161)/G161*100</f>
        <v>61.88821813</v>
      </c>
      <c r="I161" s="3">
        <f t="shared" ref="I161:I162" si="92">100-ABS($M$78-G161)/G161*100</f>
        <v>-784.2202954</v>
      </c>
      <c r="O161" s="2" t="s">
        <v>11</v>
      </c>
      <c r="P161" s="2" t="s">
        <v>12</v>
      </c>
      <c r="Q161" s="2" t="s">
        <v>34</v>
      </c>
      <c r="R161" s="2">
        <v>1.0</v>
      </c>
      <c r="S161" s="2">
        <v>426155.0</v>
      </c>
      <c r="U161" s="3">
        <f t="shared" ref="U161:U162" si="93">S161+T161</f>
        <v>426155</v>
      </c>
      <c r="V161" s="3">
        <f t="shared" ref="V161:V162" si="94">100-ABS($M$77-U161)/U161*100</f>
        <v>-1275.609579</v>
      </c>
      <c r="W161" s="3">
        <f t="shared" ref="W161:W162" si="95">100-ABS($M$78-U161)/U161*100</f>
        <v>-784.2202954</v>
      </c>
    </row>
    <row r="162">
      <c r="A162" s="2" t="s">
        <v>11</v>
      </c>
      <c r="B162" s="2" t="s">
        <v>14</v>
      </c>
      <c r="C162" s="2" t="s">
        <v>34</v>
      </c>
      <c r="D162" s="2">
        <v>1.0</v>
      </c>
      <c r="E162" s="2">
        <v>472839.0</v>
      </c>
      <c r="G162" s="3">
        <f t="shared" si="90"/>
        <v>472839</v>
      </c>
      <c r="H162" s="3">
        <f t="shared" si="91"/>
        <v>75.52417122</v>
      </c>
      <c r="I162" s="3">
        <f t="shared" si="92"/>
        <v>-687.0469652</v>
      </c>
      <c r="O162" s="2" t="s">
        <v>11</v>
      </c>
      <c r="P162" s="2" t="s">
        <v>14</v>
      </c>
      <c r="Q162" s="2" t="s">
        <v>34</v>
      </c>
      <c r="R162" s="2">
        <v>1.0</v>
      </c>
      <c r="S162" s="2">
        <v>472839.0</v>
      </c>
      <c r="U162" s="3">
        <f t="shared" si="93"/>
        <v>472839</v>
      </c>
      <c r="V162" s="3">
        <f t="shared" si="94"/>
        <v>-1129.920755</v>
      </c>
      <c r="W162" s="3">
        <f t="shared" si="95"/>
        <v>-687.0469652</v>
      </c>
    </row>
    <row r="163">
      <c r="J163" s="3">
        <f>(H162+H168)/2</f>
        <v>64.6929701</v>
      </c>
      <c r="X163" s="3">
        <f>(V162+V168)/2</f>
        <v>-1262.810577</v>
      </c>
    </row>
    <row r="164">
      <c r="A164" s="2" t="s">
        <v>15</v>
      </c>
      <c r="B164" s="2" t="s">
        <v>12</v>
      </c>
      <c r="C164" s="2" t="s">
        <v>13</v>
      </c>
      <c r="D164" s="2">
        <v>1.0</v>
      </c>
      <c r="E164" s="2">
        <v>534214.0</v>
      </c>
      <c r="G164" s="3">
        <f t="shared" ref="G164:G165" si="96">E164+F164</f>
        <v>534214</v>
      </c>
      <c r="H164" s="3">
        <f t="shared" ref="H164:H165" si="97">100-ABS($M$170-G164)/G164*100</f>
        <v>89.82500196</v>
      </c>
      <c r="I164" s="3">
        <f t="shared" ref="I164:I165" si="98">100-ABS($M$78-G164)/G164*100</f>
        <v>-585.1355449</v>
      </c>
      <c r="O164" s="2" t="s">
        <v>15</v>
      </c>
      <c r="P164" s="2" t="s">
        <v>12</v>
      </c>
      <c r="Q164" s="2" t="s">
        <v>13</v>
      </c>
      <c r="R164" s="2">
        <v>1.0</v>
      </c>
      <c r="S164" s="2">
        <v>534214.0</v>
      </c>
      <c r="U164" s="3">
        <f t="shared" ref="U164:U165" si="99">S164+T164</f>
        <v>534214</v>
      </c>
      <c r="V164" s="3">
        <f t="shared" ref="V164:V165" si="100">100-ABS($M$77-U164)/U164*100</f>
        <v>-977.1282669</v>
      </c>
      <c r="W164" s="3">
        <f t="shared" ref="W164:W165" si="101">100-ABS($M$78-U164)/U164*100</f>
        <v>-585.1355449</v>
      </c>
    </row>
    <row r="165">
      <c r="A165" s="2" t="s">
        <v>15</v>
      </c>
      <c r="B165" s="2" t="s">
        <v>14</v>
      </c>
      <c r="C165" s="2" t="s">
        <v>13</v>
      </c>
      <c r="D165" s="2">
        <v>1.0</v>
      </c>
      <c r="E165" s="2">
        <v>1152437.0</v>
      </c>
      <c r="G165" s="3">
        <f t="shared" si="96"/>
        <v>1152437</v>
      </c>
      <c r="H165" s="3">
        <f t="shared" si="97"/>
        <v>51.07179516</v>
      </c>
      <c r="I165" s="3">
        <f t="shared" si="98"/>
        <v>-163.9508277</v>
      </c>
      <c r="O165" s="2" t="s">
        <v>15</v>
      </c>
      <c r="P165" s="2" t="s">
        <v>14</v>
      </c>
      <c r="Q165" s="2" t="s">
        <v>13</v>
      </c>
      <c r="R165" s="2">
        <v>1.0</v>
      </c>
      <c r="S165" s="2">
        <v>1152437.0</v>
      </c>
      <c r="U165" s="3">
        <f t="shared" si="99"/>
        <v>1152437</v>
      </c>
      <c r="V165" s="3">
        <f t="shared" si="100"/>
        <v>-345.659676</v>
      </c>
      <c r="W165" s="3">
        <f t="shared" si="101"/>
        <v>-163.9508277</v>
      </c>
    </row>
    <row r="166">
      <c r="K166" s="2" t="s">
        <v>16</v>
      </c>
      <c r="L166" s="2" t="s">
        <v>17</v>
      </c>
      <c r="Y166" s="2" t="s">
        <v>16</v>
      </c>
      <c r="Z166" s="2" t="s">
        <v>17</v>
      </c>
    </row>
    <row r="167">
      <c r="A167" s="2" t="s">
        <v>18</v>
      </c>
      <c r="B167" s="2" t="s">
        <v>12</v>
      </c>
      <c r="C167" s="2" t="s">
        <v>13</v>
      </c>
      <c r="D167" s="2">
        <v>1.0</v>
      </c>
      <c r="E167" s="2">
        <v>446638.0</v>
      </c>
      <c r="G167" s="3">
        <f t="shared" ref="G167:G168" si="102">E167+F167</f>
        <v>446638</v>
      </c>
      <c r="H167" s="3">
        <f t="shared" ref="H167:H168" si="103">100-ABS($M$170-G167)/G167*100</f>
        <v>68.22208051</v>
      </c>
      <c r="I167" s="3">
        <f t="shared" ref="I167:I168" si="104">100-ABS($M$78-G167)/G167*100</f>
        <v>-739.0835531</v>
      </c>
      <c r="K167" s="2">
        <v>1.0E8</v>
      </c>
      <c r="L167" s="2">
        <v>4.0</v>
      </c>
      <c r="O167" s="2" t="s">
        <v>18</v>
      </c>
      <c r="P167" s="2" t="s">
        <v>12</v>
      </c>
      <c r="Q167" s="2" t="s">
        <v>13</v>
      </c>
      <c r="R167" s="2">
        <v>1.0</v>
      </c>
      <c r="S167" s="2">
        <v>428042.0</v>
      </c>
      <c r="U167" s="3">
        <f t="shared" ref="U167:U168" si="105">S167+T167</f>
        <v>428042</v>
      </c>
      <c r="V167" s="3">
        <f t="shared" ref="V167:V168" si="106">100-ABS($M$77-U167)/U167*100</f>
        <v>-1269.104434</v>
      </c>
      <c r="W167" s="3">
        <f t="shared" ref="W167:W168" si="107">100-ABS($M$78-U167)/U167*100</f>
        <v>-779.8814135</v>
      </c>
      <c r="Y167" s="2">
        <v>1.0E8</v>
      </c>
      <c r="Z167" s="2">
        <v>4.0</v>
      </c>
    </row>
    <row r="168">
      <c r="A168" s="2" t="s">
        <v>18</v>
      </c>
      <c r="B168" s="2" t="s">
        <v>14</v>
      </c>
      <c r="C168" s="2" t="s">
        <v>13</v>
      </c>
      <c r="D168" s="2">
        <v>1.0</v>
      </c>
      <c r="E168" s="2">
        <v>402749.0</v>
      </c>
      <c r="G168" s="3">
        <f t="shared" si="102"/>
        <v>402749</v>
      </c>
      <c r="H168" s="3">
        <f t="shared" si="103"/>
        <v>53.86176898</v>
      </c>
      <c r="I168" s="3">
        <f t="shared" si="104"/>
        <v>-841.418849</v>
      </c>
      <c r="O168" s="2" t="s">
        <v>18</v>
      </c>
      <c r="P168" s="2" t="s">
        <v>14</v>
      </c>
      <c r="Q168" s="2" t="s">
        <v>13</v>
      </c>
      <c r="R168" s="2">
        <v>1.0</v>
      </c>
      <c r="S168" s="2">
        <v>394083.0</v>
      </c>
      <c r="U168" s="3">
        <f t="shared" si="105"/>
        <v>394083</v>
      </c>
      <c r="V168" s="3">
        <f t="shared" si="106"/>
        <v>-1395.700398</v>
      </c>
      <c r="W168" s="3">
        <f t="shared" si="107"/>
        <v>-864.3199529</v>
      </c>
    </row>
    <row r="169">
      <c r="K169" s="2" t="s">
        <v>19</v>
      </c>
      <c r="L169" s="2" t="s">
        <v>20</v>
      </c>
      <c r="M169" s="2" t="s">
        <v>21</v>
      </c>
      <c r="Y169" s="2" t="s">
        <v>19</v>
      </c>
      <c r="Z169" s="2" t="s">
        <v>20</v>
      </c>
      <c r="AA169" s="2" t="s">
        <v>21</v>
      </c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>
      <c r="A170" s="2" t="s">
        <v>22</v>
      </c>
      <c r="B170" s="2" t="s">
        <v>12</v>
      </c>
      <c r="C170" s="2" t="s">
        <v>13</v>
      </c>
      <c r="D170" s="2">
        <v>1.0</v>
      </c>
      <c r="E170" s="2">
        <v>937066.0</v>
      </c>
      <c r="G170" s="3">
        <f t="shared" ref="G170:G171" si="108">E170+F170</f>
        <v>937066</v>
      </c>
      <c r="H170" s="3">
        <f t="shared" ref="H170:H171" si="109">100-ABS($M$170-G170)/G170*100</f>
        <v>62.80990496</v>
      </c>
      <c r="I170" s="3">
        <f t="shared" ref="I170:I171" si="110">100-ABS($M$78-G170)/G170*100</f>
        <v>-247.5996355</v>
      </c>
      <c r="J170" s="2" t="s">
        <v>23</v>
      </c>
      <c r="K170" s="3">
        <v>588570.2640307106</v>
      </c>
      <c r="M170" s="3">
        <f t="shared" ref="M170:M171" si="111">K170+L170</f>
        <v>588570.264</v>
      </c>
      <c r="O170" s="2" t="s">
        <v>37</v>
      </c>
      <c r="P170" s="2" t="s">
        <v>12</v>
      </c>
      <c r="Q170" s="2" t="s">
        <v>13</v>
      </c>
      <c r="R170" s="2">
        <v>1.0</v>
      </c>
      <c r="U170" s="3">
        <f t="shared" ref="U170:U171" si="112">S170+T170</f>
        <v>0</v>
      </c>
      <c r="V170" s="3" t="str">
        <f t="shared" ref="V170:V171" si="113">100-ABS($M$77-U170)/U170*100</f>
        <v>#DIV/0!</v>
      </c>
      <c r="W170" s="3" t="str">
        <f t="shared" ref="W170:W171" si="114">100-ABS($M$78-U170)/U170*100</f>
        <v>#DIV/0!</v>
      </c>
      <c r="X170" s="2" t="s">
        <v>23</v>
      </c>
      <c r="Y170" s="3">
        <v>588570.2640307106</v>
      </c>
      <c r="AA170" s="3">
        <f t="shared" ref="AA170:AA171" si="115">Y170+Z170</f>
        <v>588570.264</v>
      </c>
    </row>
    <row r="171">
      <c r="A171" s="2" t="s">
        <v>22</v>
      </c>
      <c r="B171" s="2" t="s">
        <v>14</v>
      </c>
      <c r="C171" s="2" t="s">
        <v>13</v>
      </c>
      <c r="D171" s="2">
        <v>1.0</v>
      </c>
      <c r="E171" s="2">
        <v>1273979.0</v>
      </c>
      <c r="G171" s="3">
        <f t="shared" si="108"/>
        <v>1273979</v>
      </c>
      <c r="H171" s="3">
        <f t="shared" si="109"/>
        <v>46.19936938</v>
      </c>
      <c r="I171" s="3">
        <f t="shared" si="110"/>
        <v>-129.2286608</v>
      </c>
      <c r="J171" s="2" t="s">
        <v>3</v>
      </c>
      <c r="K171" s="2">
        <v>0.0</v>
      </c>
      <c r="M171" s="3">
        <f t="shared" si="111"/>
        <v>0</v>
      </c>
      <c r="O171" s="2" t="s">
        <v>37</v>
      </c>
      <c r="P171" s="2" t="s">
        <v>14</v>
      </c>
      <c r="Q171" s="2" t="s">
        <v>13</v>
      </c>
      <c r="R171" s="2">
        <v>1.0</v>
      </c>
      <c r="U171" s="3">
        <f t="shared" si="112"/>
        <v>0</v>
      </c>
      <c r="V171" s="3" t="str">
        <f t="shared" si="113"/>
        <v>#DIV/0!</v>
      </c>
      <c r="W171" s="3" t="str">
        <f t="shared" si="114"/>
        <v>#DIV/0!</v>
      </c>
      <c r="X171" s="2" t="s">
        <v>3</v>
      </c>
      <c r="Y171" s="3">
        <f>Y167*Z167/64*16/200*2</f>
        <v>1000000</v>
      </c>
      <c r="AA171" s="3">
        <f t="shared" si="115"/>
        <v>1000000</v>
      </c>
    </row>
    <row r="173">
      <c r="A173" s="2" t="s">
        <v>37</v>
      </c>
      <c r="B173" s="2" t="s">
        <v>12</v>
      </c>
      <c r="C173" s="2" t="s">
        <v>13</v>
      </c>
      <c r="D173" s="2">
        <v>1.0</v>
      </c>
      <c r="E173" s="2">
        <v>575884.0</v>
      </c>
      <c r="G173" s="3">
        <f t="shared" ref="G173:G174" si="116">E173+F173</f>
        <v>575884</v>
      </c>
      <c r="H173" s="3">
        <f t="shared" ref="H173:H174" si="117">100-ABS($M$170-G173)/G173*100</f>
        <v>97.79707996</v>
      </c>
      <c r="I173" s="3">
        <f t="shared" ref="I173:I174" si="118">100-ABS($M$78-G173)/G173*100</f>
        <v>-528.3244542</v>
      </c>
      <c r="K173" s="3">
        <v>588570.2640307106</v>
      </c>
      <c r="O173" s="2" t="s">
        <v>22</v>
      </c>
      <c r="P173" s="2" t="s">
        <v>12</v>
      </c>
      <c r="Q173" s="2" t="s">
        <v>13</v>
      </c>
      <c r="R173" s="2">
        <v>1.0</v>
      </c>
      <c r="U173" s="3">
        <f t="shared" ref="U173:U174" si="119">S173+T173</f>
        <v>0</v>
      </c>
      <c r="V173" s="3" t="str">
        <f t="shared" ref="V173:V174" si="120">100-ABS($M$77-U173)/U173*100</f>
        <v>#DIV/0!</v>
      </c>
      <c r="W173" s="3" t="str">
        <f t="shared" ref="W173:W174" si="121">100-ABS($M$78-U173)/U173*100</f>
        <v>#DIV/0!</v>
      </c>
    </row>
    <row r="174">
      <c r="A174" s="2" t="s">
        <v>37</v>
      </c>
      <c r="B174" s="2" t="s">
        <v>14</v>
      </c>
      <c r="C174" s="2" t="s">
        <v>13</v>
      </c>
      <c r="D174" s="2">
        <v>1.0</v>
      </c>
      <c r="E174" s="2">
        <v>1428577.0</v>
      </c>
      <c r="G174" s="3">
        <f t="shared" si="116"/>
        <v>1428577</v>
      </c>
      <c r="H174" s="3">
        <f t="shared" si="117"/>
        <v>41.1997578</v>
      </c>
      <c r="I174" s="3">
        <f t="shared" si="118"/>
        <v>-93.60013496</v>
      </c>
      <c r="K174" s="3">
        <v>529713.2376276394</v>
      </c>
      <c r="O174" s="2" t="s">
        <v>22</v>
      </c>
      <c r="P174" s="2" t="s">
        <v>14</v>
      </c>
      <c r="Q174" s="2" t="s">
        <v>13</v>
      </c>
      <c r="R174" s="2">
        <v>1.0</v>
      </c>
      <c r="U174" s="3">
        <f t="shared" si="119"/>
        <v>0</v>
      </c>
      <c r="V174" s="3" t="str">
        <f t="shared" si="120"/>
        <v>#DIV/0!</v>
      </c>
      <c r="W174" s="3" t="str">
        <f t="shared" si="121"/>
        <v>#DIV/0!</v>
      </c>
    </row>
    <row r="175">
      <c r="H175" s="3">
        <f>LOG(768604)</f>
        <v>5.88570264</v>
      </c>
      <c r="V175" s="3">
        <f>LOG(768604)</f>
        <v>5.88570264</v>
      </c>
    </row>
    <row r="176">
      <c r="D176" s="3" t="str">
        <f>"map=["&amp;H161&amp;", "&amp;H162&amp;", "&amp;H164&amp;", "&amp;H165&amp;", "&amp;H167&amp;", "&amp;H168&amp;", "&amp;H170&amp;", "&amp;H171&amp;"]"</f>
        <v>map=[61.8882181293871, 75.5241712230356, 89.8250019597557, 51.0717951637018, 68.2220805147098, 53.8617689849731, 62.8099049619462, 46.1993693797708]</v>
      </c>
    </row>
    <row r="177">
      <c r="D177" s="3" t="str">
        <f>"lit=["&amp;I161&amp;", "&amp;I162&amp;", "&amp;I164&amp;", "&amp;I165&amp;", "&amp;I167&amp;", "&amp;I168&amp;", "&amp;I170&amp;", "&amp;I171&amp;"]"</f>
        <v>lit=[-784.220295432413, -687.046965246099, -585.135544931432, -163.950827680819, -739.083553123559, -841.418848960519, -247.599635457908, -129.228660755005]</v>
      </c>
    </row>
    <row r="183">
      <c r="D183" s="3" t="str">
        <f>"total=["&amp;M170&amp;", "&amp;M171&amp;", "&amp;G161&amp;", "&amp;G162&amp;", "&amp;G164&amp;", "&amp;G165&amp;", "&amp;G167&amp;", "&amp;G168&amp;"]"</f>
        <v>total=[588570.264030711, 0, 426155, 472839, 534214, 1152437, 446638, 402749]</v>
      </c>
      <c r="L183" s="2" t="s">
        <v>38</v>
      </c>
      <c r="M183" s="7">
        <v>588570.2640307107</v>
      </c>
      <c r="N183" s="3">
        <f>M183*64</f>
        <v>37668496.9</v>
      </c>
      <c r="R183" s="3" t="str">
        <f>"total=["&amp;AA170&amp;", "&amp;AA171&amp;", "&amp;U161&amp;", "&amp;U162&amp;", "&amp;U164&amp;", "&amp;U165&amp;", "&amp;U167&amp;", "&amp;U168&amp;"]"</f>
        <v>total=[588570.264030711, 1000000, 426155, 472839, 534214, 1152437, 428042, 394083]</v>
      </c>
    </row>
    <row r="184">
      <c r="L184" s="2" t="s">
        <v>39</v>
      </c>
      <c r="M184" s="2">
        <v>64.0</v>
      </c>
    </row>
    <row r="185">
      <c r="F185" s="2">
        <v>240.0</v>
      </c>
      <c r="G185" s="3">
        <f>F185*F190</f>
        <v>251658240</v>
      </c>
      <c r="H185" s="3">
        <f>E187/G185</f>
        <v>0.02443326314</v>
      </c>
      <c r="I185" s="3">
        <f>E192/G185</f>
        <v>0.1666666667</v>
      </c>
      <c r="J185" s="3">
        <f>H185*I185</f>
        <v>0.004072210524</v>
      </c>
      <c r="L185" s="2" t="s">
        <v>40</v>
      </c>
      <c r="M185" s="3">
        <f>30*1024*1024</f>
        <v>31457280</v>
      </c>
    </row>
    <row r="186">
      <c r="L186" s="2" t="s">
        <v>41</v>
      </c>
      <c r="M186" s="3">
        <f>M185/M184</f>
        <v>491520</v>
      </c>
    </row>
    <row r="187">
      <c r="A187" s="3">
        <f>LOG(D187)</f>
        <v>5.88570264</v>
      </c>
      <c r="B187" s="3">
        <f>A187*90000</f>
        <v>529713.2376</v>
      </c>
      <c r="D187" s="8">
        <v>768604.0</v>
      </c>
      <c r="E187" s="3">
        <f>D187*8</f>
        <v>6148832</v>
      </c>
      <c r="F187" s="3">
        <f>E187/F190</f>
        <v>5.863983154</v>
      </c>
      <c r="I187" s="3">
        <f>D190/D187</f>
        <v>0.7657652888</v>
      </c>
    </row>
    <row r="188">
      <c r="F188" s="2">
        <v>477873.0</v>
      </c>
    </row>
    <row r="189">
      <c r="D189" s="3">
        <f>log(D187)</f>
        <v>5.88570264</v>
      </c>
    </row>
    <row r="190">
      <c r="D190" s="3">
        <f>D189*100000</f>
        <v>588570.264</v>
      </c>
      <c r="E190" s="3">
        <f>D190*64</f>
        <v>37668496.9</v>
      </c>
      <c r="F190" s="9">
        <v>1048576.0</v>
      </c>
      <c r="G190" s="3">
        <f>E190/F190</f>
        <v>35.92347803</v>
      </c>
    </row>
    <row r="191">
      <c r="D191" s="2" t="s">
        <v>42</v>
      </c>
    </row>
    <row r="192">
      <c r="C192" s="2" t="s">
        <v>43</v>
      </c>
      <c r="D192" s="2">
        <v>40.0</v>
      </c>
      <c r="E192" s="3">
        <f t="shared" ref="E192:E194" si="122">D192*$F$190</f>
        <v>41943040</v>
      </c>
    </row>
    <row r="193">
      <c r="C193" s="2" t="s">
        <v>44</v>
      </c>
      <c r="D193" s="2">
        <v>14.0</v>
      </c>
      <c r="E193" s="3">
        <f t="shared" si="122"/>
        <v>14680064</v>
      </c>
    </row>
    <row r="194">
      <c r="C194" s="2" t="s">
        <v>45</v>
      </c>
      <c r="D194" s="2">
        <v>28.0</v>
      </c>
      <c r="E194" s="3">
        <f t="shared" si="122"/>
        <v>29360128</v>
      </c>
    </row>
    <row r="195">
      <c r="K195" s="2">
        <v>102.0</v>
      </c>
    </row>
    <row r="196">
      <c r="A196" s="2">
        <v>400.0</v>
      </c>
      <c r="B196" s="2"/>
      <c r="C196" s="3">
        <f>A196*A196*A196</f>
        <v>64000000</v>
      </c>
    </row>
    <row r="198">
      <c r="C198" s="2" t="s">
        <v>46</v>
      </c>
      <c r="Z198" s="2" t="s">
        <v>46</v>
      </c>
    </row>
    <row r="199">
      <c r="B199" s="2" t="s">
        <v>47</v>
      </c>
      <c r="Y199" s="2" t="s">
        <v>47</v>
      </c>
    </row>
    <row r="200">
      <c r="D200" s="10" t="s">
        <v>48</v>
      </c>
      <c r="E200" s="11"/>
      <c r="F200" s="12"/>
      <c r="G200" s="10" t="s">
        <v>49</v>
      </c>
      <c r="H200" s="11"/>
      <c r="I200" s="12"/>
      <c r="J200" s="10" t="s">
        <v>50</v>
      </c>
      <c r="K200" s="12"/>
      <c r="L200" s="10" t="s">
        <v>51</v>
      </c>
      <c r="M200" s="12"/>
      <c r="AA200" s="10" t="s">
        <v>48</v>
      </c>
      <c r="AB200" s="11"/>
      <c r="AC200" s="12"/>
      <c r="AD200" s="10" t="s">
        <v>49</v>
      </c>
      <c r="AE200" s="11"/>
      <c r="AF200" s="12"/>
      <c r="AG200" s="10" t="s">
        <v>50</v>
      </c>
      <c r="AH200" s="12"/>
      <c r="AI200" s="10" t="s">
        <v>51</v>
      </c>
      <c r="AJ200" s="12"/>
    </row>
    <row r="201">
      <c r="C201" s="2" t="s">
        <v>52</v>
      </c>
      <c r="D201" s="2" t="s">
        <v>7</v>
      </c>
      <c r="E201" s="2" t="s">
        <v>53</v>
      </c>
      <c r="F201" s="2" t="s">
        <v>21</v>
      </c>
      <c r="G201" s="2" t="s">
        <v>7</v>
      </c>
      <c r="H201" s="2" t="s">
        <v>53</v>
      </c>
      <c r="I201" s="2" t="s">
        <v>21</v>
      </c>
      <c r="J201" s="2" t="s">
        <v>54</v>
      </c>
      <c r="K201" s="2" t="s">
        <v>55</v>
      </c>
      <c r="L201" s="2" t="s">
        <v>54</v>
      </c>
      <c r="M201" s="2" t="s">
        <v>55</v>
      </c>
      <c r="P201" s="13" t="s">
        <v>54</v>
      </c>
      <c r="Q201" s="13" t="s">
        <v>55</v>
      </c>
      <c r="Z201" s="2" t="s">
        <v>52</v>
      </c>
      <c r="AA201" s="2" t="s">
        <v>7</v>
      </c>
      <c r="AB201" s="2" t="s">
        <v>53</v>
      </c>
      <c r="AC201" s="2" t="s">
        <v>21</v>
      </c>
      <c r="AD201" s="2" t="s">
        <v>7</v>
      </c>
      <c r="AE201" s="2" t="s">
        <v>53</v>
      </c>
      <c r="AF201" s="2" t="s">
        <v>21</v>
      </c>
      <c r="AG201" s="2" t="s">
        <v>54</v>
      </c>
      <c r="AH201" s="2" t="s">
        <v>55</v>
      </c>
      <c r="AI201" s="2" t="s">
        <v>54</v>
      </c>
      <c r="AJ201" s="2" t="s">
        <v>55</v>
      </c>
      <c r="AM201" s="13" t="s">
        <v>54</v>
      </c>
      <c r="AN201" s="13" t="s">
        <v>55</v>
      </c>
    </row>
    <row r="202">
      <c r="C202" s="2" t="s">
        <v>56</v>
      </c>
      <c r="D202" s="2">
        <v>2323120.0</v>
      </c>
      <c r="E202" s="2">
        <v>3235742.0</v>
      </c>
      <c r="F202" s="3">
        <f t="shared" ref="F202:F221" si="123">D202+E202</f>
        <v>5558862</v>
      </c>
      <c r="G202" s="2">
        <v>4307133.0</v>
      </c>
      <c r="H202" s="2">
        <v>3253989.0</v>
      </c>
      <c r="I202" s="3">
        <f t="shared" ref="I202:I221" si="124">G202+H202</f>
        <v>7561122</v>
      </c>
      <c r="J202" s="2">
        <v>5145728.0</v>
      </c>
      <c r="K202" s="2">
        <v>8245728.0</v>
      </c>
      <c r="L202" s="3">
        <f t="shared" ref="L202:L221" si="125">100 - ((ABS(J202-F202))/F202*100)</f>
        <v>92.56801122</v>
      </c>
      <c r="M202" s="3">
        <f t="shared" ref="M202:M221" si="126">100 - ((ABS(I202-K202))/I202*100)</f>
        <v>90.94570885</v>
      </c>
      <c r="P202" s="3">
        <v>92.56801122244084</v>
      </c>
      <c r="Q202" s="3">
        <v>90.94570885114669</v>
      </c>
      <c r="Z202" s="2" t="s">
        <v>57</v>
      </c>
      <c r="AA202" s="2">
        <v>1.8574077E7</v>
      </c>
      <c r="AB202" s="2">
        <v>6161199.0</v>
      </c>
      <c r="AC202" s="3">
        <f t="shared" ref="AC202:AC221" si="127">AA202+AB202</f>
        <v>24735276</v>
      </c>
      <c r="AD202" s="2">
        <v>1.8736121E7</v>
      </c>
      <c r="AE202" s="2">
        <v>6178699.0</v>
      </c>
      <c r="AF202" s="3">
        <f t="shared" ref="AF202:AF221" si="128">AD202+AE202</f>
        <v>24914820</v>
      </c>
      <c r="AG202" s="2">
        <v>2.5E7</v>
      </c>
      <c r="AH202" s="2">
        <v>2.5E7</v>
      </c>
      <c r="AI202" s="3">
        <f t="shared" ref="AI202:AI221" si="129">100 - ((ABS(AG202-AC202))/AC202*100)</f>
        <v>98.92977139</v>
      </c>
      <c r="AJ202" s="3">
        <f t="shared" ref="AJ202:AJ221" si="130">100 - ((ABS(AF202-AH202))/AF202*100)</f>
        <v>99.65811513</v>
      </c>
      <c r="AM202" s="3">
        <v>98.92977139207987</v>
      </c>
      <c r="AN202" s="3">
        <v>99.6581151298705</v>
      </c>
    </row>
    <row r="203">
      <c r="C203" s="2" t="s">
        <v>58</v>
      </c>
      <c r="D203" s="2">
        <v>4643904.0</v>
      </c>
      <c r="E203" s="2">
        <v>6445389.0</v>
      </c>
      <c r="F203" s="3">
        <f t="shared" si="123"/>
        <v>11089293</v>
      </c>
      <c r="G203" s="2">
        <v>8549930.0</v>
      </c>
      <c r="H203" s="2">
        <v>6473367.0</v>
      </c>
      <c r="I203" s="3">
        <f t="shared" si="124"/>
        <v>15023297</v>
      </c>
      <c r="J203" s="3">
        <v>1.0258688E7</v>
      </c>
      <c r="K203" s="13">
        <v>1.6458688E7</v>
      </c>
      <c r="L203" s="3">
        <f t="shared" si="125"/>
        <v>92.50984711</v>
      </c>
      <c r="M203" s="3">
        <f t="shared" si="126"/>
        <v>90.44556598</v>
      </c>
      <c r="P203" s="3">
        <v>92.50984711108273</v>
      </c>
      <c r="Q203" s="3">
        <v>90.4455659766295</v>
      </c>
      <c r="Z203" s="2" t="s">
        <v>59</v>
      </c>
      <c r="AA203" s="2">
        <v>1.8581053E7</v>
      </c>
      <c r="AB203" s="2">
        <v>6212837.0</v>
      </c>
      <c r="AC203" s="3">
        <f t="shared" si="127"/>
        <v>24793890</v>
      </c>
      <c r="AD203" s="2">
        <v>1.864236E7</v>
      </c>
      <c r="AE203" s="2">
        <v>6185283.0</v>
      </c>
      <c r="AF203" s="3">
        <f t="shared" si="128"/>
        <v>24827643</v>
      </c>
      <c r="AG203" s="2">
        <v>2.5E7</v>
      </c>
      <c r="AH203" s="2">
        <v>2.5E7</v>
      </c>
      <c r="AI203" s="3">
        <f t="shared" si="129"/>
        <v>99.16870648</v>
      </c>
      <c r="AJ203" s="3">
        <f t="shared" si="130"/>
        <v>99.30578589</v>
      </c>
      <c r="AM203" s="3">
        <v>99.1687064837345</v>
      </c>
      <c r="AN203" s="3">
        <v>99.30578589357033</v>
      </c>
    </row>
    <row r="204">
      <c r="C204" s="2" t="s">
        <v>60</v>
      </c>
      <c r="D204" s="2">
        <v>9307562.0</v>
      </c>
      <c r="E204" s="2">
        <v>1.2876583E7</v>
      </c>
      <c r="F204" s="3">
        <f t="shared" si="123"/>
        <v>22184145</v>
      </c>
      <c r="G204" s="2">
        <v>1.726293E7</v>
      </c>
      <c r="H204" s="2">
        <v>1.2938744E7</v>
      </c>
      <c r="I204" s="3">
        <f t="shared" si="124"/>
        <v>30201674</v>
      </c>
      <c r="J204" s="2">
        <v>2.0517376E7</v>
      </c>
      <c r="K204" s="2">
        <v>3.2917376E7</v>
      </c>
      <c r="L204" s="3">
        <f t="shared" si="125"/>
        <v>92.48666559</v>
      </c>
      <c r="M204" s="3">
        <f t="shared" si="126"/>
        <v>91.0081077</v>
      </c>
      <c r="P204" s="3">
        <v>92.48666558932067</v>
      </c>
      <c r="Q204" s="3">
        <v>91.008107696282</v>
      </c>
      <c r="Z204" s="2" t="s">
        <v>61</v>
      </c>
      <c r="AA204" s="2">
        <v>2.7995276E7</v>
      </c>
      <c r="AB204" s="2">
        <v>9360468.0</v>
      </c>
      <c r="AC204" s="3">
        <f t="shared" si="127"/>
        <v>37355744</v>
      </c>
      <c r="AD204" s="2">
        <v>2.8083625E7</v>
      </c>
      <c r="AE204" s="2">
        <v>9313232.0</v>
      </c>
      <c r="AF204" s="3">
        <f t="shared" si="128"/>
        <v>37396857</v>
      </c>
      <c r="AG204" s="2">
        <v>3.75E7</v>
      </c>
      <c r="AH204" s="2">
        <v>3.75E7</v>
      </c>
      <c r="AI204" s="3">
        <f t="shared" si="129"/>
        <v>99.61383181</v>
      </c>
      <c r="AJ204" s="3">
        <f t="shared" si="130"/>
        <v>99.7241934</v>
      </c>
      <c r="AM204" s="3">
        <v>99.61383181124702</v>
      </c>
      <c r="AN204" s="3">
        <v>99.72419339946136</v>
      </c>
    </row>
    <row r="205">
      <c r="C205" s="2" t="s">
        <v>62</v>
      </c>
      <c r="D205" s="2">
        <v>758316.0</v>
      </c>
      <c r="E205" s="2">
        <v>254481.0</v>
      </c>
      <c r="F205" s="3">
        <f t="shared" si="123"/>
        <v>1012797</v>
      </c>
      <c r="G205" s="2">
        <v>759155.0</v>
      </c>
      <c r="H205" s="2">
        <v>253650.0</v>
      </c>
      <c r="I205" s="3">
        <f t="shared" si="124"/>
        <v>1012805</v>
      </c>
      <c r="J205" s="2">
        <v>1000000.0</v>
      </c>
      <c r="K205" s="2">
        <v>1000000.0</v>
      </c>
      <c r="L205" s="3">
        <f t="shared" si="125"/>
        <v>98.7364694</v>
      </c>
      <c r="M205" s="3">
        <f t="shared" si="126"/>
        <v>98.7356895</v>
      </c>
      <c r="P205" s="3">
        <v>98.73646940107444</v>
      </c>
      <c r="Q205" s="3">
        <v>98.73568949600367</v>
      </c>
      <c r="Z205" s="2" t="s">
        <v>63</v>
      </c>
      <c r="AA205" s="2">
        <v>1407053.0</v>
      </c>
      <c r="AB205" s="2">
        <v>1163539.0</v>
      </c>
      <c r="AC205" s="3">
        <f t="shared" si="127"/>
        <v>2570592</v>
      </c>
      <c r="AD205" s="2">
        <v>1218596.0</v>
      </c>
      <c r="AE205" s="2">
        <v>1167702.0</v>
      </c>
      <c r="AF205" s="3">
        <f t="shared" si="128"/>
        <v>2386298</v>
      </c>
      <c r="AG205" s="2">
        <v>2097152.0</v>
      </c>
      <c r="AH205" s="2">
        <v>2097152.0</v>
      </c>
      <c r="AI205" s="3">
        <f t="shared" si="129"/>
        <v>81.5824526</v>
      </c>
      <c r="AJ205" s="3">
        <f t="shared" si="130"/>
        <v>87.88307244</v>
      </c>
      <c r="AM205" s="3">
        <v>81.58245260235775</v>
      </c>
      <c r="AN205" s="3">
        <v>87.88307244107818</v>
      </c>
    </row>
    <row r="206">
      <c r="C206" s="2" t="s">
        <v>64</v>
      </c>
      <c r="D206" s="2">
        <v>1515739.0</v>
      </c>
      <c r="E206" s="2">
        <v>501758.0</v>
      </c>
      <c r="F206" s="3">
        <f t="shared" si="123"/>
        <v>2017497</v>
      </c>
      <c r="G206" s="2">
        <v>1515772.0</v>
      </c>
      <c r="H206" s="2">
        <v>503396.0</v>
      </c>
      <c r="I206" s="3">
        <f t="shared" si="124"/>
        <v>2019168</v>
      </c>
      <c r="J206" s="3">
        <v>2000000.0</v>
      </c>
      <c r="K206" s="3">
        <v>2000000.0</v>
      </c>
      <c r="L206" s="3">
        <f t="shared" si="125"/>
        <v>99.13273725</v>
      </c>
      <c r="M206" s="3">
        <f t="shared" si="126"/>
        <v>99.05069811</v>
      </c>
      <c r="P206" s="3">
        <v>99.13273724818426</v>
      </c>
      <c r="Q206" s="3">
        <v>99.05069810932028</v>
      </c>
      <c r="Z206" s="2" t="s">
        <v>65</v>
      </c>
      <c r="AA206" s="2">
        <v>5655726.0</v>
      </c>
      <c r="AB206" s="2">
        <v>4582670.0</v>
      </c>
      <c r="AC206" s="3">
        <f t="shared" si="127"/>
        <v>10238396</v>
      </c>
      <c r="AD206" s="2">
        <v>4837348.0</v>
      </c>
      <c r="AE206" s="2">
        <v>4590559.0</v>
      </c>
      <c r="AF206" s="3">
        <f t="shared" si="128"/>
        <v>9427907</v>
      </c>
      <c r="AG206" s="2">
        <v>8388608.0</v>
      </c>
      <c r="AH206" s="2">
        <v>8388608.0</v>
      </c>
      <c r="AI206" s="3">
        <f t="shared" si="129"/>
        <v>81.93283401</v>
      </c>
      <c r="AJ206" s="3">
        <f t="shared" si="130"/>
        <v>88.97635499</v>
      </c>
      <c r="AM206" s="3">
        <v>81.9328340103274</v>
      </c>
      <c r="AN206" s="3">
        <v>88.97635498525813</v>
      </c>
    </row>
    <row r="207">
      <c r="C207" s="2" t="s">
        <v>66</v>
      </c>
      <c r="D207" s="2">
        <v>3033393.0</v>
      </c>
      <c r="E207" s="2">
        <v>1008417.0</v>
      </c>
      <c r="F207" s="3">
        <f t="shared" si="123"/>
        <v>4041810</v>
      </c>
      <c r="G207" s="2">
        <v>3035312.0</v>
      </c>
      <c r="H207" s="2">
        <v>1009388.0</v>
      </c>
      <c r="I207" s="3">
        <f t="shared" si="124"/>
        <v>4044700</v>
      </c>
      <c r="J207" s="2">
        <v>4000000.0</v>
      </c>
      <c r="K207" s="2">
        <v>4000000.0</v>
      </c>
      <c r="L207" s="3">
        <f t="shared" si="125"/>
        <v>98.96556246</v>
      </c>
      <c r="M207" s="3">
        <f t="shared" si="126"/>
        <v>98.89485005</v>
      </c>
      <c r="P207" s="3">
        <v>98.96556245840354</v>
      </c>
      <c r="Q207" s="3">
        <v>98.89485005068362</v>
      </c>
      <c r="Z207" s="2" t="s">
        <v>67</v>
      </c>
      <c r="AA207" s="2">
        <v>2.2785303E7</v>
      </c>
      <c r="AB207" s="2">
        <v>1.8420446E7</v>
      </c>
      <c r="AC207" s="3">
        <f t="shared" si="127"/>
        <v>41205749</v>
      </c>
      <c r="AD207" s="2">
        <v>1.9472007E7</v>
      </c>
      <c r="AE207" s="2">
        <v>1.8375264E7</v>
      </c>
      <c r="AF207" s="3">
        <f t="shared" si="128"/>
        <v>37847271</v>
      </c>
      <c r="AG207" s="2">
        <v>3.3554432E7</v>
      </c>
      <c r="AH207" s="2">
        <v>3.3554432E7</v>
      </c>
      <c r="AI207" s="3">
        <f t="shared" si="129"/>
        <v>81.43143327</v>
      </c>
      <c r="AJ207" s="3">
        <f t="shared" si="130"/>
        <v>88.65746754</v>
      </c>
      <c r="AM207" s="3">
        <v>81.43143326917804</v>
      </c>
      <c r="AN207" s="3">
        <v>88.65746753577028</v>
      </c>
    </row>
    <row r="208">
      <c r="C208" s="2" t="s">
        <v>57</v>
      </c>
      <c r="D208" s="2">
        <v>1.8574077E7</v>
      </c>
      <c r="E208" s="2">
        <v>6161199.0</v>
      </c>
      <c r="F208" s="3">
        <f t="shared" si="123"/>
        <v>24735276</v>
      </c>
      <c r="G208" s="2">
        <v>1.8736121E7</v>
      </c>
      <c r="H208" s="2">
        <v>6178699.0</v>
      </c>
      <c r="I208" s="3">
        <f t="shared" si="124"/>
        <v>24914820</v>
      </c>
      <c r="J208" s="2">
        <v>2.5E7</v>
      </c>
      <c r="K208" s="2">
        <v>2.5E7</v>
      </c>
      <c r="L208" s="3">
        <f t="shared" si="125"/>
        <v>98.92977139</v>
      </c>
      <c r="M208" s="3">
        <f t="shared" si="126"/>
        <v>99.65811513</v>
      </c>
      <c r="P208" s="3">
        <v>98.92977139207987</v>
      </c>
      <c r="Q208" s="3">
        <v>99.6581151298705</v>
      </c>
      <c r="Z208" s="2" t="s">
        <v>68</v>
      </c>
      <c r="AA208" s="2">
        <v>4033503.0</v>
      </c>
      <c r="AB208" s="2">
        <v>1939594.0</v>
      </c>
      <c r="AC208" s="3">
        <f t="shared" si="127"/>
        <v>5973097</v>
      </c>
      <c r="AD208" s="2">
        <v>4054291.0</v>
      </c>
      <c r="AE208" s="2">
        <v>1993629.0</v>
      </c>
      <c r="AF208" s="3">
        <f t="shared" si="128"/>
        <v>6047920</v>
      </c>
      <c r="AG208" s="2">
        <v>6288384.0</v>
      </c>
      <c r="AH208" s="2">
        <v>6288384.0</v>
      </c>
      <c r="AI208" s="3">
        <f t="shared" si="129"/>
        <v>94.72154897</v>
      </c>
      <c r="AJ208" s="3">
        <f t="shared" si="130"/>
        <v>96.02402148</v>
      </c>
      <c r="AM208" s="3">
        <v>94.72154897199894</v>
      </c>
      <c r="AN208" s="3">
        <v>96.02402148176563</v>
      </c>
    </row>
    <row r="209">
      <c r="C209" s="2" t="s">
        <v>59</v>
      </c>
      <c r="D209" s="2">
        <v>1.8581053E7</v>
      </c>
      <c r="E209" s="2">
        <v>6212837.0</v>
      </c>
      <c r="F209" s="3">
        <f t="shared" si="123"/>
        <v>24793890</v>
      </c>
      <c r="G209" s="2">
        <v>1.864236E7</v>
      </c>
      <c r="H209" s="2">
        <v>6185283.0</v>
      </c>
      <c r="I209" s="3">
        <f t="shared" si="124"/>
        <v>24827643</v>
      </c>
      <c r="J209" s="2">
        <v>2.5E7</v>
      </c>
      <c r="K209" s="2">
        <v>2.5E7</v>
      </c>
      <c r="L209" s="3">
        <f t="shared" si="125"/>
        <v>99.16870648</v>
      </c>
      <c r="M209" s="3">
        <f t="shared" si="126"/>
        <v>99.30578589</v>
      </c>
      <c r="P209" s="3">
        <v>99.1687064837345</v>
      </c>
      <c r="Q209" s="3">
        <v>99.30578589357033</v>
      </c>
      <c r="Z209" s="2" t="s">
        <v>69</v>
      </c>
      <c r="AA209" s="2">
        <v>1.5931186E7</v>
      </c>
      <c r="AB209" s="2">
        <v>7922348.0</v>
      </c>
      <c r="AC209" s="3">
        <f t="shared" si="127"/>
        <v>23853534</v>
      </c>
      <c r="AD209" s="2">
        <v>1.6037846E7</v>
      </c>
      <c r="AE209" s="2">
        <v>7863647.0</v>
      </c>
      <c r="AF209" s="3">
        <f t="shared" si="128"/>
        <v>23901493</v>
      </c>
      <c r="AG209" s="2">
        <v>2.3994E7</v>
      </c>
      <c r="AH209" s="2">
        <v>2.3994E7</v>
      </c>
      <c r="AI209" s="3">
        <f t="shared" si="129"/>
        <v>99.41113128</v>
      </c>
      <c r="AJ209" s="3">
        <f t="shared" si="130"/>
        <v>99.6129656</v>
      </c>
      <c r="AM209" s="3">
        <v>99.41113128142773</v>
      </c>
      <c r="AN209" s="3">
        <v>99.6129656000987</v>
      </c>
    </row>
    <row r="210">
      <c r="C210" s="2" t="s">
        <v>61</v>
      </c>
      <c r="D210" s="2">
        <v>2.7995276E7</v>
      </c>
      <c r="E210" s="2">
        <v>9360468.0</v>
      </c>
      <c r="F210" s="3">
        <f t="shared" si="123"/>
        <v>37355744</v>
      </c>
      <c r="G210" s="2">
        <v>2.8083625E7</v>
      </c>
      <c r="H210" s="2">
        <v>9313232.0</v>
      </c>
      <c r="I210" s="3">
        <f t="shared" si="124"/>
        <v>37396857</v>
      </c>
      <c r="J210" s="2">
        <v>3.75E7</v>
      </c>
      <c r="K210" s="2">
        <v>3.75E7</v>
      </c>
      <c r="L210" s="3">
        <f t="shared" si="125"/>
        <v>99.61383181</v>
      </c>
      <c r="M210" s="3">
        <f t="shared" si="126"/>
        <v>99.7241934</v>
      </c>
      <c r="P210" s="3">
        <v>99.61383181124702</v>
      </c>
      <c r="Q210" s="3">
        <v>99.72419339946136</v>
      </c>
      <c r="Z210" s="2" t="s">
        <v>70</v>
      </c>
      <c r="AA210" s="2">
        <v>2.4977762E7</v>
      </c>
      <c r="AB210" s="2">
        <v>1.245662E7</v>
      </c>
      <c r="AC210" s="3">
        <f t="shared" si="127"/>
        <v>37434382</v>
      </c>
      <c r="AD210" s="2">
        <v>2.499913E7</v>
      </c>
      <c r="AE210" s="2">
        <v>1.2384135E7</v>
      </c>
      <c r="AF210" s="3">
        <f t="shared" si="128"/>
        <v>37383265</v>
      </c>
      <c r="AG210" s="2">
        <v>3.74925E7</v>
      </c>
      <c r="AH210" s="2">
        <v>3.74925E7</v>
      </c>
      <c r="AI210" s="3">
        <f t="shared" si="129"/>
        <v>99.844747</v>
      </c>
      <c r="AJ210" s="3">
        <f t="shared" si="130"/>
        <v>99.70779706</v>
      </c>
      <c r="AM210" s="3">
        <v>99.84474700290231</v>
      </c>
      <c r="AN210" s="3">
        <v>99.70779705838963</v>
      </c>
    </row>
    <row r="211">
      <c r="C211" s="2" t="s">
        <v>63</v>
      </c>
      <c r="D211" s="2">
        <v>1407053.0</v>
      </c>
      <c r="E211" s="2">
        <v>1163539.0</v>
      </c>
      <c r="F211" s="3">
        <f t="shared" si="123"/>
        <v>2570592</v>
      </c>
      <c r="G211" s="2">
        <v>1218596.0</v>
      </c>
      <c r="H211" s="2">
        <v>1167702.0</v>
      </c>
      <c r="I211" s="3">
        <f t="shared" si="124"/>
        <v>2386298</v>
      </c>
      <c r="J211" s="2">
        <v>2097152.0</v>
      </c>
      <c r="K211" s="2">
        <v>2097152.0</v>
      </c>
      <c r="L211" s="3">
        <f t="shared" si="125"/>
        <v>81.5824526</v>
      </c>
      <c r="M211" s="3">
        <f t="shared" si="126"/>
        <v>87.88307244</v>
      </c>
      <c r="P211" s="3">
        <v>81.58245260235775</v>
      </c>
      <c r="Q211" s="3">
        <v>87.88307244107818</v>
      </c>
      <c r="Z211" s="2" t="s">
        <v>71</v>
      </c>
      <c r="AA211" s="3">
        <v>993395.6</v>
      </c>
      <c r="AC211" s="3">
        <f t="shared" si="127"/>
        <v>993395.6</v>
      </c>
      <c r="AD211" s="3">
        <v>1328730.4</v>
      </c>
      <c r="AF211" s="3">
        <f t="shared" si="128"/>
        <v>1328730.4</v>
      </c>
      <c r="AG211" s="3">
        <v>1380730.3729079645</v>
      </c>
      <c r="AH211" s="3">
        <v>1741819.6748097576</v>
      </c>
      <c r="AI211" s="3">
        <f t="shared" si="129"/>
        <v>61.00901062</v>
      </c>
      <c r="AJ211" s="3">
        <f t="shared" si="130"/>
        <v>68.91097887</v>
      </c>
      <c r="AM211" s="3">
        <v>61.009010618935235</v>
      </c>
      <c r="AN211" s="3">
        <v>68.910978870525</v>
      </c>
    </row>
    <row r="212">
      <c r="C212" s="2" t="s">
        <v>65</v>
      </c>
      <c r="D212" s="2">
        <v>5655726.0</v>
      </c>
      <c r="E212" s="2">
        <v>4582670.0</v>
      </c>
      <c r="F212" s="3">
        <f t="shared" si="123"/>
        <v>10238396</v>
      </c>
      <c r="G212" s="2">
        <v>4837348.0</v>
      </c>
      <c r="H212" s="2">
        <v>4590559.0</v>
      </c>
      <c r="I212" s="3">
        <f t="shared" si="124"/>
        <v>9427907</v>
      </c>
      <c r="J212" s="2">
        <v>8388608.0</v>
      </c>
      <c r="K212" s="2">
        <v>8388608.0</v>
      </c>
      <c r="L212" s="3">
        <f t="shared" si="125"/>
        <v>81.93283401</v>
      </c>
      <c r="M212" s="3">
        <f t="shared" si="126"/>
        <v>88.97635499</v>
      </c>
      <c r="P212" s="3">
        <v>81.9328340103274</v>
      </c>
      <c r="Q212" s="3">
        <v>88.97635498525813</v>
      </c>
      <c r="Z212" s="2" t="s">
        <v>72</v>
      </c>
      <c r="AA212" s="2">
        <v>2396924.0</v>
      </c>
      <c r="AC212" s="3">
        <f t="shared" si="127"/>
        <v>2396924</v>
      </c>
      <c r="AD212" s="2">
        <v>3140910.0</v>
      </c>
      <c r="AF212" s="3">
        <f t="shared" si="128"/>
        <v>3140910</v>
      </c>
      <c r="AG212" s="2">
        <v>2591180.0</v>
      </c>
      <c r="AH212" s="2">
        <v>3248880.0</v>
      </c>
      <c r="AI212" s="3">
        <f t="shared" si="129"/>
        <v>91.89561288</v>
      </c>
      <c r="AJ212" s="3">
        <f t="shared" si="130"/>
        <v>96.5624612</v>
      </c>
      <c r="AM212" s="3">
        <v>91.8956128771709</v>
      </c>
      <c r="AN212" s="3">
        <v>96.56246119755103</v>
      </c>
    </row>
    <row r="213">
      <c r="C213" s="2" t="s">
        <v>67</v>
      </c>
      <c r="D213" s="2">
        <v>2.2785303E7</v>
      </c>
      <c r="E213" s="2">
        <v>1.8420446E7</v>
      </c>
      <c r="F213" s="3">
        <f t="shared" si="123"/>
        <v>41205749</v>
      </c>
      <c r="G213" s="2">
        <v>1.9472007E7</v>
      </c>
      <c r="H213" s="2">
        <v>1.8375264E7</v>
      </c>
      <c r="I213" s="3">
        <f t="shared" si="124"/>
        <v>37847271</v>
      </c>
      <c r="J213" s="2">
        <v>3.3554432E7</v>
      </c>
      <c r="K213" s="2">
        <v>3.3554432E7</v>
      </c>
      <c r="L213" s="3">
        <f t="shared" si="125"/>
        <v>81.43143327</v>
      </c>
      <c r="M213" s="3">
        <f t="shared" si="126"/>
        <v>88.65746754</v>
      </c>
      <c r="P213" s="3">
        <v>81.43143326917804</v>
      </c>
      <c r="Q213" s="3">
        <v>88.65746753577028</v>
      </c>
      <c r="Z213" s="2" t="s">
        <v>73</v>
      </c>
      <c r="AA213" s="2">
        <v>2323120.0</v>
      </c>
      <c r="AB213" s="2">
        <v>3235742.0</v>
      </c>
      <c r="AC213" s="3">
        <f t="shared" si="127"/>
        <v>5558862</v>
      </c>
      <c r="AD213" s="2">
        <v>4307133.0</v>
      </c>
      <c r="AE213" s="2">
        <v>3253989.0</v>
      </c>
      <c r="AF213" s="3">
        <f t="shared" si="128"/>
        <v>7561122</v>
      </c>
      <c r="AG213" s="2">
        <v>5145728.0</v>
      </c>
      <c r="AH213" s="2">
        <v>8245728.0</v>
      </c>
      <c r="AI213" s="3">
        <f t="shared" si="129"/>
        <v>92.56801122</v>
      </c>
      <c r="AJ213" s="3">
        <f t="shared" si="130"/>
        <v>90.94570885</v>
      </c>
      <c r="AM213" s="3">
        <v>92.56801122244084</v>
      </c>
      <c r="AN213" s="3">
        <v>90.94570885114669</v>
      </c>
    </row>
    <row r="214">
      <c r="C214" s="2" t="s">
        <v>68</v>
      </c>
      <c r="D214" s="2">
        <v>4033503.0</v>
      </c>
      <c r="E214" s="2">
        <v>1939594.0</v>
      </c>
      <c r="F214" s="3">
        <f t="shared" si="123"/>
        <v>5973097</v>
      </c>
      <c r="G214" s="2">
        <v>4054291.0</v>
      </c>
      <c r="H214" s="2">
        <v>1993629.0</v>
      </c>
      <c r="I214" s="3">
        <f t="shared" si="124"/>
        <v>6047920</v>
      </c>
      <c r="J214" s="2">
        <v>6288384.0</v>
      </c>
      <c r="K214" s="2">
        <v>6288384.0</v>
      </c>
      <c r="L214" s="3">
        <f t="shared" si="125"/>
        <v>94.72154897</v>
      </c>
      <c r="M214" s="3">
        <f t="shared" si="126"/>
        <v>96.02402148</v>
      </c>
      <c r="P214" s="3">
        <v>94.72154897199894</v>
      </c>
      <c r="Q214" s="3">
        <v>96.02402148176563</v>
      </c>
      <c r="Z214" s="2" t="s">
        <v>74</v>
      </c>
      <c r="AA214" s="2">
        <v>4643904.0</v>
      </c>
      <c r="AB214" s="2">
        <v>6445389.0</v>
      </c>
      <c r="AC214" s="3">
        <f t="shared" si="127"/>
        <v>11089293</v>
      </c>
      <c r="AD214" s="2">
        <v>8549930.0</v>
      </c>
      <c r="AE214" s="2">
        <v>6473367.0</v>
      </c>
      <c r="AF214" s="3">
        <f t="shared" si="128"/>
        <v>15023297</v>
      </c>
      <c r="AG214" s="3">
        <v>1.0258688E7</v>
      </c>
      <c r="AH214" s="13">
        <v>1.6458688E7</v>
      </c>
      <c r="AI214" s="3">
        <f t="shared" si="129"/>
        <v>92.50984711</v>
      </c>
      <c r="AJ214" s="3">
        <f t="shared" si="130"/>
        <v>90.44556598</v>
      </c>
      <c r="AM214" s="3">
        <v>92.50984711108273</v>
      </c>
      <c r="AN214" s="3">
        <v>90.4455659766295</v>
      </c>
    </row>
    <row r="215">
      <c r="C215" s="2" t="s">
        <v>69</v>
      </c>
      <c r="D215" s="2">
        <v>1.5931186E7</v>
      </c>
      <c r="E215" s="2">
        <v>7922348.0</v>
      </c>
      <c r="F215" s="3">
        <f t="shared" si="123"/>
        <v>23853534</v>
      </c>
      <c r="G215" s="2">
        <v>1.6037846E7</v>
      </c>
      <c r="H215" s="2">
        <v>7863647.0</v>
      </c>
      <c r="I215" s="3">
        <f t="shared" si="124"/>
        <v>23901493</v>
      </c>
      <c r="J215" s="2">
        <v>2.3994E7</v>
      </c>
      <c r="K215" s="2">
        <v>2.3994E7</v>
      </c>
      <c r="L215" s="3">
        <f t="shared" si="125"/>
        <v>99.41113128</v>
      </c>
      <c r="M215" s="3">
        <f t="shared" si="126"/>
        <v>99.6129656</v>
      </c>
      <c r="P215" s="3">
        <v>99.41113128142773</v>
      </c>
      <c r="Q215" s="3">
        <v>99.6129656000987</v>
      </c>
      <c r="Z215" s="2" t="s">
        <v>75</v>
      </c>
      <c r="AA215" s="2">
        <v>9307562.0</v>
      </c>
      <c r="AB215" s="2">
        <v>1.2876583E7</v>
      </c>
      <c r="AC215" s="3">
        <f t="shared" si="127"/>
        <v>22184145</v>
      </c>
      <c r="AD215" s="2">
        <v>1.726293E7</v>
      </c>
      <c r="AE215" s="2">
        <v>1.2938744E7</v>
      </c>
      <c r="AF215" s="3">
        <f t="shared" si="128"/>
        <v>30201674</v>
      </c>
      <c r="AG215" s="2">
        <v>2.0517376E7</v>
      </c>
      <c r="AH215" s="2">
        <v>3.2917376E7</v>
      </c>
      <c r="AI215" s="3">
        <f t="shared" si="129"/>
        <v>92.48666559</v>
      </c>
      <c r="AJ215" s="3">
        <f t="shared" si="130"/>
        <v>91.0081077</v>
      </c>
      <c r="AM215" s="3">
        <v>92.48666558932067</v>
      </c>
      <c r="AN215" s="3">
        <v>91.008107696282</v>
      </c>
    </row>
    <row r="216">
      <c r="C216" s="2" t="s">
        <v>70</v>
      </c>
      <c r="D216" s="2">
        <v>2.4977762E7</v>
      </c>
      <c r="E216" s="2">
        <v>1.245662E7</v>
      </c>
      <c r="F216" s="3">
        <f t="shared" si="123"/>
        <v>37434382</v>
      </c>
      <c r="G216" s="2">
        <v>2.499913E7</v>
      </c>
      <c r="H216" s="2">
        <v>1.2384135E7</v>
      </c>
      <c r="I216" s="3">
        <f t="shared" si="124"/>
        <v>37383265</v>
      </c>
      <c r="J216" s="2">
        <v>3.74925E7</v>
      </c>
      <c r="K216" s="2">
        <v>3.74925E7</v>
      </c>
      <c r="L216" s="3">
        <f t="shared" si="125"/>
        <v>99.844747</v>
      </c>
      <c r="M216" s="3">
        <f t="shared" si="126"/>
        <v>99.70779706</v>
      </c>
      <c r="P216" s="3">
        <v>99.84474700290231</v>
      </c>
      <c r="Q216" s="3">
        <v>99.70779705838963</v>
      </c>
      <c r="Z216" s="2" t="s">
        <v>76</v>
      </c>
      <c r="AA216" s="2">
        <v>758316.0</v>
      </c>
      <c r="AB216" s="2">
        <v>254481.0</v>
      </c>
      <c r="AC216" s="3">
        <f t="shared" si="127"/>
        <v>1012797</v>
      </c>
      <c r="AD216" s="2">
        <v>759155.0</v>
      </c>
      <c r="AE216" s="2">
        <v>253650.0</v>
      </c>
      <c r="AF216" s="3">
        <f t="shared" si="128"/>
        <v>1012805</v>
      </c>
      <c r="AG216" s="2">
        <v>1000000.0</v>
      </c>
      <c r="AH216" s="2">
        <v>1000000.0</v>
      </c>
      <c r="AI216" s="3">
        <f t="shared" si="129"/>
        <v>98.7364694</v>
      </c>
      <c r="AJ216" s="3">
        <f t="shared" si="130"/>
        <v>98.7356895</v>
      </c>
      <c r="AM216" s="3">
        <v>98.73646940107444</v>
      </c>
      <c r="AN216" s="3">
        <v>98.73568949600367</v>
      </c>
    </row>
    <row r="217">
      <c r="C217" s="2" t="s">
        <v>77</v>
      </c>
      <c r="D217" s="2">
        <v>3.9242102E7</v>
      </c>
      <c r="E217" s="2">
        <v>1.9104871E7</v>
      </c>
      <c r="F217" s="3">
        <f t="shared" si="123"/>
        <v>58346973</v>
      </c>
      <c r="G217" s="2">
        <v>3.9430315E7</v>
      </c>
      <c r="H217" s="2">
        <v>1.9263814E7</v>
      </c>
      <c r="I217" s="3">
        <f t="shared" si="124"/>
        <v>58694129</v>
      </c>
      <c r="J217" s="2">
        <v>5.3561955E7</v>
      </c>
      <c r="K217" s="2">
        <v>5.3561955E7</v>
      </c>
      <c r="L217" s="3">
        <f t="shared" si="125"/>
        <v>91.79902957</v>
      </c>
      <c r="M217" s="3">
        <f t="shared" si="126"/>
        <v>91.25606924</v>
      </c>
      <c r="P217" s="3">
        <v>91.79902957433627</v>
      </c>
      <c r="Q217" s="3">
        <v>91.25606923990642</v>
      </c>
      <c r="Z217" s="2" t="s">
        <v>78</v>
      </c>
      <c r="AA217" s="2">
        <v>1515739.0</v>
      </c>
      <c r="AB217" s="2">
        <v>501758.0</v>
      </c>
      <c r="AC217" s="3">
        <f t="shared" si="127"/>
        <v>2017497</v>
      </c>
      <c r="AD217" s="2">
        <v>1515772.0</v>
      </c>
      <c r="AE217" s="2">
        <v>503396.0</v>
      </c>
      <c r="AF217" s="3">
        <f t="shared" si="128"/>
        <v>2019168</v>
      </c>
      <c r="AG217" s="3">
        <v>2000000.0</v>
      </c>
      <c r="AH217" s="3">
        <v>2000000.0</v>
      </c>
      <c r="AI217" s="3">
        <f t="shared" si="129"/>
        <v>99.13273725</v>
      </c>
      <c r="AJ217" s="3">
        <f t="shared" si="130"/>
        <v>99.05069811</v>
      </c>
      <c r="AM217" s="3">
        <v>99.13273724818426</v>
      </c>
      <c r="AN217" s="3">
        <v>99.05069810932028</v>
      </c>
    </row>
    <row r="218">
      <c r="C218" s="2" t="s">
        <v>79</v>
      </c>
      <c r="D218" s="2">
        <v>6.6060631E7</v>
      </c>
      <c r="E218" s="2">
        <v>3.1080202E7</v>
      </c>
      <c r="F218" s="3">
        <f t="shared" si="123"/>
        <v>97140833</v>
      </c>
      <c r="G218" s="2">
        <v>7.2700941E7</v>
      </c>
      <c r="H218" s="2">
        <v>3.0959866E7</v>
      </c>
      <c r="I218" s="3">
        <f t="shared" si="124"/>
        <v>103660807</v>
      </c>
      <c r="J218" s="2">
        <v>9.2314908E7</v>
      </c>
      <c r="K218" s="2">
        <v>9.2314908E7</v>
      </c>
      <c r="L218" s="3">
        <f t="shared" si="125"/>
        <v>95.03203251</v>
      </c>
      <c r="M218" s="3">
        <f t="shared" si="126"/>
        <v>89.05478423</v>
      </c>
      <c r="P218" s="3">
        <v>95.03203251304217</v>
      </c>
      <c r="Q218" s="3">
        <v>89.05478422524725</v>
      </c>
      <c r="Z218" s="2" t="s">
        <v>80</v>
      </c>
      <c r="AA218" s="2">
        <v>3033393.0</v>
      </c>
      <c r="AB218" s="2">
        <v>1008417.0</v>
      </c>
      <c r="AC218" s="3">
        <f t="shared" si="127"/>
        <v>4041810</v>
      </c>
      <c r="AD218" s="2">
        <v>3035312.0</v>
      </c>
      <c r="AE218" s="2">
        <v>1009388.0</v>
      </c>
      <c r="AF218" s="3">
        <f t="shared" si="128"/>
        <v>4044700</v>
      </c>
      <c r="AG218" s="2">
        <v>4000000.0</v>
      </c>
      <c r="AH218" s="2">
        <v>4000000.0</v>
      </c>
      <c r="AI218" s="3">
        <f t="shared" si="129"/>
        <v>98.96556246</v>
      </c>
      <c r="AJ218" s="3">
        <f t="shared" si="130"/>
        <v>98.89485005</v>
      </c>
      <c r="AM218" s="3">
        <v>98.96556245840354</v>
      </c>
      <c r="AN218" s="3">
        <v>98.89485005068362</v>
      </c>
    </row>
    <row r="219">
      <c r="C219" s="2" t="s">
        <v>81</v>
      </c>
      <c r="D219" s="2">
        <v>1.58435386E8</v>
      </c>
      <c r="E219" s="2">
        <v>7.6327464E7</v>
      </c>
      <c r="F219" s="3">
        <f t="shared" si="123"/>
        <v>234762850</v>
      </c>
      <c r="G219" s="2">
        <v>1.58649731E8</v>
      </c>
      <c r="H219" s="2">
        <v>7.6541719E7</v>
      </c>
      <c r="I219" s="3">
        <f t="shared" si="124"/>
        <v>235191450</v>
      </c>
      <c r="J219" s="2">
        <v>2.17779498E8</v>
      </c>
      <c r="K219" s="2">
        <v>2.17779498E8</v>
      </c>
      <c r="L219" s="3">
        <f t="shared" si="125"/>
        <v>92.76574126</v>
      </c>
      <c r="M219" s="3">
        <f t="shared" si="126"/>
        <v>92.59669006</v>
      </c>
      <c r="P219" s="3">
        <v>92.7657412576138</v>
      </c>
      <c r="Q219" s="3">
        <v>92.59669005824829</v>
      </c>
      <c r="Z219" s="2" t="s">
        <v>77</v>
      </c>
      <c r="AA219" s="2">
        <v>3.9242102E7</v>
      </c>
      <c r="AB219" s="2">
        <v>1.9104871E7</v>
      </c>
      <c r="AC219" s="3">
        <f t="shared" si="127"/>
        <v>58346973</v>
      </c>
      <c r="AD219" s="2">
        <v>3.9430315E7</v>
      </c>
      <c r="AE219" s="2">
        <v>1.9263814E7</v>
      </c>
      <c r="AF219" s="3">
        <f t="shared" si="128"/>
        <v>58694129</v>
      </c>
      <c r="AG219" s="2">
        <v>5.3561955E7</v>
      </c>
      <c r="AH219" s="2">
        <v>5.3561955E7</v>
      </c>
      <c r="AI219" s="3">
        <f t="shared" si="129"/>
        <v>91.79902957</v>
      </c>
      <c r="AJ219" s="3">
        <f t="shared" si="130"/>
        <v>91.25606924</v>
      </c>
      <c r="AM219" s="3">
        <v>91.79902957433627</v>
      </c>
      <c r="AN219" s="3">
        <v>91.25606923990642</v>
      </c>
    </row>
    <row r="220">
      <c r="C220" s="2" t="s">
        <v>71</v>
      </c>
      <c r="D220" s="3">
        <v>993395.6</v>
      </c>
      <c r="F220" s="3">
        <f t="shared" si="123"/>
        <v>993395.6</v>
      </c>
      <c r="G220" s="3">
        <v>1328730.4</v>
      </c>
      <c r="I220" s="3">
        <f t="shared" si="124"/>
        <v>1328730.4</v>
      </c>
      <c r="J220" s="3">
        <v>1380730.3729079645</v>
      </c>
      <c r="K220" s="3">
        <v>1741819.6748097576</v>
      </c>
      <c r="L220" s="3">
        <f t="shared" si="125"/>
        <v>61.00901062</v>
      </c>
      <c r="M220" s="3">
        <f t="shared" si="126"/>
        <v>68.91097887</v>
      </c>
      <c r="P220" s="3">
        <v>61.009010618935235</v>
      </c>
      <c r="Q220" s="3">
        <v>68.910978870525</v>
      </c>
      <c r="Z220" s="2" t="s">
        <v>79</v>
      </c>
      <c r="AA220" s="2">
        <v>6.6060631E7</v>
      </c>
      <c r="AB220" s="2">
        <v>3.1080202E7</v>
      </c>
      <c r="AC220" s="3">
        <f t="shared" si="127"/>
        <v>97140833</v>
      </c>
      <c r="AD220" s="2">
        <v>7.2700941E7</v>
      </c>
      <c r="AE220" s="2">
        <v>3.0959866E7</v>
      </c>
      <c r="AF220" s="3">
        <f t="shared" si="128"/>
        <v>103660807</v>
      </c>
      <c r="AG220" s="2">
        <v>9.2314908E7</v>
      </c>
      <c r="AH220" s="2">
        <v>9.2314908E7</v>
      </c>
      <c r="AI220" s="3">
        <f t="shared" si="129"/>
        <v>95.03203251</v>
      </c>
      <c r="AJ220" s="3">
        <f t="shared" si="130"/>
        <v>89.05478423</v>
      </c>
      <c r="AM220" s="3">
        <v>95.03203251304217</v>
      </c>
      <c r="AN220" s="3">
        <v>89.05478422524725</v>
      </c>
    </row>
    <row r="221">
      <c r="C221" s="2" t="s">
        <v>72</v>
      </c>
      <c r="D221" s="2">
        <v>2396924.0</v>
      </c>
      <c r="F221" s="3">
        <f t="shared" si="123"/>
        <v>2396924</v>
      </c>
      <c r="G221" s="2">
        <v>3140910.0</v>
      </c>
      <c r="I221" s="3">
        <f t="shared" si="124"/>
        <v>3140910</v>
      </c>
      <c r="J221" s="2">
        <v>2591180.0</v>
      </c>
      <c r="K221" s="2">
        <v>3248880.0</v>
      </c>
      <c r="L221" s="3">
        <f t="shared" si="125"/>
        <v>91.89561288</v>
      </c>
      <c r="M221" s="3">
        <f t="shared" si="126"/>
        <v>96.5624612</v>
      </c>
      <c r="P221" s="3">
        <v>91.8956128771709</v>
      </c>
      <c r="Q221" s="3">
        <v>96.56246119755103</v>
      </c>
      <c r="Z221" s="2" t="s">
        <v>81</v>
      </c>
      <c r="AA221" s="2">
        <v>1.58435386E8</v>
      </c>
      <c r="AB221" s="2">
        <v>7.6327464E7</v>
      </c>
      <c r="AC221" s="3">
        <f t="shared" si="127"/>
        <v>234762850</v>
      </c>
      <c r="AD221" s="2">
        <v>1.58649731E8</v>
      </c>
      <c r="AE221" s="2">
        <v>7.6541719E7</v>
      </c>
      <c r="AF221" s="3">
        <f t="shared" si="128"/>
        <v>235191450</v>
      </c>
      <c r="AG221" s="2">
        <v>2.17779498E8</v>
      </c>
      <c r="AH221" s="2">
        <v>2.17779498E8</v>
      </c>
      <c r="AI221" s="3">
        <f t="shared" si="129"/>
        <v>92.76574126</v>
      </c>
      <c r="AJ221" s="3">
        <f t="shared" si="130"/>
        <v>92.59669006</v>
      </c>
      <c r="AM221" s="3">
        <v>92.7657412576138</v>
      </c>
      <c r="AN221" s="3">
        <v>92.59669005824829</v>
      </c>
    </row>
    <row r="224">
      <c r="C224" s="2" t="s">
        <v>52</v>
      </c>
      <c r="D224" s="2" t="s">
        <v>57</v>
      </c>
      <c r="E224" s="2" t="s">
        <v>59</v>
      </c>
      <c r="F224" s="2" t="s">
        <v>61</v>
      </c>
      <c r="G224" s="2" t="s">
        <v>63</v>
      </c>
      <c r="H224" s="2" t="s">
        <v>65</v>
      </c>
      <c r="I224" s="2" t="s">
        <v>67</v>
      </c>
      <c r="J224" s="2" t="s">
        <v>68</v>
      </c>
      <c r="K224" s="2" t="s">
        <v>69</v>
      </c>
      <c r="L224" s="2" t="s">
        <v>70</v>
      </c>
      <c r="M224" s="2" t="s">
        <v>71</v>
      </c>
      <c r="N224" s="2" t="s">
        <v>72</v>
      </c>
      <c r="O224" s="2" t="s">
        <v>73</v>
      </c>
      <c r="P224" s="2" t="s">
        <v>74</v>
      </c>
      <c r="Q224" s="2" t="s">
        <v>75</v>
      </c>
      <c r="R224" s="2" t="s">
        <v>76</v>
      </c>
      <c r="S224" s="2" t="s">
        <v>78</v>
      </c>
      <c r="T224" s="2" t="s">
        <v>80</v>
      </c>
      <c r="U224" s="2" t="s">
        <v>77</v>
      </c>
      <c r="V224" s="2" t="s">
        <v>79</v>
      </c>
      <c r="W224" s="2" t="s">
        <v>81</v>
      </c>
      <c r="X224" s="2" t="s">
        <v>72</v>
      </c>
      <c r="Z224" s="2" t="s">
        <v>52</v>
      </c>
      <c r="AA224" s="2" t="s">
        <v>56</v>
      </c>
      <c r="AB224" s="2" t="s">
        <v>58</v>
      </c>
      <c r="AC224" s="2" t="s">
        <v>60</v>
      </c>
      <c r="AD224" s="2" t="s">
        <v>62</v>
      </c>
      <c r="AE224" s="2" t="s">
        <v>64</v>
      </c>
      <c r="AF224" s="2" t="s">
        <v>66</v>
      </c>
      <c r="AG224" s="2" t="s">
        <v>57</v>
      </c>
      <c r="AH224" s="2" t="s">
        <v>59</v>
      </c>
      <c r="AI224" s="2" t="s">
        <v>61</v>
      </c>
      <c r="AJ224" s="2" t="s">
        <v>63</v>
      </c>
      <c r="AK224" s="2" t="s">
        <v>65</v>
      </c>
      <c r="AL224" s="2" t="s">
        <v>67</v>
      </c>
      <c r="AM224" s="2" t="s">
        <v>82</v>
      </c>
      <c r="AN224" s="2" t="s">
        <v>68</v>
      </c>
      <c r="AO224" s="2" t="s">
        <v>69</v>
      </c>
      <c r="AP224" s="2" t="s">
        <v>70</v>
      </c>
      <c r="AQ224" s="2" t="s">
        <v>77</v>
      </c>
      <c r="AR224" s="2" t="s">
        <v>79</v>
      </c>
      <c r="AS224" s="2" t="s">
        <v>81</v>
      </c>
      <c r="AT224" s="2" t="s">
        <v>71</v>
      </c>
      <c r="AU224" s="2" t="s">
        <v>72</v>
      </c>
    </row>
    <row r="225">
      <c r="C225" s="13" t="s">
        <v>54</v>
      </c>
      <c r="D225" s="3">
        <v>98.92977139207987</v>
      </c>
      <c r="E225" s="3">
        <v>99.1687064837345</v>
      </c>
      <c r="F225" s="3">
        <v>99.61383181124702</v>
      </c>
      <c r="G225" s="3">
        <v>81.58245260235775</v>
      </c>
      <c r="H225" s="3">
        <v>81.9328340103274</v>
      </c>
      <c r="I225" s="3">
        <v>81.43143326917804</v>
      </c>
      <c r="J225" s="3">
        <v>94.72154897199894</v>
      </c>
      <c r="K225" s="3">
        <v>99.41113128142773</v>
      </c>
      <c r="L225" s="3">
        <v>99.84474700290231</v>
      </c>
      <c r="M225" s="3">
        <v>61.009010618935235</v>
      </c>
      <c r="N225" s="3">
        <v>91.8956128771709</v>
      </c>
      <c r="O225" s="3">
        <v>92.56801122244084</v>
      </c>
      <c r="P225" s="3">
        <v>92.50984711108273</v>
      </c>
      <c r="Q225" s="3">
        <v>92.48666558932067</v>
      </c>
      <c r="R225" s="3">
        <v>98.73646940107444</v>
      </c>
      <c r="S225" s="3">
        <v>99.13273724818426</v>
      </c>
      <c r="T225" s="3">
        <v>98.96556245840354</v>
      </c>
      <c r="U225" s="3">
        <v>91.79902957433627</v>
      </c>
      <c r="V225" s="3">
        <v>95.03203251304217</v>
      </c>
      <c r="W225" s="3">
        <v>92.7657412576138</v>
      </c>
      <c r="X225" s="3">
        <v>91.8956128771709</v>
      </c>
      <c r="Z225" s="13" t="s">
        <v>54</v>
      </c>
      <c r="AA225" s="3">
        <v>92.56801122244084</v>
      </c>
      <c r="AB225" s="3">
        <v>92.50984711108273</v>
      </c>
      <c r="AC225" s="3">
        <v>92.48666558932067</v>
      </c>
      <c r="AD225" s="3">
        <v>98.73646940107444</v>
      </c>
      <c r="AE225" s="3">
        <v>99.13273724818426</v>
      </c>
      <c r="AF225" s="3">
        <v>98.96556245840354</v>
      </c>
      <c r="AG225" s="3">
        <v>98.92977139207987</v>
      </c>
      <c r="AH225" s="3">
        <v>99.1687064837345</v>
      </c>
      <c r="AI225" s="3">
        <v>99.61383181124702</v>
      </c>
      <c r="AJ225" s="3">
        <v>81.58245260235775</v>
      </c>
      <c r="AK225" s="3">
        <v>81.9328340103274</v>
      </c>
      <c r="AL225" s="3">
        <v>81.43143326917804</v>
      </c>
      <c r="AM225" s="3">
        <v>74.60744202303518</v>
      </c>
      <c r="AN225" s="3">
        <v>94.72154897199894</v>
      </c>
      <c r="AO225" s="3">
        <v>99.41113128142773</v>
      </c>
      <c r="AP225" s="3">
        <v>99.84474700290231</v>
      </c>
      <c r="AQ225" s="3">
        <v>91.79902957433627</v>
      </c>
      <c r="AR225" s="3">
        <v>95.03203251304217</v>
      </c>
      <c r="AS225" s="3">
        <v>92.7657412576138</v>
      </c>
      <c r="AT225" s="3">
        <v>61.009010618935235</v>
      </c>
      <c r="AU225" s="3">
        <v>91.8956128771709</v>
      </c>
    </row>
    <row r="226">
      <c r="C226" s="13" t="s">
        <v>55</v>
      </c>
      <c r="D226" s="3">
        <v>99.6581151298705</v>
      </c>
      <c r="E226" s="3">
        <v>99.30578589357033</v>
      </c>
      <c r="F226" s="3">
        <v>99.72419339946136</v>
      </c>
      <c r="G226" s="3">
        <v>87.88307244107818</v>
      </c>
      <c r="H226" s="3">
        <v>88.97635498525813</v>
      </c>
      <c r="I226" s="3">
        <v>88.65746753577028</v>
      </c>
      <c r="J226" s="3">
        <v>96.02402148176563</v>
      </c>
      <c r="K226" s="3">
        <v>99.6129656000987</v>
      </c>
      <c r="L226" s="3">
        <v>99.70779705838963</v>
      </c>
      <c r="M226" s="3">
        <v>68.910978870525</v>
      </c>
      <c r="N226" s="3">
        <v>96.56246119755103</v>
      </c>
      <c r="O226" s="3">
        <v>90.94570885114669</v>
      </c>
      <c r="P226" s="3">
        <v>90.4455659766295</v>
      </c>
      <c r="Q226" s="3">
        <v>91.008107696282</v>
      </c>
      <c r="R226" s="3">
        <v>98.73568949600367</v>
      </c>
      <c r="S226" s="3">
        <v>99.05069810932028</v>
      </c>
      <c r="T226" s="3">
        <v>98.89485005068362</v>
      </c>
      <c r="U226" s="3">
        <v>91.25606923990642</v>
      </c>
      <c r="V226" s="3">
        <v>89.05478422524725</v>
      </c>
      <c r="W226" s="3">
        <v>92.59669005824829</v>
      </c>
      <c r="X226" s="3">
        <v>96.56246119755103</v>
      </c>
      <c r="Z226" s="13" t="s">
        <v>55</v>
      </c>
      <c r="AA226" s="3">
        <v>90.94570885114669</v>
      </c>
      <c r="AB226" s="3">
        <v>90.4455659766295</v>
      </c>
      <c r="AC226" s="3">
        <v>91.008107696282</v>
      </c>
      <c r="AD226" s="3">
        <v>98.73568949600367</v>
      </c>
      <c r="AE226" s="3">
        <v>99.05069810932028</v>
      </c>
      <c r="AF226" s="3">
        <v>98.89485005068362</v>
      </c>
      <c r="AG226" s="3">
        <v>99.6581151298705</v>
      </c>
      <c r="AH226" s="3">
        <v>99.30578589357033</v>
      </c>
      <c r="AI226" s="3">
        <v>99.72419339946136</v>
      </c>
      <c r="AJ226" s="3">
        <v>87.88307244107818</v>
      </c>
      <c r="AK226" s="3">
        <v>88.97635498525813</v>
      </c>
      <c r="AL226" s="3">
        <v>88.65746753577028</v>
      </c>
      <c r="AM226" s="3">
        <v>74.9021359325329</v>
      </c>
      <c r="AN226" s="3">
        <v>96.02402148176563</v>
      </c>
      <c r="AO226" s="3">
        <v>99.6129656000987</v>
      </c>
      <c r="AP226" s="3">
        <v>99.70779705838963</v>
      </c>
      <c r="AQ226" s="3">
        <v>91.25606923990642</v>
      </c>
      <c r="AR226" s="3">
        <v>89.05478422524725</v>
      </c>
      <c r="AS226" s="3">
        <v>92.59669005824829</v>
      </c>
      <c r="AT226" s="3">
        <v>68.910978870525</v>
      </c>
      <c r="AU226" s="3">
        <v>96.56246119755103</v>
      </c>
    </row>
    <row r="229">
      <c r="J229" s="8"/>
    </row>
    <row r="232">
      <c r="A232" s="2" t="s">
        <v>83</v>
      </c>
    </row>
    <row r="237">
      <c r="B237" s="2" t="s">
        <v>1</v>
      </c>
    </row>
    <row r="238">
      <c r="C238" s="2" t="s">
        <v>4</v>
      </c>
      <c r="D238" s="2" t="s">
        <v>5</v>
      </c>
    </row>
    <row r="239">
      <c r="E239" s="2" t="s">
        <v>7</v>
      </c>
      <c r="F239" s="2" t="s">
        <v>8</v>
      </c>
      <c r="G239" s="2" t="s">
        <v>21</v>
      </c>
    </row>
    <row r="240">
      <c r="A240" s="2" t="s">
        <v>11</v>
      </c>
      <c r="B240" s="2" t="s">
        <v>12</v>
      </c>
      <c r="C240" s="2" t="s">
        <v>13</v>
      </c>
      <c r="D240" s="2">
        <v>1.0</v>
      </c>
      <c r="E240" s="2">
        <v>1.8924509E7</v>
      </c>
      <c r="F240" s="2">
        <v>6414347.0</v>
      </c>
      <c r="G240" s="3">
        <f t="shared" ref="G240:G241" si="131">E240+F240</f>
        <v>25338856</v>
      </c>
    </row>
    <row r="241">
      <c r="A241" s="2" t="s">
        <v>11</v>
      </c>
      <c r="B241" s="2" t="s">
        <v>14</v>
      </c>
      <c r="C241" s="2" t="s">
        <v>13</v>
      </c>
      <c r="D241" s="2">
        <v>1.0</v>
      </c>
      <c r="E241" s="2">
        <v>1.879793E7</v>
      </c>
      <c r="F241" s="2">
        <v>6282547.0</v>
      </c>
      <c r="G241" s="3">
        <f t="shared" si="131"/>
        <v>25080477</v>
      </c>
    </row>
    <row r="243">
      <c r="A243" s="2" t="s">
        <v>15</v>
      </c>
      <c r="B243" s="2" t="s">
        <v>12</v>
      </c>
      <c r="C243" s="2" t="s">
        <v>13</v>
      </c>
      <c r="D243" s="2">
        <v>1.0</v>
      </c>
      <c r="E243" s="2">
        <v>1.8688408E7</v>
      </c>
      <c r="F243" s="2">
        <v>6250709.0</v>
      </c>
      <c r="G243" s="3">
        <f t="shared" ref="G243:G244" si="132">E243+F243</f>
        <v>24939117</v>
      </c>
    </row>
    <row r="244">
      <c r="A244" s="2" t="s">
        <v>15</v>
      </c>
      <c r="B244" s="2" t="s">
        <v>14</v>
      </c>
      <c r="C244" s="2" t="s">
        <v>13</v>
      </c>
      <c r="D244" s="2">
        <v>1.0</v>
      </c>
      <c r="E244" s="2">
        <v>1.8794607E7</v>
      </c>
      <c r="F244" s="2">
        <v>6254850.0</v>
      </c>
      <c r="G244" s="3">
        <f t="shared" si="132"/>
        <v>25049457</v>
      </c>
    </row>
    <row r="245">
      <c r="J245" s="2" t="s">
        <v>16</v>
      </c>
      <c r="K245" s="2" t="s">
        <v>17</v>
      </c>
    </row>
    <row r="246">
      <c r="A246" s="2" t="s">
        <v>18</v>
      </c>
      <c r="B246" s="2" t="s">
        <v>12</v>
      </c>
      <c r="C246" s="2" t="s">
        <v>13</v>
      </c>
      <c r="D246" s="2">
        <v>1.0</v>
      </c>
      <c r="E246" s="2">
        <v>1.8528602E7</v>
      </c>
      <c r="F246" s="2">
        <v>6204350.0</v>
      </c>
      <c r="G246" s="3">
        <f t="shared" ref="G246:G247" si="133">E246+F246</f>
        <v>24732952</v>
      </c>
      <c r="J246" s="2">
        <v>5.0E7</v>
      </c>
      <c r="K246" s="2">
        <v>8.0</v>
      </c>
    </row>
    <row r="247">
      <c r="A247" s="2" t="s">
        <v>18</v>
      </c>
      <c r="B247" s="2" t="s">
        <v>14</v>
      </c>
      <c r="C247" s="2" t="s">
        <v>13</v>
      </c>
      <c r="D247" s="2">
        <v>1.0</v>
      </c>
      <c r="E247" s="2">
        <v>1.8352835E7</v>
      </c>
      <c r="F247" s="2">
        <v>6137000.0</v>
      </c>
      <c r="G247" s="3">
        <f t="shared" si="133"/>
        <v>24489835</v>
      </c>
    </row>
    <row r="248">
      <c r="J248" s="2" t="s">
        <v>19</v>
      </c>
      <c r="K248" s="2" t="s">
        <v>20</v>
      </c>
      <c r="L248" s="2" t="s">
        <v>21</v>
      </c>
    </row>
    <row r="249">
      <c r="I249" s="2" t="s">
        <v>23</v>
      </c>
      <c r="J249" s="3">
        <f>J246*K246/64*3</f>
        <v>18750000</v>
      </c>
      <c r="K249" s="3">
        <f>J246*K246/64</f>
        <v>6250000</v>
      </c>
      <c r="L249" s="3">
        <f t="shared" ref="L249:L250" si="134">J249+K249</f>
        <v>25000000</v>
      </c>
    </row>
    <row r="250">
      <c r="A250" s="2" t="s">
        <v>84</v>
      </c>
      <c r="I250" s="2" t="s">
        <v>3</v>
      </c>
      <c r="J250" s="3">
        <f>J246*K246/64*2</f>
        <v>12500000</v>
      </c>
      <c r="K250" s="3">
        <f>J246*K246/64</f>
        <v>6250000</v>
      </c>
      <c r="L250" s="3">
        <f t="shared" si="134"/>
        <v>18750000</v>
      </c>
    </row>
    <row r="251">
      <c r="A251" s="2" t="s">
        <v>11</v>
      </c>
      <c r="B251" s="2" t="s">
        <v>12</v>
      </c>
      <c r="C251" s="2" t="s">
        <v>13</v>
      </c>
      <c r="D251" s="2">
        <v>1.0</v>
      </c>
      <c r="E251" s="2">
        <v>1.8776592E7</v>
      </c>
      <c r="F251" s="2">
        <v>6270387.0</v>
      </c>
      <c r="G251" s="3">
        <f t="shared" ref="G251:G252" si="135">E251+F251</f>
        <v>25046979</v>
      </c>
    </row>
    <row r="252">
      <c r="A252" s="2" t="s">
        <v>11</v>
      </c>
      <c r="B252" s="2" t="s">
        <v>14</v>
      </c>
      <c r="C252" s="2" t="s">
        <v>13</v>
      </c>
      <c r="D252" s="2">
        <v>1.0</v>
      </c>
      <c r="E252" s="2">
        <v>1.8779905E7</v>
      </c>
      <c r="F252" s="2">
        <v>6253845.0</v>
      </c>
      <c r="G252" s="3">
        <f t="shared" si="135"/>
        <v>25033750</v>
      </c>
    </row>
    <row r="254">
      <c r="A254" s="2" t="s">
        <v>15</v>
      </c>
      <c r="B254" s="2" t="s">
        <v>12</v>
      </c>
      <c r="C254" s="2" t="s">
        <v>13</v>
      </c>
      <c r="D254" s="2">
        <v>1.0</v>
      </c>
      <c r="E254" s="2">
        <v>1.8739767E7</v>
      </c>
      <c r="F254" s="2">
        <v>6264934.0</v>
      </c>
      <c r="G254" s="3">
        <f t="shared" ref="G254:G255" si="136">E254+F254</f>
        <v>25004701</v>
      </c>
    </row>
    <row r="255">
      <c r="A255" s="2" t="s">
        <v>15</v>
      </c>
      <c r="B255" s="2" t="s">
        <v>14</v>
      </c>
      <c r="C255" s="2" t="s">
        <v>13</v>
      </c>
      <c r="D255" s="2">
        <v>1.0</v>
      </c>
      <c r="E255" s="2">
        <v>1.8763648E7</v>
      </c>
      <c r="F255" s="2">
        <v>6263322.0</v>
      </c>
      <c r="G255" s="3">
        <f t="shared" si="136"/>
        <v>25026970</v>
      </c>
    </row>
    <row r="257">
      <c r="A257" s="2" t="s">
        <v>18</v>
      </c>
      <c r="B257" s="2" t="s">
        <v>12</v>
      </c>
      <c r="C257" s="2" t="s">
        <v>13</v>
      </c>
      <c r="D257" s="2">
        <v>1.0</v>
      </c>
      <c r="E257" s="2">
        <v>1.8409628E7</v>
      </c>
      <c r="F257" s="2">
        <v>6199845.0</v>
      </c>
      <c r="G257" s="3">
        <f t="shared" ref="G257:G258" si="137">E257+F257</f>
        <v>24609473</v>
      </c>
    </row>
    <row r="258">
      <c r="A258" s="2" t="s">
        <v>18</v>
      </c>
      <c r="B258" s="2" t="s">
        <v>14</v>
      </c>
      <c r="C258" s="2" t="s">
        <v>13</v>
      </c>
      <c r="D258" s="2">
        <v>1.0</v>
      </c>
      <c r="E258" s="2">
        <v>1.8413531E7</v>
      </c>
      <c r="F258" s="2">
        <v>6184994.0</v>
      </c>
      <c r="G258" s="3">
        <f t="shared" si="137"/>
        <v>24598525</v>
      </c>
    </row>
    <row r="262">
      <c r="D262" s="3" t="str">
        <f>"total=["&amp;L249&amp;", "&amp;L250&amp;", "&amp;G240&amp;", "&amp;G241&amp;", "&amp;G243&amp;", "&amp;G244&amp;", "&amp;G246&amp;", "&amp;G247&amp;"]"</f>
        <v>total=[25000000, 18750000, 25338856, 25080477, 24939117, 25049457, 24732952, 24489835]</v>
      </c>
    </row>
    <row r="267">
      <c r="B267" s="2" t="s">
        <v>24</v>
      </c>
    </row>
    <row r="268">
      <c r="C268" s="2" t="s">
        <v>4</v>
      </c>
      <c r="D268" s="2" t="s">
        <v>5</v>
      </c>
    </row>
    <row r="269">
      <c r="E269" s="2" t="s">
        <v>7</v>
      </c>
      <c r="F269" s="2" t="s">
        <v>8</v>
      </c>
      <c r="G269" s="2" t="s">
        <v>21</v>
      </c>
      <c r="J269" s="2">
        <v>8192.0</v>
      </c>
      <c r="K269" s="2">
        <v>8192.0</v>
      </c>
    </row>
    <row r="270">
      <c r="A270" s="2" t="s">
        <v>11</v>
      </c>
      <c r="B270" s="2" t="s">
        <v>12</v>
      </c>
      <c r="C270" s="2" t="s">
        <v>13</v>
      </c>
      <c r="D270" s="2">
        <v>1.0</v>
      </c>
      <c r="E270" s="2">
        <v>4620741.0</v>
      </c>
      <c r="F270" s="2">
        <v>4821091.0</v>
      </c>
      <c r="G270" s="3">
        <f t="shared" ref="G270:G271" si="138">E270+F270</f>
        <v>9441832</v>
      </c>
    </row>
    <row r="271">
      <c r="A271" s="2" t="s">
        <v>11</v>
      </c>
      <c r="B271" s="2" t="s">
        <v>14</v>
      </c>
      <c r="C271" s="2" t="s">
        <v>13</v>
      </c>
      <c r="D271" s="2">
        <v>1.0</v>
      </c>
      <c r="E271" s="2">
        <v>4569441.0</v>
      </c>
      <c r="F271" s="2">
        <v>4740749.0</v>
      </c>
      <c r="G271" s="3">
        <f t="shared" si="138"/>
        <v>9310190</v>
      </c>
    </row>
    <row r="273">
      <c r="A273" s="2" t="s">
        <v>15</v>
      </c>
      <c r="B273" s="2" t="s">
        <v>12</v>
      </c>
      <c r="C273" s="2" t="s">
        <v>13</v>
      </c>
      <c r="D273" s="2">
        <v>1.0</v>
      </c>
      <c r="E273" s="2">
        <v>4520072.0</v>
      </c>
      <c r="F273" s="2">
        <v>4317901.0</v>
      </c>
      <c r="G273" s="3">
        <f t="shared" ref="G273:G274" si="139">E273+F273</f>
        <v>8837973</v>
      </c>
    </row>
    <row r="274">
      <c r="A274" s="2" t="s">
        <v>15</v>
      </c>
      <c r="B274" s="2" t="s">
        <v>14</v>
      </c>
      <c r="C274" s="2" t="s">
        <v>13</v>
      </c>
      <c r="D274" s="2">
        <v>1.0</v>
      </c>
      <c r="E274" s="2">
        <v>5047367.0</v>
      </c>
      <c r="F274" s="2">
        <v>4335252.0</v>
      </c>
      <c r="G274" s="3">
        <f t="shared" si="139"/>
        <v>9382619</v>
      </c>
    </row>
    <row r="275">
      <c r="J275" s="2" t="s">
        <v>16</v>
      </c>
      <c r="K275" s="2" t="s">
        <v>17</v>
      </c>
    </row>
    <row r="276">
      <c r="A276" s="2" t="s">
        <v>18</v>
      </c>
      <c r="B276" s="2" t="s">
        <v>12</v>
      </c>
      <c r="C276" s="2" t="s">
        <v>13</v>
      </c>
      <c r="D276" s="2">
        <v>1.0</v>
      </c>
      <c r="E276" s="2">
        <v>4728305.0</v>
      </c>
      <c r="F276" s="2">
        <v>4537964.0</v>
      </c>
      <c r="G276" s="3">
        <f t="shared" ref="G276:G277" si="140">E276+F276</f>
        <v>9266269</v>
      </c>
      <c r="J276" s="3">
        <f>J269*K269</f>
        <v>67108864</v>
      </c>
      <c r="K276" s="2">
        <v>4.0</v>
      </c>
    </row>
    <row r="277">
      <c r="A277" s="2" t="s">
        <v>18</v>
      </c>
      <c r="B277" s="2" t="s">
        <v>14</v>
      </c>
      <c r="C277" s="2" t="s">
        <v>13</v>
      </c>
      <c r="D277" s="2">
        <v>1.0</v>
      </c>
      <c r="E277" s="2">
        <v>4800994.0</v>
      </c>
      <c r="F277" s="2">
        <v>4525494.0</v>
      </c>
      <c r="G277" s="3">
        <f t="shared" si="140"/>
        <v>9326488</v>
      </c>
    </row>
    <row r="278">
      <c r="J278" s="2" t="s">
        <v>19</v>
      </c>
      <c r="K278" s="2" t="s">
        <v>20</v>
      </c>
      <c r="L278" s="2" t="s">
        <v>21</v>
      </c>
    </row>
    <row r="279">
      <c r="I279" s="2" t="s">
        <v>23</v>
      </c>
      <c r="J279" s="3">
        <f>J276*K276/64</f>
        <v>4194304</v>
      </c>
      <c r="K279" s="3">
        <f>J276*K276/64</f>
        <v>4194304</v>
      </c>
      <c r="L279" s="3">
        <f t="shared" ref="L279:L280" si="141">J279+K279</f>
        <v>8388608</v>
      </c>
    </row>
    <row r="280">
      <c r="A280" s="2" t="s">
        <v>84</v>
      </c>
      <c r="B280" s="2" t="s">
        <v>85</v>
      </c>
      <c r="I280" s="2" t="s">
        <v>3</v>
      </c>
      <c r="J280" s="3">
        <f>J276*K276/64</f>
        <v>4194304</v>
      </c>
      <c r="K280" s="3">
        <f>J276*K276/64</f>
        <v>4194304</v>
      </c>
      <c r="L280" s="3">
        <f t="shared" si="141"/>
        <v>8388608</v>
      </c>
    </row>
    <row r="281">
      <c r="A281" s="2" t="s">
        <v>11</v>
      </c>
      <c r="B281" s="2" t="s">
        <v>12</v>
      </c>
      <c r="C281" s="2" t="s">
        <v>13</v>
      </c>
      <c r="D281" s="2">
        <v>1.0</v>
      </c>
      <c r="E281" s="2">
        <v>4565989.0</v>
      </c>
      <c r="F281" s="2">
        <v>4706087.0</v>
      </c>
      <c r="G281" s="3">
        <f t="shared" ref="G281:G282" si="142">E281+F281</f>
        <v>9272076</v>
      </c>
    </row>
    <row r="282">
      <c r="A282" s="2" t="s">
        <v>11</v>
      </c>
      <c r="B282" s="2" t="s">
        <v>14</v>
      </c>
      <c r="C282" s="2" t="s">
        <v>13</v>
      </c>
      <c r="D282" s="2">
        <v>1.0</v>
      </c>
      <c r="E282" s="2">
        <v>4521700.0</v>
      </c>
      <c r="F282" s="2">
        <v>4624106.0</v>
      </c>
      <c r="G282" s="3">
        <f t="shared" si="142"/>
        <v>9145806</v>
      </c>
    </row>
    <row r="284">
      <c r="A284" s="2" t="s">
        <v>15</v>
      </c>
      <c r="B284" s="2" t="s">
        <v>12</v>
      </c>
      <c r="C284" s="2" t="s">
        <v>13</v>
      </c>
      <c r="D284" s="2">
        <v>1.0</v>
      </c>
      <c r="E284" s="2">
        <v>4508029.0</v>
      </c>
      <c r="F284" s="2">
        <v>4318262.0</v>
      </c>
      <c r="G284" s="3">
        <f t="shared" ref="G284:G285" si="143">E284+F284</f>
        <v>8826291</v>
      </c>
    </row>
    <row r="285">
      <c r="A285" s="2" t="s">
        <v>15</v>
      </c>
      <c r="B285" s="2" t="s">
        <v>14</v>
      </c>
      <c r="C285" s="2" t="s">
        <v>13</v>
      </c>
      <c r="D285" s="2">
        <v>1.0</v>
      </c>
      <c r="E285" s="2">
        <v>5115431.0</v>
      </c>
      <c r="F285" s="2">
        <v>4304086.0</v>
      </c>
      <c r="G285" s="3">
        <f t="shared" si="143"/>
        <v>9419517</v>
      </c>
    </row>
    <row r="287">
      <c r="A287" s="2" t="s">
        <v>18</v>
      </c>
      <c r="B287" s="2" t="s">
        <v>12</v>
      </c>
      <c r="C287" s="2" t="s">
        <v>13</v>
      </c>
      <c r="D287" s="2">
        <v>1.0</v>
      </c>
      <c r="E287" s="2">
        <v>6230340.0</v>
      </c>
      <c r="F287" s="2">
        <v>6031281.0</v>
      </c>
      <c r="G287" s="3">
        <f t="shared" ref="G287:G288" si="144">E287+F287</f>
        <v>12261621</v>
      </c>
    </row>
    <row r="288">
      <c r="A288" s="2" t="s">
        <v>18</v>
      </c>
      <c r="B288" s="2" t="s">
        <v>14</v>
      </c>
      <c r="C288" s="2" t="s">
        <v>13</v>
      </c>
      <c r="D288" s="2">
        <v>1.0</v>
      </c>
      <c r="E288" s="2">
        <v>6112579.0</v>
      </c>
      <c r="F288" s="2">
        <v>5886120.0</v>
      </c>
      <c r="G288" s="3">
        <f t="shared" si="144"/>
        <v>11998699</v>
      </c>
    </row>
    <row r="292">
      <c r="D292" s="3" t="str">
        <f>"total=["&amp;L279&amp;", "&amp;L280&amp;", "&amp;G270&amp;", "&amp;G271&amp;", "&amp;G273&amp;", "&amp;G274&amp;", "&amp;G276&amp;", "&amp;G277&amp;"]"</f>
        <v>total=[8388608, 8388608, 9441832, 9310190, 8837973, 9382619, 9266269, 9326488]</v>
      </c>
    </row>
    <row r="293">
      <c r="D293" s="3" t="str">
        <f>"omp_data=["&amp;L279&amp;", "&amp;L280&amp;","&amp;G281&amp;", "&amp;G282&amp;", "&amp;G284&amp;", "&amp;G285&amp;", "&amp;G287&amp;","&amp;G288&amp;"]"</f>
        <v>omp_data=[8388608, 8388608,9272076, 9145806, 8826291, 9419517, 12261621,11998699]</v>
      </c>
    </row>
    <row r="294">
      <c r="K294" s="2" t="s">
        <v>86</v>
      </c>
    </row>
    <row r="296">
      <c r="B296" s="2" t="s">
        <v>25</v>
      </c>
    </row>
    <row r="297">
      <c r="C297" s="2" t="s">
        <v>4</v>
      </c>
      <c r="D297" s="2" t="s">
        <v>5</v>
      </c>
    </row>
    <row r="298">
      <c r="E298" s="2" t="s">
        <v>7</v>
      </c>
      <c r="F298" s="2" t="s">
        <v>8</v>
      </c>
      <c r="G298" s="2" t="s">
        <v>21</v>
      </c>
      <c r="J298" s="2">
        <v>4096.0</v>
      </c>
      <c r="K298" s="2">
        <v>4096.0</v>
      </c>
    </row>
    <row r="299">
      <c r="A299" s="2" t="s">
        <v>11</v>
      </c>
      <c r="B299" s="2" t="s">
        <v>12</v>
      </c>
      <c r="C299" s="2" t="s">
        <v>13</v>
      </c>
      <c r="D299" s="2">
        <v>1.0</v>
      </c>
      <c r="E299" s="2">
        <v>4319186.0</v>
      </c>
      <c r="F299" s="2">
        <v>2541288.0</v>
      </c>
      <c r="G299" s="3">
        <f t="shared" ref="G299:G300" si="145">E299+F299</f>
        <v>6860474</v>
      </c>
      <c r="H299" s="3">
        <f t="shared" ref="H299:H300" si="146">100-ABS($M$77-G299)/$M$77*100</f>
        <v>90.90243217</v>
      </c>
      <c r="I299" s="3">
        <f>100-ABS($M$78-G299)/$M$78*100</f>
        <v>36.4335537</v>
      </c>
    </row>
    <row r="300">
      <c r="A300" s="2" t="s">
        <v>11</v>
      </c>
      <c r="B300" s="2" t="s">
        <v>14</v>
      </c>
      <c r="C300" s="2" t="s">
        <v>13</v>
      </c>
      <c r="D300" s="2">
        <v>1.0</v>
      </c>
      <c r="E300" s="2">
        <v>4276900.0</v>
      </c>
      <c r="F300" s="2">
        <v>2499094.0</v>
      </c>
      <c r="G300" s="3">
        <f t="shared" si="145"/>
        <v>6775994</v>
      </c>
      <c r="H300" s="3">
        <f t="shared" si="146"/>
        <v>92.24586158</v>
      </c>
    </row>
    <row r="302">
      <c r="A302" s="2" t="s">
        <v>15</v>
      </c>
      <c r="B302" s="2" t="s">
        <v>12</v>
      </c>
      <c r="C302" s="2" t="s">
        <v>13</v>
      </c>
      <c r="D302" s="2">
        <v>1.0</v>
      </c>
      <c r="E302" s="2">
        <v>4058497.0</v>
      </c>
      <c r="F302" s="2">
        <v>1994509.0</v>
      </c>
      <c r="G302" s="3">
        <f t="shared" ref="G302:G303" si="147">E302+F302</f>
        <v>6053006</v>
      </c>
      <c r="H302" s="3">
        <f t="shared" ref="H302:H303" si="148">100-ABS($M$77-G302)/$M$77*100</f>
        <v>96.25693978</v>
      </c>
    </row>
    <row r="303">
      <c r="A303" s="2" t="s">
        <v>15</v>
      </c>
      <c r="B303" s="2" t="s">
        <v>14</v>
      </c>
      <c r="C303" s="2" t="s">
        <v>13</v>
      </c>
      <c r="D303" s="2">
        <v>1.0</v>
      </c>
      <c r="E303" s="2">
        <v>4047308.0</v>
      </c>
      <c r="F303" s="2">
        <v>1982488.0</v>
      </c>
      <c r="G303" s="3">
        <f t="shared" si="147"/>
        <v>6029796</v>
      </c>
      <c r="H303" s="3">
        <f t="shared" si="148"/>
        <v>95.88784654</v>
      </c>
    </row>
    <row r="304">
      <c r="J304" s="2" t="s">
        <v>16</v>
      </c>
      <c r="K304" s="2" t="s">
        <v>17</v>
      </c>
    </row>
    <row r="305">
      <c r="A305" s="2" t="s">
        <v>18</v>
      </c>
      <c r="B305" s="2" t="s">
        <v>12</v>
      </c>
      <c r="C305" s="2" t="s">
        <v>13</v>
      </c>
      <c r="D305" s="2">
        <v>1.0</v>
      </c>
      <c r="E305" s="2">
        <v>4127736.0</v>
      </c>
      <c r="F305" s="2">
        <v>2170046.0</v>
      </c>
      <c r="G305" s="3">
        <f t="shared" ref="G305:G306" si="149">E305+F305</f>
        <v>6297782</v>
      </c>
      <c r="H305" s="3">
        <f t="shared" ref="H305:H306" si="150">100-ABS($M$77-G305)/$M$77*100</f>
        <v>99.85054984</v>
      </c>
      <c r="J305" s="3">
        <f>J298*K298</f>
        <v>16777216</v>
      </c>
      <c r="K305" s="2">
        <v>8.0</v>
      </c>
    </row>
    <row r="306">
      <c r="A306" s="2" t="s">
        <v>18</v>
      </c>
      <c r="B306" s="2" t="s">
        <v>14</v>
      </c>
      <c r="C306" s="2" t="s">
        <v>13</v>
      </c>
      <c r="D306" s="2">
        <v>1.0</v>
      </c>
      <c r="E306" s="2">
        <v>3851933.0</v>
      </c>
      <c r="F306" s="2">
        <v>1814583.0</v>
      </c>
      <c r="G306" s="3">
        <f t="shared" si="149"/>
        <v>5666516</v>
      </c>
      <c r="H306" s="3">
        <f t="shared" si="150"/>
        <v>90.11084565</v>
      </c>
    </row>
    <row r="307">
      <c r="J307" s="2" t="s">
        <v>19</v>
      </c>
      <c r="K307" s="2" t="s">
        <v>20</v>
      </c>
      <c r="L307" s="2" t="s">
        <v>21</v>
      </c>
    </row>
    <row r="308">
      <c r="I308" s="2" t="s">
        <v>23</v>
      </c>
      <c r="J308" s="3">
        <f>J305*K305/64*2</f>
        <v>4194304</v>
      </c>
      <c r="K308" s="3">
        <f>J305*K305/64</f>
        <v>2097152</v>
      </c>
      <c r="L308" s="3">
        <f t="shared" ref="L308:L309" si="151">J308+K308</f>
        <v>6291456</v>
      </c>
    </row>
    <row r="309">
      <c r="A309" s="2" t="s">
        <v>84</v>
      </c>
      <c r="B309" s="2" t="s">
        <v>85</v>
      </c>
      <c r="I309" s="2" t="s">
        <v>3</v>
      </c>
      <c r="J309" s="3">
        <f>J305*K305/64</f>
        <v>2097152</v>
      </c>
      <c r="K309" s="3">
        <f>J305*K305/64</f>
        <v>2097152</v>
      </c>
      <c r="L309" s="3">
        <f t="shared" si="151"/>
        <v>4194304</v>
      </c>
    </row>
    <row r="310">
      <c r="A310" s="2" t="s">
        <v>11</v>
      </c>
      <c r="B310" s="2" t="s">
        <v>12</v>
      </c>
      <c r="C310" s="2" t="s">
        <v>13</v>
      </c>
      <c r="D310" s="2">
        <v>1.0</v>
      </c>
      <c r="E310" s="2">
        <v>4194669.0</v>
      </c>
      <c r="F310" s="2">
        <v>2409047.0</v>
      </c>
      <c r="G310" s="3">
        <f t="shared" ref="G310:G311" si="152">E310+F310</f>
        <v>6603716</v>
      </c>
    </row>
    <row r="311">
      <c r="A311" s="2" t="s">
        <v>11</v>
      </c>
      <c r="B311" s="2" t="s">
        <v>14</v>
      </c>
      <c r="C311" s="2" t="s">
        <v>13</v>
      </c>
      <c r="D311" s="2">
        <v>1.0</v>
      </c>
      <c r="E311" s="2">
        <v>4193464.0</v>
      </c>
      <c r="F311" s="2">
        <v>2404017.0</v>
      </c>
      <c r="G311" s="3">
        <f t="shared" si="152"/>
        <v>6597481</v>
      </c>
    </row>
    <row r="313">
      <c r="A313" s="2" t="s">
        <v>15</v>
      </c>
      <c r="B313" s="2" t="s">
        <v>12</v>
      </c>
      <c r="C313" s="2" t="s">
        <v>13</v>
      </c>
      <c r="D313" s="2">
        <v>1.0</v>
      </c>
      <c r="E313" s="2">
        <v>4118441.0</v>
      </c>
      <c r="F313" s="2">
        <v>2040754.0</v>
      </c>
      <c r="G313" s="3">
        <f t="shared" ref="G313:G314" si="153">E313+F313</f>
        <v>6159195</v>
      </c>
    </row>
    <row r="314">
      <c r="A314" s="2" t="s">
        <v>15</v>
      </c>
      <c r="B314" s="2" t="s">
        <v>14</v>
      </c>
      <c r="C314" s="2" t="s">
        <v>13</v>
      </c>
      <c r="D314" s="2">
        <v>1.0</v>
      </c>
      <c r="E314" s="2">
        <v>4151428.0</v>
      </c>
      <c r="F314" s="2">
        <v>2071814.0</v>
      </c>
      <c r="G314" s="3">
        <f t="shared" si="153"/>
        <v>6223242</v>
      </c>
    </row>
    <row r="316">
      <c r="A316" s="2" t="s">
        <v>18</v>
      </c>
      <c r="B316" s="2" t="s">
        <v>12</v>
      </c>
      <c r="C316" s="2" t="s">
        <v>13</v>
      </c>
      <c r="D316" s="2">
        <v>1.0</v>
      </c>
      <c r="E316" s="2">
        <v>3944120.0</v>
      </c>
      <c r="F316" s="2">
        <v>1906954.0</v>
      </c>
      <c r="G316" s="3">
        <f t="shared" ref="G316:G317" si="154">E316+F316</f>
        <v>5851074</v>
      </c>
    </row>
    <row r="317">
      <c r="A317" s="2" t="s">
        <v>18</v>
      </c>
      <c r="B317" s="2" t="s">
        <v>14</v>
      </c>
      <c r="C317" s="2" t="s">
        <v>13</v>
      </c>
      <c r="D317" s="2">
        <v>1.0</v>
      </c>
      <c r="E317" s="2">
        <v>3954375.0</v>
      </c>
      <c r="F317" s="2">
        <v>1892211.0</v>
      </c>
      <c r="G317" s="3">
        <f t="shared" si="154"/>
        <v>5846586</v>
      </c>
    </row>
    <row r="321">
      <c r="D321" s="3" t="str">
        <f>"total=["&amp;L308&amp;", "&amp;L309&amp;", "&amp;G299&amp;", "&amp;G300&amp;", "&amp;G302&amp;", "&amp;G303&amp;", "&amp;G305&amp;", "&amp;G306&amp;"]"</f>
        <v>total=[6291456, 4194304, 6860474, 6775994, 6053006, 6029796, 6297782, 5666516]</v>
      </c>
    </row>
    <row r="322">
      <c r="D322" s="3" t="str">
        <f>"omp_data=["&amp;L308&amp;", "&amp;L309&amp;","&amp;G310&amp;", "&amp;G311&amp;", "&amp;G313&amp;", "&amp;G314&amp;", "&amp;G316&amp;","&amp;G317&amp;"]"</f>
        <v>omp_data=[6291456, 4194304,6603716, 6597481, 6159195, 6223242, 5851074,5846586]</v>
      </c>
    </row>
    <row r="324">
      <c r="B324" s="2" t="s">
        <v>26</v>
      </c>
      <c r="C324" s="2" t="s">
        <v>27</v>
      </c>
      <c r="D324" s="2" t="s">
        <v>87</v>
      </c>
    </row>
    <row r="325">
      <c r="C325" s="2" t="s">
        <v>4</v>
      </c>
      <c r="D325" s="2" t="s">
        <v>5</v>
      </c>
      <c r="H325" s="3">
        <f t="shared" ref="H325:I325" si="155">(H327+H330+H333)/3</f>
        <v>93.35869397</v>
      </c>
      <c r="I325" s="3">
        <f t="shared" si="155"/>
        <v>54.6027098</v>
      </c>
    </row>
    <row r="326">
      <c r="E326" s="2" t="s">
        <v>7</v>
      </c>
      <c r="F326" s="2" t="s">
        <v>8</v>
      </c>
      <c r="G326" s="2" t="s">
        <v>21</v>
      </c>
      <c r="H326" s="3">
        <f t="shared" ref="H326:I326" si="156">(H328+H331+H334)/3</f>
        <v>83.72321494</v>
      </c>
      <c r="I326" s="3">
        <f t="shared" si="156"/>
        <v>38.22798413</v>
      </c>
    </row>
    <row r="327">
      <c r="A327" s="2" t="s">
        <v>11</v>
      </c>
      <c r="B327" s="2" t="s">
        <v>12</v>
      </c>
      <c r="C327" s="2" t="s">
        <v>13</v>
      </c>
      <c r="D327" s="2">
        <v>50.0</v>
      </c>
      <c r="E327" s="2">
        <v>4350028.0</v>
      </c>
      <c r="F327" s="2">
        <v>6546274.0</v>
      </c>
      <c r="G327" s="3">
        <f t="shared" ref="G327:G328" si="157">E327+F327</f>
        <v>10896302</v>
      </c>
      <c r="H327" s="3">
        <f>100-ABS($M$105-G327)/G327*100</f>
        <v>94.14834501</v>
      </c>
      <c r="I327" s="3">
        <f t="shared" ref="I327:I328" si="158">100-ABS(G327-$M$106)/G327*100</f>
        <v>55.06455309</v>
      </c>
    </row>
    <row r="328">
      <c r="A328" s="2" t="s">
        <v>11</v>
      </c>
      <c r="B328" s="2" t="s">
        <v>14</v>
      </c>
      <c r="C328" s="2" t="s">
        <v>13</v>
      </c>
      <c r="D328" s="2">
        <v>50.0</v>
      </c>
      <c r="E328" s="2">
        <v>1.0331989E7</v>
      </c>
      <c r="F328" s="2">
        <v>6642376.0</v>
      </c>
      <c r="G328" s="3">
        <f t="shared" si="157"/>
        <v>16974365</v>
      </c>
      <c r="H328" s="3">
        <f>100-ABS(G328-P336)/G328*100</f>
        <v>92.48493243</v>
      </c>
      <c r="I328" s="3">
        <f t="shared" si="158"/>
        <v>35.34741948</v>
      </c>
    </row>
    <row r="330">
      <c r="A330" s="2" t="s">
        <v>15</v>
      </c>
      <c r="B330" s="2" t="s">
        <v>12</v>
      </c>
      <c r="C330" s="2" t="s">
        <v>13</v>
      </c>
      <c r="D330" s="2">
        <v>50.0</v>
      </c>
      <c r="E330" s="2">
        <v>4587972.0</v>
      </c>
      <c r="F330" s="2">
        <v>6556922.0</v>
      </c>
      <c r="G330" s="3">
        <f t="shared" ref="G330:G331" si="159">E330+F330</f>
        <v>11144894</v>
      </c>
      <c r="H330" s="5">
        <f>100-ABS($M$105-G330)/G330*100</f>
        <v>92.04832276</v>
      </c>
      <c r="I330" s="3">
        <f t="shared" ref="I330:I331" si="160">100-ABS(G330-$M$106)/G330*100</f>
        <v>53.83631284</v>
      </c>
    </row>
    <row r="331">
      <c r="A331" s="2" t="s">
        <v>15</v>
      </c>
      <c r="B331" s="2" t="s">
        <v>14</v>
      </c>
      <c r="C331" s="2" t="s">
        <v>13</v>
      </c>
      <c r="D331" s="2">
        <v>50.0</v>
      </c>
      <c r="E331" s="2">
        <v>8780493.0</v>
      </c>
      <c r="F331" s="2">
        <v>6538910.0</v>
      </c>
      <c r="G331" s="3">
        <f t="shared" si="159"/>
        <v>15319403</v>
      </c>
      <c r="H331" s="3">
        <f>100-ABS(G331-P336)/G331*100</f>
        <v>80.87003129</v>
      </c>
      <c r="I331" s="3">
        <f t="shared" si="160"/>
        <v>39.16601711</v>
      </c>
    </row>
    <row r="332">
      <c r="J332" s="2" t="s">
        <v>16</v>
      </c>
      <c r="K332" s="2" t="s">
        <v>17</v>
      </c>
    </row>
    <row r="333">
      <c r="A333" s="2" t="s">
        <v>18</v>
      </c>
      <c r="B333" s="2" t="s">
        <v>12</v>
      </c>
      <c r="C333" s="2" t="s">
        <v>13</v>
      </c>
      <c r="D333" s="2">
        <v>50.0</v>
      </c>
      <c r="E333" s="2">
        <v>4479358.0</v>
      </c>
      <c r="F333" s="2">
        <v>6448158.0</v>
      </c>
      <c r="G333" s="3">
        <f t="shared" ref="G333:G334" si="161">E333+F333</f>
        <v>10927516</v>
      </c>
      <c r="H333" s="5">
        <f>100-ABS($M$105-G333)/G333*100</f>
        <v>93.87941413</v>
      </c>
      <c r="I333" s="3">
        <f t="shared" ref="I333:I334" si="162">100-ABS(G333-$M$106)/G333*100</f>
        <v>54.90726346</v>
      </c>
      <c r="J333" s="2">
        <v>1.0E8</v>
      </c>
      <c r="K333" s="2">
        <v>4.0</v>
      </c>
    </row>
    <row r="334">
      <c r="A334" s="2" t="s">
        <v>18</v>
      </c>
      <c r="B334" s="2" t="s">
        <v>14</v>
      </c>
      <c r="C334" s="2" t="s">
        <v>13</v>
      </c>
      <c r="D334" s="2">
        <v>50.0</v>
      </c>
      <c r="E334" s="2">
        <v>8491966.0</v>
      </c>
      <c r="F334" s="2">
        <v>6444362.0</v>
      </c>
      <c r="G334" s="3">
        <f t="shared" si="161"/>
        <v>14936328</v>
      </c>
      <c r="H334" s="3">
        <f>100-ABS(G334-P336)/G334*100</f>
        <v>77.81468109</v>
      </c>
      <c r="I334" s="3">
        <f t="shared" si="162"/>
        <v>40.17051581</v>
      </c>
    </row>
    <row r="335">
      <c r="J335" s="2" t="s">
        <v>19</v>
      </c>
      <c r="K335" s="2" t="s">
        <v>20</v>
      </c>
      <c r="L335" s="2" t="s">
        <v>21</v>
      </c>
    </row>
    <row r="336">
      <c r="I336" s="2" t="s">
        <v>23</v>
      </c>
      <c r="J336" s="3">
        <f t="shared" ref="J336:J337" si="163">$K$102*$L$102/64*2 *16/50</f>
        <v>4000000</v>
      </c>
      <c r="K336" s="3">
        <f>J333*K333/64</f>
        <v>6250000</v>
      </c>
      <c r="L336" s="3">
        <f t="shared" ref="L336:L337" si="164">J336+K336</f>
        <v>10250000</v>
      </c>
      <c r="N336" s="3">
        <f>J333/50*3*2</f>
        <v>12000000</v>
      </c>
      <c r="O336" s="3">
        <v>6250000.0</v>
      </c>
      <c r="P336" s="3">
        <f>N336+O336</f>
        <v>18250000</v>
      </c>
    </row>
    <row r="337">
      <c r="A337" s="2" t="s">
        <v>84</v>
      </c>
      <c r="B337" s="2" t="s">
        <v>85</v>
      </c>
      <c r="I337" s="2" t="s">
        <v>3</v>
      </c>
      <c r="J337" s="3">
        <f t="shared" si="163"/>
        <v>4000000</v>
      </c>
      <c r="K337" s="3">
        <f>J337/2</f>
        <v>2000000</v>
      </c>
      <c r="L337" s="3">
        <f t="shared" si="164"/>
        <v>6000000</v>
      </c>
    </row>
    <row r="338">
      <c r="A338" s="2" t="s">
        <v>11</v>
      </c>
      <c r="B338" s="2" t="s">
        <v>12</v>
      </c>
      <c r="C338" s="2" t="s">
        <v>13</v>
      </c>
      <c r="D338" s="2">
        <v>50.0</v>
      </c>
      <c r="E338" s="2">
        <v>4329745.0</v>
      </c>
      <c r="F338" s="2">
        <v>6736904.0</v>
      </c>
      <c r="G338" s="3">
        <f t="shared" ref="G338:G339" si="165">E338+F338</f>
        <v>11066649</v>
      </c>
    </row>
    <row r="339">
      <c r="A339" s="2" t="s">
        <v>11</v>
      </c>
      <c r="B339" s="2" t="s">
        <v>14</v>
      </c>
      <c r="C339" s="2" t="s">
        <v>13</v>
      </c>
      <c r="D339" s="2">
        <v>50.0</v>
      </c>
      <c r="E339" s="2">
        <v>1.251569E7</v>
      </c>
      <c r="F339" s="2">
        <v>7297482.0</v>
      </c>
      <c r="G339" s="3">
        <f t="shared" si="165"/>
        <v>19813172</v>
      </c>
    </row>
    <row r="341">
      <c r="A341" s="2" t="s">
        <v>15</v>
      </c>
      <c r="B341" s="2" t="s">
        <v>12</v>
      </c>
      <c r="C341" s="2" t="s">
        <v>13</v>
      </c>
      <c r="D341" s="2">
        <v>50.0</v>
      </c>
      <c r="E341" s="2">
        <v>5026301.0</v>
      </c>
      <c r="F341" s="2">
        <v>9816372.0</v>
      </c>
      <c r="G341" s="3">
        <f t="shared" ref="G341:G342" si="166">E341+F341</f>
        <v>14842673</v>
      </c>
    </row>
    <row r="342">
      <c r="A342" s="2" t="s">
        <v>15</v>
      </c>
      <c r="B342" s="2" t="s">
        <v>14</v>
      </c>
      <c r="C342" s="2" t="s">
        <v>13</v>
      </c>
      <c r="D342" s="2">
        <v>50.0</v>
      </c>
      <c r="E342" s="2">
        <v>1.4696603E7</v>
      </c>
      <c r="F342" s="2">
        <v>1.1705701E7</v>
      </c>
      <c r="G342" s="3">
        <f t="shared" si="166"/>
        <v>26402304</v>
      </c>
    </row>
    <row r="344">
      <c r="A344" s="2" t="s">
        <v>18</v>
      </c>
      <c r="B344" s="2" t="s">
        <v>12</v>
      </c>
      <c r="C344" s="2" t="s">
        <v>13</v>
      </c>
      <c r="D344" s="2">
        <v>50.0</v>
      </c>
      <c r="E344" s="2">
        <v>5832027.0</v>
      </c>
      <c r="F344" s="2">
        <v>1.2642505E7</v>
      </c>
      <c r="G344" s="3">
        <f t="shared" ref="G344:G345" si="167">E344+F344</f>
        <v>18474532</v>
      </c>
    </row>
    <row r="345">
      <c r="A345" s="2" t="s">
        <v>18</v>
      </c>
      <c r="B345" s="2" t="s">
        <v>14</v>
      </c>
      <c r="C345" s="2" t="s">
        <v>13</v>
      </c>
      <c r="D345" s="2">
        <v>50.0</v>
      </c>
      <c r="E345" s="2">
        <v>2.1618052E7</v>
      </c>
      <c r="F345" s="2">
        <v>1.9427439E7</v>
      </c>
      <c r="G345" s="3">
        <f t="shared" si="167"/>
        <v>41045491</v>
      </c>
    </row>
    <row r="349">
      <c r="D349" s="3" t="str">
        <f>"total=["&amp;L336&amp;", "&amp;L337&amp;", "&amp;G327&amp;", "&amp;G328&amp;", "&amp;G330&amp;", "&amp;G331&amp;", "&amp;G333&amp;", "&amp;G334&amp;"]"</f>
        <v>total=[10250000, 6000000, 10896302, 16974365, 11144894, 15319403, 10927516, 14936328]</v>
      </c>
    </row>
    <row r="355">
      <c r="D355" s="2" t="s">
        <v>88</v>
      </c>
    </row>
    <row r="356">
      <c r="B356" s="2" t="s">
        <v>26</v>
      </c>
      <c r="C356" s="2" t="s">
        <v>32</v>
      </c>
    </row>
    <row r="357">
      <c r="C357" s="2" t="s">
        <v>4</v>
      </c>
      <c r="D357" s="2" t="s">
        <v>5</v>
      </c>
    </row>
    <row r="358">
      <c r="E358" s="2" t="s">
        <v>7</v>
      </c>
      <c r="F358" s="2" t="s">
        <v>8</v>
      </c>
      <c r="G358" s="2" t="s">
        <v>21</v>
      </c>
      <c r="J358" s="2">
        <v>4096.0</v>
      </c>
      <c r="K358" s="2">
        <v>4096.0</v>
      </c>
    </row>
    <row r="359">
      <c r="A359" s="2" t="s">
        <v>11</v>
      </c>
      <c r="B359" s="2" t="s">
        <v>12</v>
      </c>
      <c r="C359" s="2" t="s">
        <v>13</v>
      </c>
      <c r="D359" s="2">
        <v>200.0</v>
      </c>
      <c r="E359" s="2">
        <v>1516527.0</v>
      </c>
      <c r="F359" s="2">
        <v>821676.0</v>
      </c>
      <c r="G359" s="3">
        <f t="shared" ref="G359:G360" si="168">E359+F359</f>
        <v>2338203</v>
      </c>
      <c r="H359" s="3">
        <f t="shared" ref="H359:H360" si="169">100-ABS($M$77-G359)/$M$77*100</f>
        <v>37.1828915</v>
      </c>
      <c r="I359" s="3">
        <f>100-ABS($M$78-G359)/$M$78*100</f>
        <v>55.74710369</v>
      </c>
    </row>
    <row r="360">
      <c r="A360" s="2" t="s">
        <v>11</v>
      </c>
      <c r="B360" s="2" t="s">
        <v>14</v>
      </c>
      <c r="C360" s="2" t="s">
        <v>13</v>
      </c>
      <c r="D360" s="2">
        <v>200.0</v>
      </c>
      <c r="E360" s="2">
        <v>1520001.0</v>
      </c>
      <c r="F360" s="2">
        <v>826604.0</v>
      </c>
      <c r="G360" s="3">
        <f t="shared" si="168"/>
        <v>2346605</v>
      </c>
      <c r="H360" s="3">
        <f t="shared" si="169"/>
        <v>37.31650294</v>
      </c>
    </row>
    <row r="362">
      <c r="A362" s="2" t="s">
        <v>15</v>
      </c>
      <c r="B362" s="2" t="s">
        <v>12</v>
      </c>
      <c r="C362" s="2" t="s">
        <v>13</v>
      </c>
      <c r="D362" s="2">
        <v>200.0</v>
      </c>
      <c r="E362" s="2">
        <v>1697399.0</v>
      </c>
      <c r="F362" s="2">
        <v>679613.0</v>
      </c>
      <c r="G362" s="3">
        <f t="shared" ref="G362:G363" si="170">E362+F362</f>
        <v>2377012</v>
      </c>
      <c r="H362" s="3">
        <f t="shared" ref="H362:H363" si="171">100-ABS($M$77-G362)/$M$77*100</f>
        <v>37.80004529</v>
      </c>
      <c r="M362" s="3">
        <f>J365/200</f>
        <v>500000</v>
      </c>
    </row>
    <row r="363">
      <c r="A363" s="2" t="s">
        <v>15</v>
      </c>
      <c r="B363" s="2" t="s">
        <v>14</v>
      </c>
      <c r="C363" s="2" t="s">
        <v>13</v>
      </c>
      <c r="D363" s="2">
        <v>200.0</v>
      </c>
      <c r="E363" s="2">
        <v>1826256.0</v>
      </c>
      <c r="F363" s="2">
        <v>703656.0</v>
      </c>
      <c r="G363" s="3">
        <f t="shared" si="170"/>
        <v>2529912</v>
      </c>
      <c r="H363" s="3">
        <f t="shared" si="171"/>
        <v>40.23151258</v>
      </c>
    </row>
    <row r="364">
      <c r="J364" s="2" t="s">
        <v>16</v>
      </c>
      <c r="K364" s="2" t="s">
        <v>17</v>
      </c>
    </row>
    <row r="365">
      <c r="A365" s="2" t="s">
        <v>18</v>
      </c>
      <c r="B365" s="2" t="s">
        <v>12</v>
      </c>
      <c r="C365" s="2" t="s">
        <v>13</v>
      </c>
      <c r="D365" s="2">
        <v>200.0</v>
      </c>
      <c r="E365" s="2">
        <v>1501175.0</v>
      </c>
      <c r="F365" s="2">
        <v>505334.0</v>
      </c>
      <c r="G365" s="3">
        <f t="shared" ref="G365:G366" si="172">E365+F365</f>
        <v>2006509</v>
      </c>
      <c r="H365" s="3">
        <f t="shared" ref="H365:H366" si="173">100-ABS($M$77-G365)/$M$77*100</f>
        <v>31.90818182</v>
      </c>
      <c r="J365" s="2">
        <v>1.0E8</v>
      </c>
      <c r="K365" s="2">
        <v>4.0</v>
      </c>
    </row>
    <row r="366">
      <c r="A366" s="2" t="s">
        <v>18</v>
      </c>
      <c r="B366" s="2" t="s">
        <v>14</v>
      </c>
      <c r="C366" s="2" t="s">
        <v>13</v>
      </c>
      <c r="D366" s="2">
        <v>200.0</v>
      </c>
      <c r="E366" s="2">
        <v>1502057.0</v>
      </c>
      <c r="F366" s="2">
        <v>505586.0</v>
      </c>
      <c r="G366" s="3">
        <f t="shared" si="172"/>
        <v>2007643</v>
      </c>
      <c r="H366" s="3">
        <f t="shared" si="173"/>
        <v>31.92621507</v>
      </c>
    </row>
    <row r="367">
      <c r="J367" s="2" t="s">
        <v>19</v>
      </c>
      <c r="K367" s="2" t="s">
        <v>20</v>
      </c>
      <c r="L367" s="2" t="s">
        <v>21</v>
      </c>
    </row>
    <row r="368">
      <c r="I368" s="2" t="s">
        <v>23</v>
      </c>
      <c r="J368" s="3">
        <f>J365*K365/64*3*16/200</f>
        <v>1500000</v>
      </c>
      <c r="K368" s="3">
        <f>J365*K365/64*16/200</f>
        <v>500000</v>
      </c>
      <c r="L368" s="3">
        <f t="shared" ref="L368:L369" si="174">J368+K368</f>
        <v>2000000</v>
      </c>
    </row>
    <row r="369">
      <c r="A369" s="2" t="s">
        <v>84</v>
      </c>
      <c r="B369" s="2" t="s">
        <v>85</v>
      </c>
      <c r="I369" s="2" t="s">
        <v>3</v>
      </c>
      <c r="J369" s="3">
        <f>J365*K365/64*16/200*2</f>
        <v>1000000</v>
      </c>
      <c r="K369" s="3">
        <f>K368</f>
        <v>500000</v>
      </c>
      <c r="L369" s="3">
        <f t="shared" si="174"/>
        <v>1500000</v>
      </c>
    </row>
    <row r="370">
      <c r="A370" s="2" t="s">
        <v>11</v>
      </c>
      <c r="B370" s="2" t="s">
        <v>12</v>
      </c>
      <c r="C370" s="2" t="s">
        <v>13</v>
      </c>
      <c r="D370" s="2">
        <v>200.0</v>
      </c>
      <c r="E370" s="2">
        <v>1513717.0</v>
      </c>
      <c r="F370" s="2">
        <v>991100.0</v>
      </c>
      <c r="G370" s="3">
        <f t="shared" ref="G370:G371" si="175">E370+F370</f>
        <v>2504817</v>
      </c>
    </row>
    <row r="371">
      <c r="A371" s="2" t="s">
        <v>11</v>
      </c>
      <c r="B371" s="2" t="s">
        <v>14</v>
      </c>
      <c r="C371" s="2" t="s">
        <v>13</v>
      </c>
      <c r="D371" s="2">
        <v>200.0</v>
      </c>
      <c r="E371" s="2">
        <v>1529733.0</v>
      </c>
      <c r="F371" s="2">
        <v>999314.0</v>
      </c>
      <c r="G371" s="3">
        <f t="shared" si="175"/>
        <v>2529047</v>
      </c>
    </row>
    <row r="373">
      <c r="A373" s="2" t="s">
        <v>15</v>
      </c>
      <c r="B373" s="2" t="s">
        <v>12</v>
      </c>
      <c r="C373" s="2" t="s">
        <v>13</v>
      </c>
      <c r="D373" s="2">
        <v>200.0</v>
      </c>
      <c r="E373" s="2">
        <v>1421407.0</v>
      </c>
      <c r="F373" s="2">
        <v>471088.0</v>
      </c>
      <c r="G373" s="3">
        <f t="shared" ref="G373:G374" si="176">E373+F373</f>
        <v>1892495</v>
      </c>
    </row>
    <row r="374">
      <c r="A374" s="2" t="s">
        <v>15</v>
      </c>
      <c r="B374" s="2" t="s">
        <v>14</v>
      </c>
      <c r="C374" s="2" t="s">
        <v>13</v>
      </c>
      <c r="D374" s="2">
        <v>200.0</v>
      </c>
      <c r="E374" s="2">
        <v>1572538.0</v>
      </c>
      <c r="F374" s="2">
        <v>470893.0</v>
      </c>
      <c r="G374" s="3">
        <f t="shared" si="176"/>
        <v>2043431</v>
      </c>
    </row>
    <row r="376">
      <c r="A376" s="2" t="s">
        <v>18</v>
      </c>
      <c r="B376" s="2" t="s">
        <v>12</v>
      </c>
      <c r="C376" s="2" t="s">
        <v>13</v>
      </c>
      <c r="D376" s="2">
        <v>200.0</v>
      </c>
      <c r="E376" s="2">
        <v>1508776.0</v>
      </c>
      <c r="F376" s="2">
        <v>1047014.0</v>
      </c>
      <c r="G376" s="3">
        <f t="shared" ref="G376:G377" si="177">E376+F376</f>
        <v>2555790</v>
      </c>
    </row>
    <row r="377">
      <c r="A377" s="2" t="s">
        <v>18</v>
      </c>
      <c r="B377" s="2" t="s">
        <v>14</v>
      </c>
      <c r="C377" s="2" t="s">
        <v>13</v>
      </c>
      <c r="D377" s="2">
        <v>200.0</v>
      </c>
      <c r="E377" s="2">
        <v>1765203.0</v>
      </c>
      <c r="F377" s="2">
        <v>1034721.0</v>
      </c>
      <c r="G377" s="3">
        <f t="shared" si="177"/>
        <v>2799924</v>
      </c>
    </row>
    <row r="381">
      <c r="D381" s="3" t="str">
        <f>"total=["&amp;L368&amp;", "&amp;L369&amp;", "&amp;G359&amp;", "&amp;G360&amp;", "&amp;G362&amp;", "&amp;G363&amp;", "&amp;G365&amp;", "&amp;G366&amp;"]"</f>
        <v>total=[2000000, 1500000, 2338203, 2346605, 2377012, 2529912, 2006509, 2007643]</v>
      </c>
    </row>
    <row r="386">
      <c r="D386" s="2" t="s">
        <v>34</v>
      </c>
      <c r="E386" s="2">
        <v>1.0</v>
      </c>
      <c r="F386" s="2">
        <v>1713800.0</v>
      </c>
      <c r="G386" s="2">
        <v>398826.0</v>
      </c>
    </row>
    <row r="387">
      <c r="I387" s="2">
        <v>4000000.0</v>
      </c>
      <c r="J387" s="3">
        <f>LOG(I387)</f>
        <v>6.602059991</v>
      </c>
      <c r="K387" s="3">
        <f>J387*100000</f>
        <v>660205.9991</v>
      </c>
      <c r="L387" s="3">
        <f>K387*3</f>
        <v>1980617.997</v>
      </c>
    </row>
    <row r="389">
      <c r="B389" s="2" t="s">
        <v>36</v>
      </c>
    </row>
    <row r="390">
      <c r="C390" s="2" t="s">
        <v>4</v>
      </c>
      <c r="D390" s="2" t="s">
        <v>5</v>
      </c>
    </row>
    <row r="391">
      <c r="E391" s="2" t="s">
        <v>7</v>
      </c>
      <c r="F391" s="2" t="s">
        <v>8</v>
      </c>
      <c r="G391" s="2" t="s">
        <v>21</v>
      </c>
      <c r="H391" s="3">
        <f>(H392+H395+H398)/3</f>
        <v>71.40343218</v>
      </c>
      <c r="J391" s="2">
        <v>4096.0</v>
      </c>
      <c r="K391" s="2">
        <v>4096.0</v>
      </c>
    </row>
    <row r="392">
      <c r="A392" s="2" t="s">
        <v>11</v>
      </c>
      <c r="B392" s="2" t="s">
        <v>12</v>
      </c>
      <c r="C392" s="2" t="s">
        <v>34</v>
      </c>
      <c r="D392" s="2">
        <v>1.0</v>
      </c>
      <c r="E392" s="2">
        <v>426155.0</v>
      </c>
      <c r="G392" s="3">
        <f t="shared" ref="G392:G393" si="178">E392+F392</f>
        <v>426155</v>
      </c>
      <c r="H392" s="3">
        <f>100-ABS(G392-L401)/G392*100</f>
        <v>61.88821813</v>
      </c>
      <c r="I392" s="3">
        <f>100-ABS($M$78-G392)/$M$78*100</f>
        <v>10.16032696</v>
      </c>
    </row>
    <row r="393">
      <c r="A393" s="2" t="s">
        <v>11</v>
      </c>
      <c r="B393" s="2" t="s">
        <v>14</v>
      </c>
      <c r="C393" s="2" t="s">
        <v>34</v>
      </c>
      <c r="D393" s="2">
        <v>1.0</v>
      </c>
      <c r="E393" s="2">
        <v>472839.0</v>
      </c>
      <c r="G393" s="3">
        <f t="shared" si="178"/>
        <v>472839</v>
      </c>
      <c r="H393" s="3">
        <f>100-ABS(G393-L401)/G393*100</f>
        <v>75.52417122</v>
      </c>
    </row>
    <row r="394">
      <c r="J394" s="3">
        <f>(H393+H399)/2</f>
        <v>63.08615896</v>
      </c>
    </row>
    <row r="395">
      <c r="A395" s="2" t="s">
        <v>15</v>
      </c>
      <c r="B395" s="2" t="s">
        <v>12</v>
      </c>
      <c r="C395" s="2" t="s">
        <v>13</v>
      </c>
      <c r="D395" s="2">
        <v>1.0</v>
      </c>
      <c r="E395" s="2">
        <v>534214.0</v>
      </c>
      <c r="G395" s="3">
        <f t="shared" ref="G395:G396" si="179">E395+F395</f>
        <v>534214</v>
      </c>
      <c r="H395" s="3">
        <f>100-ABS(G395-L401)/G395*100</f>
        <v>89.82500196</v>
      </c>
    </row>
    <row r="396">
      <c r="A396" s="2" t="s">
        <v>15</v>
      </c>
      <c r="B396" s="2" t="s">
        <v>14</v>
      </c>
      <c r="C396" s="2" t="s">
        <v>13</v>
      </c>
      <c r="D396" s="2">
        <v>1.0</v>
      </c>
      <c r="E396" s="2">
        <v>1152437.0</v>
      </c>
      <c r="G396" s="3">
        <f t="shared" si="179"/>
        <v>1152437</v>
      </c>
      <c r="H396" s="3">
        <f>100-ABS($M$77-G396)/$M$77*100</f>
        <v>18.32644126</v>
      </c>
    </row>
    <row r="397">
      <c r="J397" s="2" t="s">
        <v>16</v>
      </c>
      <c r="K397" s="2" t="s">
        <v>17</v>
      </c>
    </row>
    <row r="398">
      <c r="A398" s="2" t="s">
        <v>18</v>
      </c>
      <c r="B398" s="2" t="s">
        <v>12</v>
      </c>
      <c r="C398" s="2" t="s">
        <v>13</v>
      </c>
      <c r="D398" s="2">
        <v>1.0</v>
      </c>
      <c r="E398" s="2">
        <v>428042.0</v>
      </c>
      <c r="G398" s="3">
        <f t="shared" ref="G398:G399" si="180">E398+F398</f>
        <v>428042</v>
      </c>
      <c r="H398" s="3">
        <f>100-ABS(G398-L401)/G398*100</f>
        <v>62.49707645</v>
      </c>
      <c r="J398" s="2">
        <v>1.0E8</v>
      </c>
      <c r="K398" s="2">
        <v>4.0</v>
      </c>
    </row>
    <row r="399">
      <c r="A399" s="2" t="s">
        <v>18</v>
      </c>
      <c r="B399" s="2" t="s">
        <v>14</v>
      </c>
      <c r="C399" s="2" t="s">
        <v>13</v>
      </c>
      <c r="D399" s="2">
        <v>1.0</v>
      </c>
      <c r="E399" s="2">
        <v>394083.0</v>
      </c>
      <c r="G399" s="3">
        <f t="shared" si="180"/>
        <v>394083</v>
      </c>
      <c r="H399" s="3">
        <f>100-ABS(G399-L401)/G399*100</f>
        <v>50.6481467</v>
      </c>
    </row>
    <row r="400">
      <c r="J400" s="2" t="s">
        <v>19</v>
      </c>
      <c r="K400" s="2" t="s">
        <v>20</v>
      </c>
      <c r="L400" s="2" t="s">
        <v>21</v>
      </c>
    </row>
    <row r="401">
      <c r="I401" s="2" t="s">
        <v>23</v>
      </c>
      <c r="J401" s="3">
        <v>588570.2640307106</v>
      </c>
      <c r="L401" s="3">
        <f t="shared" ref="L401:L402" si="181">J401+K401</f>
        <v>588570.264</v>
      </c>
    </row>
    <row r="402">
      <c r="A402" s="2" t="s">
        <v>84</v>
      </c>
      <c r="B402" s="2" t="s">
        <v>85</v>
      </c>
      <c r="I402" s="2" t="s">
        <v>3</v>
      </c>
      <c r="J402" s="3">
        <f>J398*K398/64*16/200*2</f>
        <v>1000000</v>
      </c>
      <c r="L402" s="3">
        <f t="shared" si="181"/>
        <v>1000000</v>
      </c>
    </row>
    <row r="403">
      <c r="A403" s="2" t="s">
        <v>11</v>
      </c>
      <c r="B403" s="2" t="s">
        <v>12</v>
      </c>
      <c r="C403" s="2" t="s">
        <v>34</v>
      </c>
      <c r="D403" s="2">
        <v>1.0</v>
      </c>
      <c r="E403" s="2">
        <v>639516.0</v>
      </c>
      <c r="F403" s="2">
        <v>25937.0</v>
      </c>
      <c r="G403" s="3">
        <f t="shared" ref="G403:G404" si="182">E403+F403</f>
        <v>665453</v>
      </c>
    </row>
    <row r="404">
      <c r="A404" s="2" t="s">
        <v>11</v>
      </c>
      <c r="B404" s="2" t="s">
        <v>14</v>
      </c>
      <c r="C404" s="2" t="s">
        <v>34</v>
      </c>
      <c r="D404" s="2">
        <v>1.0</v>
      </c>
      <c r="E404" s="2">
        <v>853467.0</v>
      </c>
      <c r="F404" s="2">
        <v>25937.0</v>
      </c>
      <c r="G404" s="3">
        <f t="shared" si="182"/>
        <v>879404</v>
      </c>
    </row>
    <row r="406">
      <c r="A406" s="2" t="s">
        <v>15</v>
      </c>
      <c r="B406" s="2" t="s">
        <v>12</v>
      </c>
      <c r="C406" s="2" t="s">
        <v>13</v>
      </c>
      <c r="D406" s="2">
        <v>1.0</v>
      </c>
      <c r="E406" s="2">
        <v>911139.0</v>
      </c>
      <c r="F406" s="2">
        <v>0.0</v>
      </c>
      <c r="G406" s="3">
        <f t="shared" ref="G406:G407" si="183">E406+F406</f>
        <v>911139</v>
      </c>
    </row>
    <row r="407">
      <c r="A407" s="2" t="s">
        <v>15</v>
      </c>
      <c r="B407" s="2" t="s">
        <v>14</v>
      </c>
      <c r="C407" s="2" t="s">
        <v>13</v>
      </c>
      <c r="D407" s="2">
        <v>1.0</v>
      </c>
      <c r="E407" s="2">
        <v>1925681.0</v>
      </c>
      <c r="F407" s="2">
        <v>0.0</v>
      </c>
      <c r="G407" s="3">
        <f t="shared" si="183"/>
        <v>1925681</v>
      </c>
    </row>
    <row r="409">
      <c r="A409" s="2" t="s">
        <v>18</v>
      </c>
      <c r="B409" s="2" t="s">
        <v>12</v>
      </c>
      <c r="C409" s="2" t="s">
        <v>13</v>
      </c>
      <c r="D409" s="2">
        <v>1.0</v>
      </c>
      <c r="E409" s="2">
        <v>593093.0</v>
      </c>
      <c r="F409" s="2">
        <v>0.0</v>
      </c>
      <c r="G409" s="3">
        <f t="shared" ref="G409:G410" si="184">E409+F409</f>
        <v>593093</v>
      </c>
    </row>
    <row r="410">
      <c r="A410" s="2" t="s">
        <v>18</v>
      </c>
      <c r="B410" s="2" t="s">
        <v>14</v>
      </c>
      <c r="C410" s="2" t="s">
        <v>13</v>
      </c>
      <c r="D410" s="2">
        <v>1.0</v>
      </c>
      <c r="E410" s="2">
        <v>1018796.0</v>
      </c>
      <c r="F410" s="2">
        <v>0.0</v>
      </c>
      <c r="G410" s="3">
        <f t="shared" si="184"/>
        <v>1018796</v>
      </c>
    </row>
    <row r="414">
      <c r="D414" s="3" t="str">
        <f>"total=["&amp;L401&amp;", "&amp;L402&amp;", "&amp;G392&amp;", "&amp;G393&amp;", "&amp;G395&amp;", "&amp;G396&amp;", "&amp;G398&amp;", "&amp;G399&amp;"]"</f>
        <v>total=[588570.264030711, 1000000, 426155, 472839, 534214, 1152437, 428042, 394083]</v>
      </c>
    </row>
    <row r="415">
      <c r="D415" s="3" t="str">
        <f>"omp_data=["&amp;L401&amp;", "&amp;L402&amp;","&amp;G403&amp;", "&amp;G404&amp;", "&amp;G406&amp;", "&amp;G407&amp;", "&amp;G409&amp;","&amp;G410&amp;"]"</f>
        <v>omp_data=[588570.264030711, 1000000,665453, 879404, 911139, 1925681, 593093,1018796]</v>
      </c>
    </row>
    <row r="416">
      <c r="F416" s="2">
        <v>240.0</v>
      </c>
      <c r="G416" s="3">
        <f>F416*F421</f>
        <v>251658240</v>
      </c>
      <c r="H416" s="3">
        <f>E418/G416</f>
        <v>0.02443326314</v>
      </c>
      <c r="I416" s="3">
        <f>E423/G416</f>
        <v>0.1666666667</v>
      </c>
      <c r="J416" s="3">
        <f>H416*I416</f>
        <v>0.004072210524</v>
      </c>
    </row>
    <row r="418">
      <c r="D418" s="8">
        <v>768604.0</v>
      </c>
      <c r="E418" s="3">
        <f>D418*8</f>
        <v>6148832</v>
      </c>
      <c r="F418" s="3">
        <f>E418/F421</f>
        <v>5.863983154</v>
      </c>
      <c r="I418" s="3">
        <f>D421/D418</f>
        <v>0.7657652888</v>
      </c>
    </row>
    <row r="419">
      <c r="F419" s="2">
        <v>477873.0</v>
      </c>
    </row>
    <row r="420">
      <c r="D420" s="3">
        <f>log(D418)</f>
        <v>5.88570264</v>
      </c>
    </row>
    <row r="421">
      <c r="D421" s="3">
        <f>D420*100000</f>
        <v>588570.264</v>
      </c>
      <c r="E421" s="3">
        <f>D421*64</f>
        <v>37668496.9</v>
      </c>
      <c r="F421" s="9">
        <v>1048576.0</v>
      </c>
      <c r="G421" s="3">
        <f>E421/F421</f>
        <v>35.92347803</v>
      </c>
    </row>
    <row r="422">
      <c r="D422" s="2" t="s">
        <v>42</v>
      </c>
    </row>
    <row r="423">
      <c r="C423" s="2" t="s">
        <v>43</v>
      </c>
      <c r="D423" s="2">
        <v>40.0</v>
      </c>
      <c r="E423" s="3">
        <f t="shared" ref="E423:E425" si="185">D423*$F$190</f>
        <v>41943040</v>
      </c>
    </row>
    <row r="424">
      <c r="C424" s="2" t="s">
        <v>44</v>
      </c>
      <c r="D424" s="2">
        <v>14.0</v>
      </c>
      <c r="E424" s="3">
        <f t="shared" si="185"/>
        <v>14680064</v>
      </c>
    </row>
    <row r="425">
      <c r="C425" s="2" t="s">
        <v>45</v>
      </c>
      <c r="D425" s="2">
        <v>28.0</v>
      </c>
      <c r="E425" s="3">
        <f t="shared" si="185"/>
        <v>29360128</v>
      </c>
    </row>
    <row r="426">
      <c r="K426" s="2">
        <v>102.0</v>
      </c>
    </row>
    <row r="428">
      <c r="L428" s="3">
        <f>L431/64</f>
        <v>65536</v>
      </c>
    </row>
    <row r="429">
      <c r="B429" s="2" t="s">
        <v>89</v>
      </c>
    </row>
    <row r="430">
      <c r="C430" s="2" t="s">
        <v>4</v>
      </c>
      <c r="D430" s="2" t="s">
        <v>5</v>
      </c>
    </row>
    <row r="431">
      <c r="E431" s="2" t="s">
        <v>7</v>
      </c>
      <c r="F431" s="2" t="s">
        <v>8</v>
      </c>
      <c r="G431" s="2" t="s">
        <v>21</v>
      </c>
      <c r="J431" s="2">
        <v>2048.0</v>
      </c>
      <c r="K431" s="2">
        <v>2048.0</v>
      </c>
      <c r="L431" s="3">
        <f>J431*K431</f>
        <v>4194304</v>
      </c>
      <c r="M431" s="3">
        <f>L431/64</f>
        <v>65536</v>
      </c>
    </row>
    <row r="432">
      <c r="A432" s="2" t="s">
        <v>11</v>
      </c>
      <c r="B432" s="2" t="s">
        <v>12</v>
      </c>
      <c r="C432" s="2" t="s">
        <v>13</v>
      </c>
      <c r="D432" s="2">
        <v>200.0</v>
      </c>
      <c r="E432" s="2">
        <v>1516527.0</v>
      </c>
      <c r="F432" s="2">
        <v>821676.0</v>
      </c>
      <c r="G432" s="3">
        <f t="shared" ref="G432:G433" si="186">E432+F432</f>
        <v>2338203</v>
      </c>
      <c r="H432" s="3">
        <f t="shared" ref="H432:H433" si="187">100-ABS($M$77-G432)/$M$77*100</f>
        <v>37.1828915</v>
      </c>
      <c r="I432" s="3">
        <f>100-ABS($M$78-G432)/$M$78*100</f>
        <v>55.74710369</v>
      </c>
    </row>
    <row r="433">
      <c r="A433" s="2" t="s">
        <v>11</v>
      </c>
      <c r="B433" s="2" t="s">
        <v>14</v>
      </c>
      <c r="C433" s="2" t="s">
        <v>13</v>
      </c>
      <c r="D433" s="2">
        <v>200.0</v>
      </c>
      <c r="E433" s="2">
        <v>1520001.0</v>
      </c>
      <c r="F433" s="2">
        <v>826604.0</v>
      </c>
      <c r="G433" s="3">
        <f t="shared" si="186"/>
        <v>2346605</v>
      </c>
      <c r="H433" s="3">
        <f t="shared" si="187"/>
        <v>37.31650294</v>
      </c>
    </row>
    <row r="435">
      <c r="A435" s="2" t="s">
        <v>15</v>
      </c>
      <c r="B435" s="2" t="s">
        <v>12</v>
      </c>
      <c r="C435" s="2" t="s">
        <v>13</v>
      </c>
      <c r="D435" s="2">
        <v>200.0</v>
      </c>
      <c r="E435" s="2">
        <v>1697399.0</v>
      </c>
      <c r="F435" s="2">
        <v>679613.0</v>
      </c>
      <c r="G435" s="3">
        <f t="shared" ref="G435:G436" si="188">E435+F435</f>
        <v>2377012</v>
      </c>
      <c r="H435" s="3">
        <f t="shared" ref="H435:H436" si="189">100-ABS($M$77-G435)/$M$77*100</f>
        <v>37.80004529</v>
      </c>
      <c r="M435" s="3">
        <f>J438/200</f>
        <v>500000</v>
      </c>
    </row>
    <row r="436">
      <c r="A436" s="2" t="s">
        <v>15</v>
      </c>
      <c r="B436" s="2" t="s">
        <v>14</v>
      </c>
      <c r="C436" s="2" t="s">
        <v>13</v>
      </c>
      <c r="D436" s="2">
        <v>200.0</v>
      </c>
      <c r="E436" s="2">
        <v>1826256.0</v>
      </c>
      <c r="F436" s="2">
        <v>703656.0</v>
      </c>
      <c r="G436" s="3">
        <f t="shared" si="188"/>
        <v>2529912</v>
      </c>
      <c r="H436" s="3">
        <f t="shared" si="189"/>
        <v>40.23151258</v>
      </c>
    </row>
    <row r="437">
      <c r="J437" s="2" t="s">
        <v>16</v>
      </c>
      <c r="K437" s="2" t="s">
        <v>17</v>
      </c>
    </row>
    <row r="438">
      <c r="A438" s="2" t="s">
        <v>18</v>
      </c>
      <c r="B438" s="2" t="s">
        <v>12</v>
      </c>
      <c r="C438" s="2" t="s">
        <v>13</v>
      </c>
      <c r="D438" s="2">
        <v>200.0</v>
      </c>
      <c r="E438" s="2">
        <v>1501175.0</v>
      </c>
      <c r="F438" s="2">
        <v>505334.0</v>
      </c>
      <c r="G438" s="3">
        <f t="shared" ref="G438:G439" si="190">E438+F438</f>
        <v>2006509</v>
      </c>
      <c r="H438" s="3">
        <f t="shared" ref="H438:H439" si="191">100-ABS($M$77-G438)/$M$77*100</f>
        <v>31.90818182</v>
      </c>
      <c r="J438" s="2">
        <v>1.0E8</v>
      </c>
      <c r="K438" s="2">
        <v>4.0</v>
      </c>
    </row>
    <row r="439">
      <c r="A439" s="2" t="s">
        <v>18</v>
      </c>
      <c r="B439" s="2" t="s">
        <v>14</v>
      </c>
      <c r="C439" s="2" t="s">
        <v>13</v>
      </c>
      <c r="D439" s="2">
        <v>200.0</v>
      </c>
      <c r="E439" s="2">
        <v>1502057.0</v>
      </c>
      <c r="F439" s="2">
        <v>505586.0</v>
      </c>
      <c r="G439" s="3">
        <f t="shared" si="190"/>
        <v>2007643</v>
      </c>
      <c r="H439" s="3">
        <f t="shared" si="191"/>
        <v>31.92621507</v>
      </c>
    </row>
    <row r="440">
      <c r="J440" s="2" t="s">
        <v>19</v>
      </c>
      <c r="K440" s="2" t="s">
        <v>20</v>
      </c>
      <c r="L440" s="2" t="s">
        <v>21</v>
      </c>
    </row>
    <row r="441">
      <c r="I441" s="2" t="s">
        <v>23</v>
      </c>
      <c r="J441" s="3">
        <f>J438*K438/64*3*16/200</f>
        <v>1500000</v>
      </c>
      <c r="K441" s="3">
        <f>J438*K438/64*16/200</f>
        <v>500000</v>
      </c>
      <c r="L441" s="3">
        <f t="shared" ref="L441:L442" si="192">J441+K441</f>
        <v>2000000</v>
      </c>
    </row>
    <row r="442">
      <c r="A442" s="2" t="s">
        <v>84</v>
      </c>
      <c r="B442" s="2" t="s">
        <v>85</v>
      </c>
      <c r="I442" s="2" t="s">
        <v>3</v>
      </c>
      <c r="J442" s="3">
        <f>J438*K438/64*16/200*2</f>
        <v>1000000</v>
      </c>
      <c r="K442" s="3">
        <f>K441</f>
        <v>500000</v>
      </c>
      <c r="L442" s="3">
        <f t="shared" si="192"/>
        <v>1500000</v>
      </c>
    </row>
    <row r="443">
      <c r="A443" s="2" t="s">
        <v>11</v>
      </c>
      <c r="B443" s="2" t="s">
        <v>12</v>
      </c>
      <c r="C443" s="2" t="s">
        <v>13</v>
      </c>
      <c r="D443" s="2">
        <v>1.0</v>
      </c>
      <c r="E443" s="2">
        <v>1.8776592E7</v>
      </c>
      <c r="F443" s="2">
        <v>6270387.0</v>
      </c>
      <c r="G443" s="3">
        <f t="shared" ref="G443:G444" si="193">E443+F443</f>
        <v>25046979</v>
      </c>
    </row>
    <row r="444">
      <c r="A444" s="2" t="s">
        <v>11</v>
      </c>
      <c r="B444" s="2" t="s">
        <v>14</v>
      </c>
      <c r="C444" s="2" t="s">
        <v>13</v>
      </c>
      <c r="D444" s="2">
        <v>1.0</v>
      </c>
      <c r="E444" s="2">
        <v>1.8779905E7</v>
      </c>
      <c r="F444" s="2">
        <v>6253845.0</v>
      </c>
      <c r="G444" s="3">
        <f t="shared" si="193"/>
        <v>25033750</v>
      </c>
    </row>
    <row r="446">
      <c r="A446" s="2" t="s">
        <v>15</v>
      </c>
      <c r="B446" s="2" t="s">
        <v>12</v>
      </c>
      <c r="C446" s="2" t="s">
        <v>13</v>
      </c>
      <c r="D446" s="2">
        <v>1.0</v>
      </c>
      <c r="E446" s="2">
        <v>1.8739767E7</v>
      </c>
      <c r="F446" s="2">
        <v>6264934.0</v>
      </c>
      <c r="G446" s="3">
        <f t="shared" ref="G446:G447" si="194">E446+F446</f>
        <v>25004701</v>
      </c>
    </row>
    <row r="447">
      <c r="A447" s="2" t="s">
        <v>15</v>
      </c>
      <c r="B447" s="2" t="s">
        <v>14</v>
      </c>
      <c r="C447" s="2" t="s">
        <v>13</v>
      </c>
      <c r="D447" s="2">
        <v>1.0</v>
      </c>
      <c r="E447" s="2">
        <v>1.8763648E7</v>
      </c>
      <c r="F447" s="2">
        <v>6263322.0</v>
      </c>
      <c r="G447" s="3">
        <f t="shared" si="194"/>
        <v>25026970</v>
      </c>
    </row>
    <row r="449">
      <c r="A449" s="2" t="s">
        <v>18</v>
      </c>
      <c r="B449" s="2" t="s">
        <v>12</v>
      </c>
      <c r="C449" s="2" t="s">
        <v>13</v>
      </c>
      <c r="D449" s="2">
        <v>1.0</v>
      </c>
      <c r="E449" s="2">
        <v>1.8409628E7</v>
      </c>
      <c r="F449" s="2">
        <v>6199845.0</v>
      </c>
      <c r="G449" s="3">
        <f t="shared" ref="G449:G450" si="195">E449+F449</f>
        <v>24609473</v>
      </c>
    </row>
    <row r="450">
      <c r="A450" s="2" t="s">
        <v>18</v>
      </c>
      <c r="B450" s="2" t="s">
        <v>14</v>
      </c>
      <c r="C450" s="2" t="s">
        <v>13</v>
      </c>
      <c r="D450" s="2">
        <v>1.0</v>
      </c>
      <c r="E450" s="2">
        <v>1.8413531E7</v>
      </c>
      <c r="F450" s="2">
        <v>6184994.0</v>
      </c>
      <c r="G450" s="3">
        <f t="shared" si="195"/>
        <v>24598525</v>
      </c>
    </row>
    <row r="454">
      <c r="D454" s="3" t="str">
        <f>"total=["&amp;L441&amp;", "&amp;L442&amp;", "&amp;G432&amp;", "&amp;G433&amp;", "&amp;G435&amp;", "&amp;G436&amp;", "&amp;G438&amp;", "&amp;G439&amp;"]"</f>
        <v>total=[2000000, 1500000, 2338203, 2346605, 2377012, 2529912, 2006509, 2007643]</v>
      </c>
    </row>
    <row r="456">
      <c r="K456" s="2">
        <v>16000.0</v>
      </c>
      <c r="L456" s="3">
        <f>K456*64</f>
        <v>1024000</v>
      </c>
      <c r="M456" s="3">
        <f>L456/2</f>
        <v>512000</v>
      </c>
    </row>
    <row r="459">
      <c r="H459" s="2">
        <v>512.0</v>
      </c>
      <c r="I459" s="2">
        <v>512.0</v>
      </c>
      <c r="J459" s="3">
        <f>H459*I459</f>
        <v>262144</v>
      </c>
      <c r="K459" s="3">
        <f>J459/64*4</f>
        <v>16384</v>
      </c>
    </row>
    <row r="466">
      <c r="A466" s="2" t="s">
        <v>90</v>
      </c>
    </row>
    <row r="471">
      <c r="B471" s="2" t="s">
        <v>1</v>
      </c>
    </row>
    <row r="472">
      <c r="C472" s="2" t="s">
        <v>4</v>
      </c>
      <c r="D472" s="2" t="s">
        <v>5</v>
      </c>
    </row>
    <row r="473">
      <c r="E473" s="2" t="s">
        <v>7</v>
      </c>
      <c r="F473" s="2" t="s">
        <v>8</v>
      </c>
      <c r="G473" s="2" t="s">
        <v>21</v>
      </c>
    </row>
    <row r="474">
      <c r="A474" s="2" t="s">
        <v>11</v>
      </c>
      <c r="B474" s="2" t="s">
        <v>12</v>
      </c>
      <c r="C474" s="2" t="s">
        <v>13</v>
      </c>
      <c r="D474" s="2">
        <v>1.0</v>
      </c>
      <c r="E474" s="2">
        <v>1.8924509E7</v>
      </c>
      <c r="F474" s="2">
        <v>6414347.0</v>
      </c>
      <c r="G474" s="3">
        <f t="shared" ref="G474:G475" si="196">E474+F474</f>
        <v>25338856</v>
      </c>
    </row>
    <row r="475">
      <c r="A475" s="2" t="s">
        <v>11</v>
      </c>
      <c r="B475" s="2" t="s">
        <v>14</v>
      </c>
      <c r="C475" s="2" t="s">
        <v>13</v>
      </c>
      <c r="D475" s="2">
        <v>1.0</v>
      </c>
      <c r="E475" s="2">
        <v>1.879793E7</v>
      </c>
      <c r="F475" s="2">
        <v>6282547.0</v>
      </c>
      <c r="G475" s="3">
        <f t="shared" si="196"/>
        <v>25080477</v>
      </c>
    </row>
    <row r="477">
      <c r="A477" s="2" t="s">
        <v>15</v>
      </c>
      <c r="B477" s="2" t="s">
        <v>12</v>
      </c>
      <c r="C477" s="2" t="s">
        <v>13</v>
      </c>
      <c r="D477" s="2">
        <v>1.0</v>
      </c>
      <c r="E477" s="2">
        <v>1.8688408E7</v>
      </c>
      <c r="F477" s="2">
        <v>6250709.0</v>
      </c>
      <c r="G477" s="3">
        <f t="shared" ref="G477:G478" si="197">E477+F477</f>
        <v>24939117</v>
      </c>
    </row>
    <row r="478">
      <c r="A478" s="2" t="s">
        <v>15</v>
      </c>
      <c r="B478" s="2" t="s">
        <v>14</v>
      </c>
      <c r="C478" s="2" t="s">
        <v>13</v>
      </c>
      <c r="D478" s="2">
        <v>1.0</v>
      </c>
      <c r="E478" s="2">
        <v>1.8794607E7</v>
      </c>
      <c r="F478" s="2">
        <v>6254850.0</v>
      </c>
      <c r="G478" s="3">
        <f t="shared" si="197"/>
        <v>25049457</v>
      </c>
    </row>
    <row r="479">
      <c r="J479" s="2" t="s">
        <v>16</v>
      </c>
      <c r="K479" s="2" t="s">
        <v>17</v>
      </c>
    </row>
    <row r="480">
      <c r="A480" s="2" t="s">
        <v>18</v>
      </c>
      <c r="B480" s="2" t="s">
        <v>12</v>
      </c>
      <c r="C480" s="2" t="s">
        <v>13</v>
      </c>
      <c r="D480" s="2">
        <v>1.0</v>
      </c>
      <c r="E480" s="2">
        <v>1.8528602E7</v>
      </c>
      <c r="F480" s="2">
        <v>6204350.0</v>
      </c>
      <c r="G480" s="3">
        <f t="shared" ref="G480:G481" si="198">E480+F480</f>
        <v>24732952</v>
      </c>
      <c r="J480" s="2">
        <v>5.0E7</v>
      </c>
      <c r="K480" s="2">
        <v>8.0</v>
      </c>
    </row>
    <row r="481">
      <c r="A481" s="2" t="s">
        <v>18</v>
      </c>
      <c r="B481" s="2" t="s">
        <v>14</v>
      </c>
      <c r="C481" s="2" t="s">
        <v>13</v>
      </c>
      <c r="D481" s="2">
        <v>1.0</v>
      </c>
      <c r="E481" s="2">
        <v>1.8352835E7</v>
      </c>
      <c r="F481" s="2">
        <v>6137000.0</v>
      </c>
      <c r="G481" s="3">
        <f t="shared" si="198"/>
        <v>24489835</v>
      </c>
    </row>
    <row r="482">
      <c r="J482" s="2" t="s">
        <v>19</v>
      </c>
      <c r="K482" s="2" t="s">
        <v>20</v>
      </c>
      <c r="L482" s="2" t="s">
        <v>21</v>
      </c>
    </row>
    <row r="483">
      <c r="I483" s="2" t="s">
        <v>23</v>
      </c>
      <c r="J483" s="3">
        <f>J480*K480/64*3</f>
        <v>18750000</v>
      </c>
      <c r="K483" s="3">
        <f>J480*K480/64</f>
        <v>6250000</v>
      </c>
      <c r="L483" s="3">
        <f t="shared" ref="L483:L484" si="199">J483+K483</f>
        <v>25000000</v>
      </c>
    </row>
    <row r="484">
      <c r="A484" s="2" t="s">
        <v>91</v>
      </c>
      <c r="I484" s="2" t="s">
        <v>3</v>
      </c>
      <c r="J484" s="3">
        <f>J480*K480/64*2</f>
        <v>12500000</v>
      </c>
      <c r="K484" s="3">
        <f>J480*K480/64</f>
        <v>6250000</v>
      </c>
      <c r="L484" s="3">
        <f t="shared" si="199"/>
        <v>18750000</v>
      </c>
    </row>
    <row r="485">
      <c r="A485" s="2" t="s">
        <v>11</v>
      </c>
      <c r="B485" s="2" t="s">
        <v>12</v>
      </c>
      <c r="C485" s="2" t="s">
        <v>92</v>
      </c>
      <c r="D485" s="2">
        <v>1.0</v>
      </c>
      <c r="E485" s="2">
        <v>1.3036172E7</v>
      </c>
      <c r="F485" s="2">
        <v>7049815.0</v>
      </c>
      <c r="G485" s="2">
        <f t="shared" ref="G485:G486" si="200">E485+F485</f>
        <v>20085987</v>
      </c>
    </row>
    <row r="486">
      <c r="A486" s="2" t="s">
        <v>11</v>
      </c>
      <c r="B486" s="2" t="s">
        <v>14</v>
      </c>
      <c r="C486" s="2" t="s">
        <v>92</v>
      </c>
      <c r="D486" s="2">
        <v>1.0</v>
      </c>
      <c r="E486" s="2">
        <v>1.3034292E7</v>
      </c>
      <c r="F486" s="2">
        <v>7048657.0</v>
      </c>
      <c r="G486" s="2">
        <f t="shared" si="200"/>
        <v>20082949</v>
      </c>
    </row>
    <row r="488">
      <c r="A488" s="2" t="s">
        <v>15</v>
      </c>
      <c r="B488" s="2" t="s">
        <v>12</v>
      </c>
      <c r="C488" s="2" t="s">
        <v>13</v>
      </c>
      <c r="D488" s="2">
        <v>1.0</v>
      </c>
      <c r="E488" s="3">
        <f>E485*0.95</f>
        <v>12384363.4</v>
      </c>
      <c r="F488" s="3">
        <f>F485*0.93</f>
        <v>6556327.95</v>
      </c>
      <c r="G488" s="3">
        <f t="shared" ref="G488:G489" si="201">E488+F488</f>
        <v>18940691.35</v>
      </c>
    </row>
    <row r="489">
      <c r="A489" s="2" t="s">
        <v>15</v>
      </c>
      <c r="B489" s="2" t="s">
        <v>14</v>
      </c>
      <c r="C489" s="2" t="s">
        <v>13</v>
      </c>
      <c r="D489" s="2">
        <v>1.0</v>
      </c>
      <c r="E489" s="3">
        <f>E486*0.97</f>
        <v>12643263.24</v>
      </c>
      <c r="F489" s="3">
        <f>F486*0.91</f>
        <v>6414277.87</v>
      </c>
      <c r="G489" s="3">
        <f t="shared" si="201"/>
        <v>19057541.11</v>
      </c>
    </row>
    <row r="491">
      <c r="A491" s="2" t="s">
        <v>18</v>
      </c>
      <c r="B491" s="2" t="s">
        <v>12</v>
      </c>
      <c r="C491" s="2" t="s">
        <v>13</v>
      </c>
      <c r="D491" s="2">
        <v>1.0</v>
      </c>
      <c r="E491" s="3">
        <f>E485*0.94</f>
        <v>12254001.68</v>
      </c>
      <c r="F491" s="3">
        <f>F485*0.934</f>
        <v>6584527.21</v>
      </c>
      <c r="G491" s="3">
        <f t="shared" ref="G491:G492" si="202">E491+F491</f>
        <v>18838528.89</v>
      </c>
    </row>
    <row r="492">
      <c r="A492" s="2" t="s">
        <v>18</v>
      </c>
      <c r="B492" s="2" t="s">
        <v>14</v>
      </c>
      <c r="C492" s="2" t="s">
        <v>13</v>
      </c>
      <c r="D492" s="2">
        <v>1.0</v>
      </c>
      <c r="E492" s="3">
        <f>E486*0.955</f>
        <v>12447748.86</v>
      </c>
      <c r="F492" s="3">
        <f>F486*0.928</f>
        <v>6541153.696</v>
      </c>
      <c r="G492" s="3">
        <f t="shared" si="202"/>
        <v>18988902.56</v>
      </c>
    </row>
    <row r="496">
      <c r="D496" s="3" t="str">
        <f>"total=["&amp;L483&amp;", "&amp;L484&amp;", "&amp;G474&amp;", "&amp;G475&amp;", "&amp;G477&amp;", "&amp;G478&amp;", "&amp;G480&amp;", "&amp;G481&amp;"]"</f>
        <v>total=[25000000, 18750000, 25338856, 25080477, 24939117, 25049457, 24732952, 24489835]</v>
      </c>
    </row>
    <row r="501">
      <c r="B501" s="2" t="s">
        <v>24</v>
      </c>
    </row>
    <row r="502">
      <c r="C502" s="2" t="s">
        <v>4</v>
      </c>
      <c r="D502" s="2" t="s">
        <v>5</v>
      </c>
    </row>
    <row r="503">
      <c r="E503" s="2" t="s">
        <v>7</v>
      </c>
      <c r="F503" s="2" t="s">
        <v>8</v>
      </c>
      <c r="G503" s="2" t="s">
        <v>21</v>
      </c>
      <c r="J503" s="2">
        <v>8192.0</v>
      </c>
      <c r="K503" s="2">
        <v>8192.0</v>
      </c>
    </row>
    <row r="504">
      <c r="A504" s="2" t="s">
        <v>11</v>
      </c>
      <c r="B504" s="2" t="s">
        <v>12</v>
      </c>
      <c r="C504" s="2" t="s">
        <v>13</v>
      </c>
      <c r="D504" s="2">
        <v>1.0</v>
      </c>
      <c r="E504" s="2">
        <v>4620741.0</v>
      </c>
      <c r="F504" s="2">
        <v>4821091.0</v>
      </c>
      <c r="G504" s="3">
        <f t="shared" ref="G504:G505" si="203">E504+F504</f>
        <v>9441832</v>
      </c>
    </row>
    <row r="505">
      <c r="A505" s="2" t="s">
        <v>11</v>
      </c>
      <c r="B505" s="2" t="s">
        <v>14</v>
      </c>
      <c r="C505" s="2" t="s">
        <v>13</v>
      </c>
      <c r="D505" s="2">
        <v>1.0</v>
      </c>
      <c r="E505" s="2">
        <v>4569441.0</v>
      </c>
      <c r="F505" s="2">
        <v>4740749.0</v>
      </c>
      <c r="G505" s="3">
        <f t="shared" si="203"/>
        <v>9310190</v>
      </c>
    </row>
    <row r="507">
      <c r="A507" s="2" t="s">
        <v>15</v>
      </c>
      <c r="B507" s="2" t="s">
        <v>12</v>
      </c>
      <c r="C507" s="2" t="s">
        <v>13</v>
      </c>
      <c r="D507" s="2">
        <v>1.0</v>
      </c>
      <c r="E507" s="2">
        <v>4520072.0</v>
      </c>
      <c r="F507" s="2">
        <v>4317901.0</v>
      </c>
      <c r="G507" s="3">
        <f t="shared" ref="G507:G508" si="204">E507+F507</f>
        <v>8837973</v>
      </c>
    </row>
    <row r="508">
      <c r="A508" s="2" t="s">
        <v>15</v>
      </c>
      <c r="B508" s="2" t="s">
        <v>14</v>
      </c>
      <c r="C508" s="2" t="s">
        <v>13</v>
      </c>
      <c r="D508" s="2">
        <v>1.0</v>
      </c>
      <c r="E508" s="2">
        <v>5047367.0</v>
      </c>
      <c r="F508" s="2">
        <v>4335252.0</v>
      </c>
      <c r="G508" s="3">
        <f t="shared" si="204"/>
        <v>9382619</v>
      </c>
    </row>
    <row r="509">
      <c r="J509" s="2" t="s">
        <v>16</v>
      </c>
      <c r="K509" s="2" t="s">
        <v>17</v>
      </c>
    </row>
    <row r="510">
      <c r="A510" s="2" t="s">
        <v>18</v>
      </c>
      <c r="B510" s="2" t="s">
        <v>12</v>
      </c>
      <c r="C510" s="2" t="s">
        <v>13</v>
      </c>
      <c r="D510" s="2">
        <v>1.0</v>
      </c>
      <c r="E510" s="2">
        <v>4728305.0</v>
      </c>
      <c r="F510" s="2">
        <v>4537964.0</v>
      </c>
      <c r="G510" s="3">
        <f t="shared" ref="G510:G511" si="205">E510+F510</f>
        <v>9266269</v>
      </c>
      <c r="J510" s="3">
        <f>J503*K503</f>
        <v>67108864</v>
      </c>
      <c r="K510" s="2">
        <v>4.0</v>
      </c>
    </row>
    <row r="511">
      <c r="A511" s="2" t="s">
        <v>18</v>
      </c>
      <c r="B511" s="2" t="s">
        <v>14</v>
      </c>
      <c r="C511" s="2" t="s">
        <v>13</v>
      </c>
      <c r="D511" s="2">
        <v>1.0</v>
      </c>
      <c r="E511" s="2">
        <v>4800994.0</v>
      </c>
      <c r="F511" s="2">
        <v>4525494.0</v>
      </c>
      <c r="G511" s="3">
        <f t="shared" si="205"/>
        <v>9326488</v>
      </c>
    </row>
    <row r="512">
      <c r="J512" s="2" t="s">
        <v>19</v>
      </c>
      <c r="K512" s="2" t="s">
        <v>20</v>
      </c>
      <c r="L512" s="2" t="s">
        <v>21</v>
      </c>
    </row>
    <row r="513">
      <c r="I513" s="2" t="s">
        <v>23</v>
      </c>
      <c r="J513" s="3">
        <f>J510*K510/64</f>
        <v>4194304</v>
      </c>
      <c r="K513" s="3">
        <f>J510*K510/64</f>
        <v>4194304</v>
      </c>
      <c r="L513" s="3">
        <f t="shared" ref="L513:L514" si="206">J513+K513</f>
        <v>8388608</v>
      </c>
    </row>
    <row r="514">
      <c r="A514" s="2" t="s">
        <v>91</v>
      </c>
      <c r="B514" s="2" t="s">
        <v>85</v>
      </c>
      <c r="I514" s="2" t="s">
        <v>3</v>
      </c>
      <c r="J514" s="3">
        <f>J510*K510/64</f>
        <v>4194304</v>
      </c>
      <c r="K514" s="3">
        <f>J510*K510/64</f>
        <v>4194304</v>
      </c>
      <c r="L514" s="3">
        <f t="shared" si="206"/>
        <v>8388608</v>
      </c>
    </row>
    <row r="515">
      <c r="A515" s="2" t="s">
        <v>11</v>
      </c>
      <c r="B515" s="2" t="s">
        <v>12</v>
      </c>
      <c r="C515" s="2" t="s">
        <v>13</v>
      </c>
      <c r="D515" s="2">
        <v>1.0</v>
      </c>
      <c r="E515" s="2">
        <v>4620158.0</v>
      </c>
      <c r="F515" s="2">
        <v>4820860.0</v>
      </c>
      <c r="G515" s="3">
        <f t="shared" ref="G515:G516" si="207">E515+F515</f>
        <v>9441018</v>
      </c>
    </row>
    <row r="516">
      <c r="A516" s="2" t="s">
        <v>11</v>
      </c>
      <c r="B516" s="2" t="s">
        <v>14</v>
      </c>
      <c r="C516" s="2" t="s">
        <v>13</v>
      </c>
      <c r="D516" s="2">
        <v>1.0</v>
      </c>
      <c r="E516" s="2">
        <v>4575990.0</v>
      </c>
      <c r="F516" s="2">
        <v>4744123.0</v>
      </c>
      <c r="G516" s="3">
        <f t="shared" si="207"/>
        <v>9320113</v>
      </c>
    </row>
    <row r="518">
      <c r="A518" s="2" t="s">
        <v>15</v>
      </c>
      <c r="B518" s="2" t="s">
        <v>12</v>
      </c>
      <c r="C518" s="2" t="s">
        <v>13</v>
      </c>
      <c r="D518" s="2">
        <v>1.0</v>
      </c>
      <c r="E518" s="2">
        <v>4516890.0</v>
      </c>
      <c r="F518" s="2">
        <v>4310710.0</v>
      </c>
      <c r="G518" s="3">
        <f t="shared" ref="G518:G519" si="208">E518+F518</f>
        <v>8827600</v>
      </c>
    </row>
    <row r="519">
      <c r="A519" s="2" t="s">
        <v>15</v>
      </c>
      <c r="B519" s="2" t="s">
        <v>14</v>
      </c>
      <c r="C519" s="2" t="s">
        <v>13</v>
      </c>
      <c r="D519" s="2">
        <v>1.0</v>
      </c>
      <c r="E519" s="2">
        <v>5084939.0</v>
      </c>
      <c r="F519" s="2">
        <v>4313896.0</v>
      </c>
      <c r="G519" s="3">
        <f t="shared" si="208"/>
        <v>9398835</v>
      </c>
    </row>
    <row r="521">
      <c r="A521" s="2" t="s">
        <v>18</v>
      </c>
      <c r="B521" s="2" t="s">
        <v>12</v>
      </c>
      <c r="C521" s="2" t="s">
        <v>13</v>
      </c>
      <c r="D521" s="2">
        <v>1.0</v>
      </c>
      <c r="E521" s="2">
        <v>4732357.0</v>
      </c>
      <c r="F521" s="2">
        <v>4539162.0</v>
      </c>
      <c r="G521" s="3">
        <f t="shared" ref="G521:G522" si="209">E521+F521</f>
        <v>9271519</v>
      </c>
    </row>
    <row r="522">
      <c r="A522" s="2" t="s">
        <v>18</v>
      </c>
      <c r="B522" s="2" t="s">
        <v>14</v>
      </c>
      <c r="C522" s="2" t="s">
        <v>13</v>
      </c>
      <c r="D522" s="2">
        <v>1.0</v>
      </c>
      <c r="E522" s="2">
        <v>4729472.0</v>
      </c>
      <c r="F522" s="2">
        <v>4527232.0</v>
      </c>
      <c r="G522" s="3">
        <f t="shared" si="209"/>
        <v>9256704</v>
      </c>
    </row>
    <row r="526">
      <c r="D526" s="3" t="str">
        <f>"total=["&amp;L513&amp;", "&amp;L514&amp;", "&amp;G504&amp;", "&amp;G505&amp;", "&amp;G507&amp;", "&amp;G508&amp;", "&amp;G510&amp;", "&amp;G511&amp;"]"</f>
        <v>total=[8388608, 8388608, 9441832, 9310190, 8837973, 9382619, 9266269, 9326488]</v>
      </c>
    </row>
    <row r="527">
      <c r="D527" s="3" t="str">
        <f>"omp_data=["&amp;L513&amp;", "&amp;L514&amp;","&amp;G515&amp;", "&amp;G516&amp;", "&amp;G518&amp;", "&amp;G519&amp;", "&amp;G521&amp;","&amp;G522&amp;"]"</f>
        <v>omp_data=[8388608, 8388608,9441018, 9320113, 8827600, 9398835, 9271519,9256704]</v>
      </c>
    </row>
    <row r="528">
      <c r="K528" s="2" t="s">
        <v>86</v>
      </c>
    </row>
    <row r="530">
      <c r="B530" s="2" t="s">
        <v>25</v>
      </c>
    </row>
    <row r="531">
      <c r="C531" s="2" t="s">
        <v>4</v>
      </c>
      <c r="D531" s="2" t="s">
        <v>5</v>
      </c>
    </row>
    <row r="532">
      <c r="E532" s="2" t="s">
        <v>7</v>
      </c>
      <c r="F532" s="2" t="s">
        <v>8</v>
      </c>
      <c r="G532" s="2" t="s">
        <v>21</v>
      </c>
      <c r="J532" s="2">
        <v>4096.0</v>
      </c>
      <c r="K532" s="2">
        <v>4096.0</v>
      </c>
    </row>
    <row r="533">
      <c r="A533" s="2" t="s">
        <v>11</v>
      </c>
      <c r="B533" s="2" t="s">
        <v>12</v>
      </c>
      <c r="C533" s="2" t="s">
        <v>13</v>
      </c>
      <c r="D533" s="2">
        <v>1.0</v>
      </c>
      <c r="E533" s="2">
        <v>4319186.0</v>
      </c>
      <c r="F533" s="2">
        <v>2541288.0</v>
      </c>
      <c r="G533" s="3">
        <f t="shared" ref="G533:G534" si="210">E533+F533</f>
        <v>6860474</v>
      </c>
      <c r="H533" s="3">
        <f t="shared" ref="H533:H534" si="211">100-ABS($M$77-G533)/$M$77*100</f>
        <v>90.90243217</v>
      </c>
      <c r="I533" s="3">
        <f>100-ABS($M$78-G533)/$M$78*100</f>
        <v>36.4335537</v>
      </c>
    </row>
    <row r="534">
      <c r="A534" s="2" t="s">
        <v>11</v>
      </c>
      <c r="B534" s="2" t="s">
        <v>14</v>
      </c>
      <c r="C534" s="2" t="s">
        <v>13</v>
      </c>
      <c r="D534" s="2">
        <v>1.0</v>
      </c>
      <c r="E534" s="2">
        <v>4276900.0</v>
      </c>
      <c r="F534" s="2">
        <v>2499094.0</v>
      </c>
      <c r="G534" s="3">
        <f t="shared" si="210"/>
        <v>6775994</v>
      </c>
      <c r="H534" s="3">
        <f t="shared" si="211"/>
        <v>92.24586158</v>
      </c>
    </row>
    <row r="536">
      <c r="A536" s="2" t="s">
        <v>15</v>
      </c>
      <c r="B536" s="2" t="s">
        <v>12</v>
      </c>
      <c r="C536" s="2" t="s">
        <v>13</v>
      </c>
      <c r="D536" s="2">
        <v>1.0</v>
      </c>
      <c r="E536" s="2">
        <v>4058497.0</v>
      </c>
      <c r="F536" s="2">
        <v>1994509.0</v>
      </c>
      <c r="G536" s="3">
        <f t="shared" ref="G536:G537" si="212">E536+F536</f>
        <v>6053006</v>
      </c>
      <c r="H536" s="3">
        <f t="shared" ref="H536:H537" si="213">100-ABS($M$77-G536)/$M$77*100</f>
        <v>96.25693978</v>
      </c>
    </row>
    <row r="537">
      <c r="A537" s="2" t="s">
        <v>15</v>
      </c>
      <c r="B537" s="2" t="s">
        <v>14</v>
      </c>
      <c r="C537" s="2" t="s">
        <v>13</v>
      </c>
      <c r="D537" s="2">
        <v>1.0</v>
      </c>
      <c r="E537" s="2">
        <v>4047308.0</v>
      </c>
      <c r="F537" s="2">
        <v>1982488.0</v>
      </c>
      <c r="G537" s="3">
        <f t="shared" si="212"/>
        <v>6029796</v>
      </c>
      <c r="H537" s="3">
        <f t="shared" si="213"/>
        <v>95.88784654</v>
      </c>
    </row>
    <row r="538">
      <c r="J538" s="2" t="s">
        <v>16</v>
      </c>
      <c r="K538" s="2" t="s">
        <v>17</v>
      </c>
    </row>
    <row r="539">
      <c r="A539" s="2" t="s">
        <v>18</v>
      </c>
      <c r="B539" s="2" t="s">
        <v>12</v>
      </c>
      <c r="C539" s="2" t="s">
        <v>13</v>
      </c>
      <c r="D539" s="2">
        <v>1.0</v>
      </c>
      <c r="E539" s="2">
        <v>4127736.0</v>
      </c>
      <c r="F539" s="2">
        <v>2170046.0</v>
      </c>
      <c r="G539" s="3">
        <f t="shared" ref="G539:G540" si="214">E539+F539</f>
        <v>6297782</v>
      </c>
      <c r="H539" s="3">
        <f t="shared" ref="H539:H540" si="215">100-ABS($M$77-G539)/$M$77*100</f>
        <v>99.85054984</v>
      </c>
      <c r="J539" s="3">
        <f>J532*K532</f>
        <v>16777216</v>
      </c>
      <c r="K539" s="2">
        <v>8.0</v>
      </c>
    </row>
    <row r="540">
      <c r="A540" s="2" t="s">
        <v>18</v>
      </c>
      <c r="B540" s="2" t="s">
        <v>14</v>
      </c>
      <c r="C540" s="2" t="s">
        <v>13</v>
      </c>
      <c r="D540" s="2">
        <v>1.0</v>
      </c>
      <c r="E540" s="2">
        <v>3851933.0</v>
      </c>
      <c r="F540" s="2">
        <v>1814583.0</v>
      </c>
      <c r="G540" s="3">
        <f t="shared" si="214"/>
        <v>5666516</v>
      </c>
      <c r="H540" s="3">
        <f t="shared" si="215"/>
        <v>90.11084565</v>
      </c>
    </row>
    <row r="541">
      <c r="J541" s="2" t="s">
        <v>19</v>
      </c>
      <c r="K541" s="2" t="s">
        <v>20</v>
      </c>
      <c r="L541" s="2" t="s">
        <v>21</v>
      </c>
    </row>
    <row r="542">
      <c r="I542" s="2" t="s">
        <v>23</v>
      </c>
      <c r="J542" s="3">
        <f>J539*K539/64*2</f>
        <v>4194304</v>
      </c>
      <c r="K542" s="3">
        <f>J539*K539/64</f>
        <v>2097152</v>
      </c>
      <c r="L542" s="3">
        <f t="shared" ref="L542:L543" si="216">J542+K542</f>
        <v>6291456</v>
      </c>
    </row>
    <row r="543">
      <c r="A543" s="2" t="s">
        <v>91</v>
      </c>
      <c r="B543" s="2" t="s">
        <v>85</v>
      </c>
      <c r="I543" s="2" t="s">
        <v>3</v>
      </c>
      <c r="J543" s="3">
        <f>J539*K539/64</f>
        <v>2097152</v>
      </c>
      <c r="K543" s="3">
        <f>J539*K539/64</f>
        <v>2097152</v>
      </c>
      <c r="L543" s="3">
        <f t="shared" si="216"/>
        <v>4194304</v>
      </c>
    </row>
    <row r="544">
      <c r="A544" s="2" t="s">
        <v>11</v>
      </c>
      <c r="B544" s="2" t="s">
        <v>12</v>
      </c>
      <c r="C544" s="2" t="s">
        <v>13</v>
      </c>
      <c r="D544" s="2">
        <v>1.0</v>
      </c>
      <c r="E544" s="2">
        <v>4305323.0</v>
      </c>
      <c r="F544" s="2">
        <v>2527121.0</v>
      </c>
      <c r="G544" s="3">
        <f t="shared" ref="G544:G545" si="217">E544+F544</f>
        <v>6832444</v>
      </c>
    </row>
    <row r="545">
      <c r="A545" s="2" t="s">
        <v>11</v>
      </c>
      <c r="B545" s="2" t="s">
        <v>14</v>
      </c>
      <c r="C545" s="2" t="s">
        <v>13</v>
      </c>
      <c r="D545" s="2">
        <v>1.0</v>
      </c>
      <c r="E545" s="2">
        <v>4247203.0</v>
      </c>
      <c r="F545" s="2">
        <v>2467260.0</v>
      </c>
      <c r="G545" s="3">
        <f t="shared" si="217"/>
        <v>6714463</v>
      </c>
    </row>
    <row r="547">
      <c r="A547" s="2" t="s">
        <v>15</v>
      </c>
      <c r="B547" s="2" t="s">
        <v>12</v>
      </c>
      <c r="C547" s="2" t="s">
        <v>13</v>
      </c>
      <c r="D547" s="2">
        <v>1.0</v>
      </c>
      <c r="E547" s="2">
        <v>4046010.0</v>
      </c>
      <c r="F547" s="2">
        <v>1981550.0</v>
      </c>
      <c r="G547" s="3">
        <f t="shared" ref="G547:G548" si="218">E547+F547</f>
        <v>6027560</v>
      </c>
    </row>
    <row r="548">
      <c r="A548" s="2" t="s">
        <v>15</v>
      </c>
      <c r="B548" s="2" t="s">
        <v>14</v>
      </c>
      <c r="C548" s="2" t="s">
        <v>13</v>
      </c>
      <c r="D548" s="2">
        <v>1.0</v>
      </c>
      <c r="E548" s="2">
        <v>4063474.0</v>
      </c>
      <c r="F548" s="2">
        <v>1997935.0</v>
      </c>
      <c r="G548" s="3">
        <f t="shared" si="218"/>
        <v>6061409</v>
      </c>
    </row>
    <row r="550">
      <c r="A550" s="2" t="s">
        <v>18</v>
      </c>
      <c r="B550" s="2" t="s">
        <v>12</v>
      </c>
      <c r="C550" s="2" t="s">
        <v>13</v>
      </c>
      <c r="D550" s="2">
        <v>1.0</v>
      </c>
      <c r="E550" s="2">
        <v>3830374.0</v>
      </c>
      <c r="F550" s="2">
        <v>1777097.0</v>
      </c>
      <c r="G550" s="3">
        <f t="shared" ref="G550:G551" si="219">E550+F550</f>
        <v>5607471</v>
      </c>
    </row>
    <row r="551">
      <c r="A551" s="2" t="s">
        <v>18</v>
      </c>
      <c r="B551" s="2" t="s">
        <v>14</v>
      </c>
      <c r="C551" s="2" t="s">
        <v>13</v>
      </c>
      <c r="D551" s="2">
        <v>1.0</v>
      </c>
      <c r="E551" s="2">
        <v>3843781.0</v>
      </c>
      <c r="F551" s="2">
        <v>1790457.0</v>
      </c>
      <c r="G551" s="3">
        <f t="shared" si="219"/>
        <v>5634238</v>
      </c>
    </row>
    <row r="555">
      <c r="D555" s="3" t="str">
        <f>"total=["&amp;L542&amp;", "&amp;L543&amp;", "&amp;G533&amp;", "&amp;G534&amp;", "&amp;G536&amp;", "&amp;G537&amp;", "&amp;G539&amp;", "&amp;G540&amp;"]"</f>
        <v>total=[6291456, 4194304, 6860474, 6775994, 6053006, 6029796, 6297782, 5666516]</v>
      </c>
    </row>
    <row r="556">
      <c r="D556" s="3" t="str">
        <f>"omp_data=["&amp;L542&amp;", "&amp;L543&amp;","&amp;G544&amp;", "&amp;G545&amp;", "&amp;G547&amp;", "&amp;G548&amp;", "&amp;G550&amp;","&amp;G551&amp;"]"</f>
        <v>omp_data=[6291456, 4194304,6832444, 6714463, 6027560, 6061409, 5607471,5634238]</v>
      </c>
    </row>
    <row r="558">
      <c r="B558" s="2" t="s">
        <v>26</v>
      </c>
      <c r="C558" s="2" t="s">
        <v>27</v>
      </c>
      <c r="D558" s="2" t="s">
        <v>87</v>
      </c>
    </row>
    <row r="559">
      <c r="C559" s="2" t="s">
        <v>4</v>
      </c>
      <c r="D559" s="2" t="s">
        <v>5</v>
      </c>
      <c r="H559" s="3">
        <f t="shared" ref="H559:I559" si="220">(H561+H564+H567)/3</f>
        <v>93.35869397</v>
      </c>
      <c r="I559" s="3">
        <f t="shared" si="220"/>
        <v>54.6027098</v>
      </c>
    </row>
    <row r="560">
      <c r="E560" s="2" t="s">
        <v>7</v>
      </c>
      <c r="F560" s="2" t="s">
        <v>8</v>
      </c>
      <c r="G560" s="2" t="s">
        <v>21</v>
      </c>
      <c r="H560" s="3">
        <f t="shared" ref="H560:I560" si="221">(H562+H565+H568)/3</f>
        <v>83.72321494</v>
      </c>
      <c r="I560" s="3">
        <f t="shared" si="221"/>
        <v>38.22798413</v>
      </c>
    </row>
    <row r="561">
      <c r="A561" s="2" t="s">
        <v>11</v>
      </c>
      <c r="B561" s="2" t="s">
        <v>12</v>
      </c>
      <c r="C561" s="2" t="s">
        <v>13</v>
      </c>
      <c r="D561" s="2">
        <v>50.0</v>
      </c>
      <c r="E561" s="2">
        <v>4350028.0</v>
      </c>
      <c r="F561" s="2">
        <v>6546274.0</v>
      </c>
      <c r="G561" s="3">
        <f t="shared" ref="G561:G562" si="222">E561+F561</f>
        <v>10896302</v>
      </c>
      <c r="H561" s="3">
        <f>100-ABS($M$105-G561)/G561*100</f>
        <v>94.14834501</v>
      </c>
      <c r="I561" s="3">
        <f t="shared" ref="I561:I562" si="223">100-ABS(G561-$M$106)/G561*100</f>
        <v>55.06455309</v>
      </c>
    </row>
    <row r="562">
      <c r="A562" s="2" t="s">
        <v>11</v>
      </c>
      <c r="B562" s="2" t="s">
        <v>14</v>
      </c>
      <c r="C562" s="2" t="s">
        <v>13</v>
      </c>
      <c r="D562" s="2">
        <v>50.0</v>
      </c>
      <c r="E562" s="2">
        <v>1.0331989E7</v>
      </c>
      <c r="F562" s="2">
        <v>6642376.0</v>
      </c>
      <c r="G562" s="3">
        <f t="shared" si="222"/>
        <v>16974365</v>
      </c>
      <c r="H562" s="3">
        <f>100-ABS(G562-P570)/G562*100</f>
        <v>92.48493243</v>
      </c>
      <c r="I562" s="3">
        <f t="shared" si="223"/>
        <v>35.34741948</v>
      </c>
    </row>
    <row r="564">
      <c r="A564" s="2" t="s">
        <v>15</v>
      </c>
      <c r="B564" s="2" t="s">
        <v>12</v>
      </c>
      <c r="C564" s="2" t="s">
        <v>13</v>
      </c>
      <c r="D564" s="2">
        <v>50.0</v>
      </c>
      <c r="E564" s="2">
        <v>4587972.0</v>
      </c>
      <c r="F564" s="2">
        <v>6556922.0</v>
      </c>
      <c r="G564" s="3">
        <f t="shared" ref="G564:G565" si="224">E564+F564</f>
        <v>11144894</v>
      </c>
      <c r="H564" s="5">
        <f>100-ABS($M$105-G564)/G564*100</f>
        <v>92.04832276</v>
      </c>
      <c r="I564" s="3">
        <f t="shared" ref="I564:I565" si="225">100-ABS(G564-$M$106)/G564*100</f>
        <v>53.83631284</v>
      </c>
    </row>
    <row r="565">
      <c r="A565" s="2" t="s">
        <v>15</v>
      </c>
      <c r="B565" s="2" t="s">
        <v>14</v>
      </c>
      <c r="C565" s="2" t="s">
        <v>13</v>
      </c>
      <c r="D565" s="2">
        <v>50.0</v>
      </c>
      <c r="E565" s="2">
        <v>8780493.0</v>
      </c>
      <c r="F565" s="2">
        <v>6538910.0</v>
      </c>
      <c r="G565" s="3">
        <f t="shared" si="224"/>
        <v>15319403</v>
      </c>
      <c r="H565" s="3">
        <f>100-ABS(G565-P570)/G565*100</f>
        <v>80.87003129</v>
      </c>
      <c r="I565" s="3">
        <f t="shared" si="225"/>
        <v>39.16601711</v>
      </c>
    </row>
    <row r="566">
      <c r="J566" s="2" t="s">
        <v>16</v>
      </c>
      <c r="K566" s="2" t="s">
        <v>17</v>
      </c>
    </row>
    <row r="567">
      <c r="A567" s="2" t="s">
        <v>18</v>
      </c>
      <c r="B567" s="2" t="s">
        <v>12</v>
      </c>
      <c r="C567" s="2" t="s">
        <v>13</v>
      </c>
      <c r="D567" s="2">
        <v>50.0</v>
      </c>
      <c r="E567" s="2">
        <v>4479358.0</v>
      </c>
      <c r="F567" s="2">
        <v>6448158.0</v>
      </c>
      <c r="G567" s="3">
        <f t="shared" ref="G567:G568" si="226">E567+F567</f>
        <v>10927516</v>
      </c>
      <c r="H567" s="5">
        <f>100-ABS($M$105-G567)/G567*100</f>
        <v>93.87941413</v>
      </c>
      <c r="I567" s="3">
        <f t="shared" ref="I567:I568" si="227">100-ABS(G567-$M$106)/G567*100</f>
        <v>54.90726346</v>
      </c>
      <c r="J567" s="2">
        <v>1.0E8</v>
      </c>
      <c r="K567" s="2">
        <v>4.0</v>
      </c>
    </row>
    <row r="568">
      <c r="A568" s="2" t="s">
        <v>18</v>
      </c>
      <c r="B568" s="2" t="s">
        <v>14</v>
      </c>
      <c r="C568" s="2" t="s">
        <v>13</v>
      </c>
      <c r="D568" s="2">
        <v>50.0</v>
      </c>
      <c r="E568" s="2">
        <v>8491966.0</v>
      </c>
      <c r="F568" s="2">
        <v>6444362.0</v>
      </c>
      <c r="G568" s="3">
        <f t="shared" si="226"/>
        <v>14936328</v>
      </c>
      <c r="H568" s="3">
        <f>100-ABS(G568-P570)/G568*100</f>
        <v>77.81468109</v>
      </c>
      <c r="I568" s="3">
        <f t="shared" si="227"/>
        <v>40.17051581</v>
      </c>
    </row>
    <row r="569">
      <c r="J569" s="2" t="s">
        <v>19</v>
      </c>
      <c r="K569" s="2" t="s">
        <v>20</v>
      </c>
      <c r="L569" s="2" t="s">
        <v>21</v>
      </c>
    </row>
    <row r="570">
      <c r="I570" s="2" t="s">
        <v>23</v>
      </c>
      <c r="J570" s="3">
        <f t="shared" ref="J570:J571" si="228">$K$102*$L$102/64*2 *16/50</f>
        <v>4000000</v>
      </c>
      <c r="K570" s="3">
        <f>J567*K567/64</f>
        <v>6250000</v>
      </c>
      <c r="L570" s="3">
        <f t="shared" ref="L570:L571" si="229">J570+K570</f>
        <v>10250000</v>
      </c>
      <c r="N570" s="3">
        <f>J567/50*3*2</f>
        <v>12000000</v>
      </c>
      <c r="O570" s="3">
        <v>6250000.0</v>
      </c>
      <c r="P570" s="3">
        <f>N570+O570</f>
        <v>18250000</v>
      </c>
    </row>
    <row r="571">
      <c r="A571" s="2" t="s">
        <v>91</v>
      </c>
      <c r="B571" s="2" t="s">
        <v>85</v>
      </c>
      <c r="I571" s="2" t="s">
        <v>3</v>
      </c>
      <c r="J571" s="3">
        <f t="shared" si="228"/>
        <v>4000000</v>
      </c>
      <c r="K571" s="3">
        <f>J571/2</f>
        <v>2000000</v>
      </c>
      <c r="L571" s="3">
        <f t="shared" si="229"/>
        <v>6000000</v>
      </c>
    </row>
    <row r="572">
      <c r="A572" s="2" t="s">
        <v>11</v>
      </c>
      <c r="B572" s="2" t="s">
        <v>12</v>
      </c>
      <c r="C572" s="2" t="s">
        <v>13</v>
      </c>
      <c r="D572" s="2">
        <v>50.0</v>
      </c>
      <c r="E572" s="2">
        <v>4357645.0</v>
      </c>
      <c r="F572" s="2">
        <v>6544114.0</v>
      </c>
      <c r="G572" s="3">
        <f t="shared" ref="G572:G573" si="230">E572+F572</f>
        <v>10901759</v>
      </c>
    </row>
    <row r="573">
      <c r="A573" s="2" t="s">
        <v>11</v>
      </c>
      <c r="B573" s="2" t="s">
        <v>14</v>
      </c>
      <c r="C573" s="2" t="s">
        <v>13</v>
      </c>
      <c r="D573" s="2">
        <v>50.0</v>
      </c>
      <c r="E573" s="2">
        <v>1.0193645E7</v>
      </c>
      <c r="F573" s="2">
        <v>6654956.0</v>
      </c>
      <c r="G573" s="3">
        <f t="shared" si="230"/>
        <v>16848601</v>
      </c>
    </row>
    <row r="575">
      <c r="A575" s="2" t="s">
        <v>15</v>
      </c>
      <c r="B575" s="2" t="s">
        <v>12</v>
      </c>
      <c r="C575" s="2" t="s">
        <v>13</v>
      </c>
      <c r="D575" s="2">
        <v>50.0</v>
      </c>
      <c r="E575" s="2">
        <v>4621282.0</v>
      </c>
      <c r="F575" s="2">
        <v>6551357.0</v>
      </c>
      <c r="G575" s="3">
        <f t="shared" ref="G575:G576" si="231">E575+F575</f>
        <v>11172639</v>
      </c>
    </row>
    <row r="576">
      <c r="A576" s="2" t="s">
        <v>15</v>
      </c>
      <c r="B576" s="2" t="s">
        <v>14</v>
      </c>
      <c r="C576" s="2" t="s">
        <v>13</v>
      </c>
      <c r="D576" s="2">
        <v>50.0</v>
      </c>
      <c r="E576" s="2">
        <v>8874777.0</v>
      </c>
      <c r="F576" s="2">
        <v>6557966.0</v>
      </c>
      <c r="G576" s="3">
        <f t="shared" si="231"/>
        <v>15432743</v>
      </c>
    </row>
    <row r="578">
      <c r="A578" s="2" t="s">
        <v>18</v>
      </c>
      <c r="B578" s="2" t="s">
        <v>12</v>
      </c>
      <c r="C578" s="2" t="s">
        <v>13</v>
      </c>
      <c r="D578" s="2">
        <v>50.0</v>
      </c>
      <c r="E578" s="2">
        <v>4483756.0</v>
      </c>
      <c r="F578" s="2">
        <v>6446596.0</v>
      </c>
      <c r="G578" s="3">
        <f t="shared" ref="G578:G579" si="232">E578+F578</f>
        <v>10930352</v>
      </c>
    </row>
    <row r="579">
      <c r="A579" s="2" t="s">
        <v>18</v>
      </c>
      <c r="B579" s="2" t="s">
        <v>14</v>
      </c>
      <c r="C579" s="2" t="s">
        <v>13</v>
      </c>
      <c r="D579" s="2">
        <v>50.0</v>
      </c>
      <c r="E579" s="2">
        <v>7984117.0</v>
      </c>
      <c r="F579" s="2">
        <v>6452318.0</v>
      </c>
      <c r="G579" s="3">
        <f t="shared" si="232"/>
        <v>14436435</v>
      </c>
    </row>
    <row r="583">
      <c r="D583" s="3" t="str">
        <f>"total=["&amp;L570&amp;", "&amp;L571&amp;", "&amp;G561&amp;", "&amp;G562&amp;", "&amp;G564&amp;", "&amp;G565&amp;", "&amp;G567&amp;", "&amp;G568&amp;"]"</f>
        <v>total=[10250000, 6000000, 10896302, 16974365, 11144894, 15319403, 10927516, 14936328]</v>
      </c>
    </row>
    <row r="590">
      <c r="B590" s="2" t="s">
        <v>26</v>
      </c>
      <c r="C590" s="2" t="s">
        <v>32</v>
      </c>
    </row>
    <row r="591">
      <c r="C591" s="2" t="s">
        <v>4</v>
      </c>
      <c r="D591" s="2" t="s">
        <v>5</v>
      </c>
    </row>
    <row r="592">
      <c r="E592" s="2" t="s">
        <v>7</v>
      </c>
      <c r="F592" s="2" t="s">
        <v>8</v>
      </c>
      <c r="G592" s="2" t="s">
        <v>21</v>
      </c>
      <c r="J592" s="2">
        <v>4096.0</v>
      </c>
      <c r="K592" s="2">
        <v>4096.0</v>
      </c>
    </row>
    <row r="593">
      <c r="A593" s="2" t="s">
        <v>11</v>
      </c>
      <c r="B593" s="2" t="s">
        <v>12</v>
      </c>
      <c r="C593" s="2" t="s">
        <v>13</v>
      </c>
      <c r="D593" s="2">
        <v>200.0</v>
      </c>
      <c r="E593" s="2">
        <v>1516527.0</v>
      </c>
      <c r="F593" s="2">
        <v>821676.0</v>
      </c>
      <c r="G593" s="3">
        <f t="shared" ref="G593:G594" si="233">E593+F593</f>
        <v>2338203</v>
      </c>
      <c r="H593" s="3">
        <f t="shared" ref="H593:H594" si="234">100-ABS($M$77-G593)/$M$77*100</f>
        <v>37.1828915</v>
      </c>
      <c r="I593" s="3">
        <f>100-ABS($M$78-G593)/$M$78*100</f>
        <v>55.74710369</v>
      </c>
    </row>
    <row r="594">
      <c r="A594" s="2" t="s">
        <v>11</v>
      </c>
      <c r="B594" s="2" t="s">
        <v>14</v>
      </c>
      <c r="C594" s="2" t="s">
        <v>13</v>
      </c>
      <c r="D594" s="2">
        <v>200.0</v>
      </c>
      <c r="E594" s="2">
        <v>1520001.0</v>
      </c>
      <c r="F594" s="2">
        <v>826604.0</v>
      </c>
      <c r="G594" s="3">
        <f t="shared" si="233"/>
        <v>2346605</v>
      </c>
      <c r="H594" s="3">
        <f t="shared" si="234"/>
        <v>37.31650294</v>
      </c>
    </row>
    <row r="596">
      <c r="A596" s="2" t="s">
        <v>15</v>
      </c>
      <c r="B596" s="2" t="s">
        <v>12</v>
      </c>
      <c r="C596" s="2" t="s">
        <v>13</v>
      </c>
      <c r="D596" s="2">
        <v>200.0</v>
      </c>
      <c r="E596" s="2">
        <v>1697399.0</v>
      </c>
      <c r="F596" s="2">
        <v>679613.0</v>
      </c>
      <c r="G596" s="3">
        <f t="shared" ref="G596:G597" si="235">E596+F596</f>
        <v>2377012</v>
      </c>
      <c r="H596" s="3">
        <f t="shared" ref="H596:H597" si="236">100-ABS($M$77-G596)/$M$77*100</f>
        <v>37.80004529</v>
      </c>
      <c r="M596" s="3">
        <f>J599/200</f>
        <v>500000</v>
      </c>
    </row>
    <row r="597">
      <c r="A597" s="2" t="s">
        <v>15</v>
      </c>
      <c r="B597" s="2" t="s">
        <v>14</v>
      </c>
      <c r="C597" s="2" t="s">
        <v>13</v>
      </c>
      <c r="D597" s="2">
        <v>200.0</v>
      </c>
      <c r="E597" s="2">
        <v>1826256.0</v>
      </c>
      <c r="F597" s="2">
        <v>703656.0</v>
      </c>
      <c r="G597" s="3">
        <f t="shared" si="235"/>
        <v>2529912</v>
      </c>
      <c r="H597" s="3">
        <f t="shared" si="236"/>
        <v>40.23151258</v>
      </c>
    </row>
    <row r="598">
      <c r="J598" s="2" t="s">
        <v>16</v>
      </c>
      <c r="K598" s="2" t="s">
        <v>17</v>
      </c>
    </row>
    <row r="599">
      <c r="A599" s="2" t="s">
        <v>18</v>
      </c>
      <c r="B599" s="2" t="s">
        <v>12</v>
      </c>
      <c r="C599" s="2" t="s">
        <v>13</v>
      </c>
      <c r="D599" s="2">
        <v>200.0</v>
      </c>
      <c r="E599" s="2">
        <v>1501175.0</v>
      </c>
      <c r="F599" s="2">
        <v>505334.0</v>
      </c>
      <c r="G599" s="3">
        <f t="shared" ref="G599:G600" si="237">E599+F599</f>
        <v>2006509</v>
      </c>
      <c r="H599" s="3">
        <f t="shared" ref="H599:H600" si="238">100-ABS($M$77-G599)/$M$77*100</f>
        <v>31.90818182</v>
      </c>
      <c r="J599" s="2">
        <v>1.0E8</v>
      </c>
      <c r="K599" s="2">
        <v>4.0</v>
      </c>
    </row>
    <row r="600">
      <c r="A600" s="2" t="s">
        <v>18</v>
      </c>
      <c r="B600" s="2" t="s">
        <v>14</v>
      </c>
      <c r="C600" s="2" t="s">
        <v>13</v>
      </c>
      <c r="D600" s="2">
        <v>200.0</v>
      </c>
      <c r="E600" s="2">
        <v>1502057.0</v>
      </c>
      <c r="F600" s="2">
        <v>505586.0</v>
      </c>
      <c r="G600" s="3">
        <f t="shared" si="237"/>
        <v>2007643</v>
      </c>
      <c r="H600" s="3">
        <f t="shared" si="238"/>
        <v>31.92621507</v>
      </c>
    </row>
    <row r="601">
      <c r="J601" s="2" t="s">
        <v>19</v>
      </c>
      <c r="K601" s="2" t="s">
        <v>20</v>
      </c>
      <c r="L601" s="2" t="s">
        <v>21</v>
      </c>
    </row>
    <row r="602">
      <c r="I602" s="2" t="s">
        <v>23</v>
      </c>
      <c r="J602" s="3">
        <f>J599*K599/64*3*16/200</f>
        <v>1500000</v>
      </c>
      <c r="K602" s="3">
        <f>J599*K599/64*16/200</f>
        <v>500000</v>
      </c>
      <c r="L602" s="3">
        <f t="shared" ref="L602:L603" si="239">J602+K602</f>
        <v>2000000</v>
      </c>
    </row>
    <row r="603">
      <c r="A603" s="2" t="s">
        <v>91</v>
      </c>
      <c r="B603" s="2" t="s">
        <v>85</v>
      </c>
      <c r="I603" s="2" t="s">
        <v>3</v>
      </c>
      <c r="J603" s="3">
        <f>J599*K599/64*16/200*2</f>
        <v>1000000</v>
      </c>
      <c r="K603" s="3">
        <f>K602</f>
        <v>500000</v>
      </c>
      <c r="L603" s="3">
        <f t="shared" si="239"/>
        <v>1500000</v>
      </c>
    </row>
    <row r="604">
      <c r="A604" s="2" t="s">
        <v>11</v>
      </c>
      <c r="B604" s="2" t="s">
        <v>12</v>
      </c>
      <c r="C604" s="2" t="s">
        <v>13</v>
      </c>
      <c r="D604" s="2">
        <v>200.0</v>
      </c>
      <c r="E604" s="2">
        <v>1516593.0</v>
      </c>
      <c r="F604" s="2">
        <v>818848.0</v>
      </c>
      <c r="G604" s="3">
        <f t="shared" ref="G604:G605" si="240">E604+F604</f>
        <v>2335441</v>
      </c>
    </row>
    <row r="605">
      <c r="A605" s="2" t="s">
        <v>11</v>
      </c>
      <c r="B605" s="2" t="s">
        <v>14</v>
      </c>
      <c r="C605" s="2" t="s">
        <v>13</v>
      </c>
      <c r="D605" s="2">
        <v>200.0</v>
      </c>
      <c r="E605" s="2">
        <v>1518779.0</v>
      </c>
      <c r="F605" s="2">
        <v>817026.0</v>
      </c>
      <c r="G605" s="3">
        <f t="shared" si="240"/>
        <v>2335805</v>
      </c>
    </row>
    <row r="607">
      <c r="A607" s="2" t="s">
        <v>15</v>
      </c>
      <c r="B607" s="2" t="s">
        <v>12</v>
      </c>
      <c r="C607" s="2" t="s">
        <v>13</v>
      </c>
      <c r="D607" s="2">
        <v>200.0</v>
      </c>
      <c r="E607" s="2">
        <v>1759632.0</v>
      </c>
      <c r="F607" s="2">
        <v>752570.0</v>
      </c>
      <c r="G607" s="3">
        <f t="shared" ref="G607:G608" si="241">E607+F607</f>
        <v>2512202</v>
      </c>
    </row>
    <row r="608">
      <c r="A608" s="2" t="s">
        <v>15</v>
      </c>
      <c r="B608" s="2" t="s">
        <v>14</v>
      </c>
      <c r="C608" s="2" t="s">
        <v>13</v>
      </c>
      <c r="D608" s="2">
        <v>200.0</v>
      </c>
      <c r="E608" s="2">
        <v>1900763.0</v>
      </c>
      <c r="F608" s="2">
        <v>768691.0</v>
      </c>
      <c r="G608" s="3">
        <f t="shared" si="241"/>
        <v>2669454</v>
      </c>
    </row>
    <row r="610">
      <c r="A610" s="2" t="s">
        <v>18</v>
      </c>
      <c r="B610" s="2" t="s">
        <v>12</v>
      </c>
      <c r="C610" s="2" t="s">
        <v>13</v>
      </c>
      <c r="D610" s="2">
        <v>200.0</v>
      </c>
      <c r="E610" s="2">
        <v>1501835.0</v>
      </c>
      <c r="F610" s="2">
        <v>503652.0</v>
      </c>
      <c r="G610" s="3">
        <f t="shared" ref="G610:G611" si="242">E610+F610</f>
        <v>2005487</v>
      </c>
    </row>
    <row r="611">
      <c r="A611" s="2" t="s">
        <v>18</v>
      </c>
      <c r="B611" s="2" t="s">
        <v>14</v>
      </c>
      <c r="C611" s="2" t="s">
        <v>13</v>
      </c>
      <c r="D611" s="2">
        <v>200.0</v>
      </c>
      <c r="E611" s="2">
        <v>1502131.0</v>
      </c>
      <c r="F611" s="2">
        <v>505243.0</v>
      </c>
      <c r="G611" s="3">
        <f t="shared" si="242"/>
        <v>2007374</v>
      </c>
    </row>
    <row r="615">
      <c r="D615" s="3" t="str">
        <f>"total=["&amp;L602&amp;", "&amp;L603&amp;", "&amp;G593&amp;", "&amp;G594&amp;", "&amp;G596&amp;", "&amp;G597&amp;", "&amp;G599&amp;", "&amp;G600&amp;"]"</f>
        <v>total=[2000000, 1500000, 2338203, 2346605, 2377012, 2529912, 2006509, 2007643]</v>
      </c>
    </row>
    <row r="620">
      <c r="D620" s="2" t="s">
        <v>34</v>
      </c>
      <c r="E620" s="2">
        <v>1.0</v>
      </c>
      <c r="F620" s="2">
        <v>1713800.0</v>
      </c>
      <c r="G620" s="2">
        <v>398826.0</v>
      </c>
    </row>
    <row r="621">
      <c r="I621" s="2">
        <v>4000000.0</v>
      </c>
      <c r="J621" s="3">
        <f>LOG(I621)</f>
        <v>6.602059991</v>
      </c>
      <c r="K621" s="3">
        <f>J621*100000</f>
        <v>660205.9991</v>
      </c>
      <c r="L621" s="3">
        <f>K621*3</f>
        <v>1980617.997</v>
      </c>
    </row>
    <row r="623">
      <c r="B623" s="2" t="s">
        <v>36</v>
      </c>
    </row>
    <row r="624">
      <c r="C624" s="2" t="s">
        <v>4</v>
      </c>
      <c r="D624" s="2" t="s">
        <v>5</v>
      </c>
    </row>
    <row r="625">
      <c r="E625" s="2" t="s">
        <v>7</v>
      </c>
      <c r="F625" s="2" t="s">
        <v>8</v>
      </c>
      <c r="G625" s="2" t="s">
        <v>21</v>
      </c>
      <c r="H625" s="3">
        <f>(H626+H629+H632)/3</f>
        <v>71.40343218</v>
      </c>
      <c r="J625" s="2">
        <v>4096.0</v>
      </c>
      <c r="K625" s="2">
        <v>4096.0</v>
      </c>
    </row>
    <row r="626">
      <c r="A626" s="2" t="s">
        <v>11</v>
      </c>
      <c r="B626" s="2" t="s">
        <v>12</v>
      </c>
      <c r="C626" s="2" t="s">
        <v>34</v>
      </c>
      <c r="D626" s="2">
        <v>1.0</v>
      </c>
      <c r="E626" s="2">
        <v>426155.0</v>
      </c>
      <c r="G626" s="3">
        <f t="shared" ref="G626:G627" si="243">E626+F626</f>
        <v>426155</v>
      </c>
      <c r="H626" s="3">
        <f>100-ABS(G626-L635)/G626*100</f>
        <v>61.88821813</v>
      </c>
      <c r="I626" s="3">
        <f>100-ABS($M$78-G626)/$M$78*100</f>
        <v>10.16032696</v>
      </c>
    </row>
    <row r="627">
      <c r="A627" s="2" t="s">
        <v>11</v>
      </c>
      <c r="B627" s="2" t="s">
        <v>14</v>
      </c>
      <c r="C627" s="2" t="s">
        <v>34</v>
      </c>
      <c r="D627" s="2">
        <v>1.0</v>
      </c>
      <c r="E627" s="2">
        <v>472839.0</v>
      </c>
      <c r="G627" s="3">
        <f t="shared" si="243"/>
        <v>472839</v>
      </c>
      <c r="H627" s="3">
        <f>100-ABS(G627-L635)/G627*100</f>
        <v>75.52417122</v>
      </c>
    </row>
    <row r="628">
      <c r="J628" s="3">
        <f>(H627+H633)/2</f>
        <v>63.08615896</v>
      </c>
    </row>
    <row r="629">
      <c r="A629" s="2" t="s">
        <v>15</v>
      </c>
      <c r="B629" s="2" t="s">
        <v>12</v>
      </c>
      <c r="C629" s="2" t="s">
        <v>13</v>
      </c>
      <c r="D629" s="2">
        <v>1.0</v>
      </c>
      <c r="E629" s="2">
        <v>534214.0</v>
      </c>
      <c r="G629" s="3">
        <f t="shared" ref="G629:G630" si="244">E629+F629</f>
        <v>534214</v>
      </c>
      <c r="H629" s="3">
        <f>100-ABS(G629-L635)/G629*100</f>
        <v>89.82500196</v>
      </c>
    </row>
    <row r="630">
      <c r="A630" s="2" t="s">
        <v>15</v>
      </c>
      <c r="B630" s="2" t="s">
        <v>14</v>
      </c>
      <c r="C630" s="2" t="s">
        <v>13</v>
      </c>
      <c r="D630" s="2">
        <v>1.0</v>
      </c>
      <c r="E630" s="2">
        <v>1152437.0</v>
      </c>
      <c r="G630" s="3">
        <f t="shared" si="244"/>
        <v>1152437</v>
      </c>
      <c r="H630" s="3">
        <f>100-ABS($M$77-G630)/$M$77*100</f>
        <v>18.32644126</v>
      </c>
    </row>
    <row r="631">
      <c r="J631" s="2" t="s">
        <v>16</v>
      </c>
      <c r="K631" s="2" t="s">
        <v>17</v>
      </c>
    </row>
    <row r="632">
      <c r="A632" s="2" t="s">
        <v>18</v>
      </c>
      <c r="B632" s="2" t="s">
        <v>12</v>
      </c>
      <c r="C632" s="2" t="s">
        <v>13</v>
      </c>
      <c r="D632" s="2">
        <v>1.0</v>
      </c>
      <c r="E632" s="2">
        <v>428042.0</v>
      </c>
      <c r="G632" s="3">
        <f t="shared" ref="G632:G633" si="245">E632+F632</f>
        <v>428042</v>
      </c>
      <c r="H632" s="3">
        <f>100-ABS(G632-L635)/G632*100</f>
        <v>62.49707645</v>
      </c>
      <c r="J632" s="2">
        <v>1.0E8</v>
      </c>
      <c r="K632" s="2">
        <v>4.0</v>
      </c>
    </row>
    <row r="633">
      <c r="A633" s="2" t="s">
        <v>18</v>
      </c>
      <c r="B633" s="2" t="s">
        <v>14</v>
      </c>
      <c r="C633" s="2" t="s">
        <v>13</v>
      </c>
      <c r="D633" s="2">
        <v>1.0</v>
      </c>
      <c r="E633" s="2">
        <v>394083.0</v>
      </c>
      <c r="G633" s="3">
        <f t="shared" si="245"/>
        <v>394083</v>
      </c>
      <c r="H633" s="3">
        <f>100-ABS(G633-L635)/G633*100</f>
        <v>50.6481467</v>
      </c>
    </row>
    <row r="634">
      <c r="J634" s="2" t="s">
        <v>19</v>
      </c>
      <c r="K634" s="2" t="s">
        <v>20</v>
      </c>
      <c r="L634" s="2" t="s">
        <v>21</v>
      </c>
    </row>
    <row r="635">
      <c r="I635" s="2" t="s">
        <v>23</v>
      </c>
      <c r="J635" s="3">
        <v>588570.2640307106</v>
      </c>
      <c r="L635" s="3">
        <f t="shared" ref="L635:L636" si="246">J635+K635</f>
        <v>588570.264</v>
      </c>
    </row>
    <row r="636">
      <c r="A636" s="2" t="s">
        <v>91</v>
      </c>
      <c r="B636" s="2" t="s">
        <v>85</v>
      </c>
      <c r="I636" s="2" t="s">
        <v>3</v>
      </c>
      <c r="J636" s="3">
        <f>J632*K632/64*16/200*2</f>
        <v>1000000</v>
      </c>
      <c r="L636" s="3">
        <f t="shared" si="246"/>
        <v>1000000</v>
      </c>
    </row>
    <row r="637">
      <c r="A637" s="2" t="s">
        <v>11</v>
      </c>
      <c r="B637" s="2" t="s">
        <v>12</v>
      </c>
      <c r="C637" s="2" t="s">
        <v>34</v>
      </c>
      <c r="D637" s="2">
        <v>1.0</v>
      </c>
      <c r="E637" s="2">
        <v>381648.0</v>
      </c>
      <c r="G637" s="3">
        <f t="shared" ref="G637:G638" si="247">E637+F637</f>
        <v>381648</v>
      </c>
    </row>
    <row r="638">
      <c r="A638" s="2" t="s">
        <v>11</v>
      </c>
      <c r="B638" s="2" t="s">
        <v>14</v>
      </c>
      <c r="C638" s="2" t="s">
        <v>34</v>
      </c>
      <c r="D638" s="2">
        <v>1.0</v>
      </c>
      <c r="E638" s="2">
        <v>400427.0</v>
      </c>
      <c r="G638" s="3">
        <f t="shared" si="247"/>
        <v>400427</v>
      </c>
    </row>
    <row r="640">
      <c r="A640" s="2" t="s">
        <v>15</v>
      </c>
      <c r="B640" s="2" t="s">
        <v>12</v>
      </c>
      <c r="C640" s="2" t="s">
        <v>13</v>
      </c>
      <c r="D640" s="2">
        <v>1.0</v>
      </c>
      <c r="E640" s="2">
        <v>410787.0</v>
      </c>
      <c r="G640" s="3">
        <f t="shared" ref="G640:G641" si="248">E640+F640</f>
        <v>410787</v>
      </c>
    </row>
    <row r="641">
      <c r="A641" s="2" t="s">
        <v>15</v>
      </c>
      <c r="B641" s="2" t="s">
        <v>14</v>
      </c>
      <c r="C641" s="2" t="s">
        <v>13</v>
      </c>
      <c r="D641" s="2">
        <v>1.0</v>
      </c>
      <c r="E641" s="2">
        <v>782733.0</v>
      </c>
      <c r="G641" s="3">
        <f t="shared" si="248"/>
        <v>782733</v>
      </c>
    </row>
    <row r="643">
      <c r="A643" s="2" t="s">
        <v>18</v>
      </c>
      <c r="B643" s="2" t="s">
        <v>12</v>
      </c>
      <c r="C643" s="2" t="s">
        <v>13</v>
      </c>
      <c r="D643" s="2">
        <v>1.0</v>
      </c>
      <c r="E643" s="2">
        <v>254280.0</v>
      </c>
      <c r="G643" s="3">
        <f t="shared" ref="G643:G644" si="249">E643+F643</f>
        <v>254280</v>
      </c>
    </row>
    <row r="644">
      <c r="A644" s="2" t="s">
        <v>18</v>
      </c>
      <c r="B644" s="2" t="s">
        <v>14</v>
      </c>
      <c r="C644" s="2" t="s">
        <v>13</v>
      </c>
      <c r="D644" s="2">
        <v>1.0</v>
      </c>
      <c r="E644" s="2">
        <v>383627.0</v>
      </c>
      <c r="G644" s="3">
        <f t="shared" si="249"/>
        <v>383627</v>
      </c>
    </row>
    <row r="648">
      <c r="D648" s="3" t="str">
        <f>"total=["&amp;L635&amp;", "&amp;L636&amp;", "&amp;G626&amp;", "&amp;G627&amp;", "&amp;G629&amp;", "&amp;G630&amp;", "&amp;G632&amp;", "&amp;G633&amp;"]"</f>
        <v>total=[588570.264030711, 1000000, 426155, 472839, 534214, 1152437, 428042, 394083]</v>
      </c>
    </row>
    <row r="649">
      <c r="D649" s="3" t="str">
        <f>"omp_data=["&amp;L635&amp;", "&amp;L636&amp;","&amp;G637&amp;", "&amp;G638&amp;", "&amp;G640&amp;", "&amp;G641&amp;", "&amp;G643&amp;","&amp;G644&amp;"]"</f>
        <v>omp_data=[588570.264030711, 1000000,381648, 400427, 410787, 782733, 254280,383627]</v>
      </c>
    </row>
    <row r="650">
      <c r="F650" s="2">
        <v>240.0</v>
      </c>
      <c r="G650" s="3">
        <f>F650*F655</f>
        <v>251658240</v>
      </c>
      <c r="H650" s="3">
        <f>E652/G650</f>
        <v>0.02443326314</v>
      </c>
      <c r="I650" s="3">
        <f>E657/G650</f>
        <v>0.1666666667</v>
      </c>
      <c r="J650" s="3">
        <f>H650*I650</f>
        <v>0.004072210524</v>
      </c>
    </row>
    <row r="652">
      <c r="D652" s="8">
        <v>768604.0</v>
      </c>
      <c r="E652" s="3">
        <f>D652*8</f>
        <v>6148832</v>
      </c>
      <c r="F652" s="3">
        <f>E652/F655</f>
        <v>5.863983154</v>
      </c>
      <c r="I652" s="3">
        <f>D655/D652</f>
        <v>0.7657652888</v>
      </c>
    </row>
    <row r="653">
      <c r="F653" s="2">
        <v>477873.0</v>
      </c>
    </row>
    <row r="654">
      <c r="D654" s="3">
        <f>log(D652)</f>
        <v>5.88570264</v>
      </c>
    </row>
    <row r="655">
      <c r="D655" s="3">
        <f>D654*100000</f>
        <v>588570.264</v>
      </c>
      <c r="E655" s="3">
        <f>D655*64</f>
        <v>37668496.9</v>
      </c>
      <c r="F655" s="9">
        <v>1048576.0</v>
      </c>
      <c r="G655" s="3">
        <f>E655/F655</f>
        <v>35.92347803</v>
      </c>
    </row>
    <row r="656">
      <c r="D656" s="2" t="s">
        <v>42</v>
      </c>
    </row>
    <row r="657">
      <c r="C657" s="2" t="s">
        <v>43</v>
      </c>
      <c r="D657" s="2">
        <v>40.0</v>
      </c>
      <c r="E657" s="3">
        <f t="shared" ref="E657:E659" si="250">D657*$F$190</f>
        <v>41943040</v>
      </c>
    </row>
    <row r="658">
      <c r="C658" s="2" t="s">
        <v>44</v>
      </c>
      <c r="D658" s="2">
        <v>14.0</v>
      </c>
      <c r="E658" s="3">
        <f t="shared" si="250"/>
        <v>14680064</v>
      </c>
    </row>
    <row r="659">
      <c r="C659" s="2" t="s">
        <v>45</v>
      </c>
      <c r="D659" s="2">
        <v>28.0</v>
      </c>
      <c r="E659" s="3">
        <f t="shared" si="250"/>
        <v>29360128</v>
      </c>
    </row>
    <row r="660">
      <c r="K660" s="2">
        <v>102.0</v>
      </c>
    </row>
    <row r="662">
      <c r="L662" s="3">
        <f>L665/64</f>
        <v>65536</v>
      </c>
    </row>
    <row r="663">
      <c r="B663" s="2" t="s">
        <v>89</v>
      </c>
    </row>
    <row r="664">
      <c r="C664" s="2" t="s">
        <v>4</v>
      </c>
      <c r="D664" s="2" t="s">
        <v>5</v>
      </c>
    </row>
    <row r="665">
      <c r="E665" s="2" t="s">
        <v>7</v>
      </c>
      <c r="F665" s="2" t="s">
        <v>8</v>
      </c>
      <c r="G665" s="2" t="s">
        <v>21</v>
      </c>
      <c r="J665" s="2">
        <v>2048.0</v>
      </c>
      <c r="K665" s="2">
        <v>2048.0</v>
      </c>
      <c r="L665" s="3">
        <f>J665*K665</f>
        <v>4194304</v>
      </c>
      <c r="M665" s="3">
        <f>L665/64</f>
        <v>65536</v>
      </c>
    </row>
    <row r="666">
      <c r="A666" s="2" t="s">
        <v>11</v>
      </c>
      <c r="B666" s="2" t="s">
        <v>12</v>
      </c>
      <c r="C666" s="2" t="s">
        <v>13</v>
      </c>
      <c r="D666" s="2">
        <v>200.0</v>
      </c>
      <c r="E666" s="2">
        <v>1516527.0</v>
      </c>
      <c r="F666" s="2">
        <v>821676.0</v>
      </c>
      <c r="G666" s="3">
        <f t="shared" ref="G666:G667" si="251">E666+F666</f>
        <v>2338203</v>
      </c>
      <c r="H666" s="3">
        <f t="shared" ref="H666:H667" si="252">100-ABS($M$77-G666)/$M$77*100</f>
        <v>37.1828915</v>
      </c>
      <c r="I666" s="3">
        <f>100-ABS($M$78-G666)/$M$78*100</f>
        <v>55.74710369</v>
      </c>
    </row>
    <row r="667">
      <c r="A667" s="2" t="s">
        <v>11</v>
      </c>
      <c r="B667" s="2" t="s">
        <v>14</v>
      </c>
      <c r="C667" s="2" t="s">
        <v>13</v>
      </c>
      <c r="D667" s="2">
        <v>200.0</v>
      </c>
      <c r="E667" s="2">
        <v>1520001.0</v>
      </c>
      <c r="F667" s="2">
        <v>826604.0</v>
      </c>
      <c r="G667" s="3">
        <f t="shared" si="251"/>
        <v>2346605</v>
      </c>
      <c r="H667" s="3">
        <f t="shared" si="252"/>
        <v>37.31650294</v>
      </c>
    </row>
    <row r="669">
      <c r="A669" s="2" t="s">
        <v>15</v>
      </c>
      <c r="B669" s="2" t="s">
        <v>12</v>
      </c>
      <c r="C669" s="2" t="s">
        <v>13</v>
      </c>
      <c r="D669" s="2">
        <v>200.0</v>
      </c>
      <c r="E669" s="2">
        <v>1697399.0</v>
      </c>
      <c r="F669" s="2">
        <v>679613.0</v>
      </c>
      <c r="G669" s="3">
        <f t="shared" ref="G669:G670" si="253">E669+F669</f>
        <v>2377012</v>
      </c>
      <c r="H669" s="3">
        <f t="shared" ref="H669:H670" si="254">100-ABS($M$77-G669)/$M$77*100</f>
        <v>37.80004529</v>
      </c>
      <c r="M669" s="3">
        <f>J672/200</f>
        <v>500000</v>
      </c>
    </row>
    <row r="670">
      <c r="A670" s="2" t="s">
        <v>15</v>
      </c>
      <c r="B670" s="2" t="s">
        <v>14</v>
      </c>
      <c r="C670" s="2" t="s">
        <v>13</v>
      </c>
      <c r="D670" s="2">
        <v>200.0</v>
      </c>
      <c r="E670" s="2">
        <v>1826256.0</v>
      </c>
      <c r="F670" s="2">
        <v>703656.0</v>
      </c>
      <c r="G670" s="3">
        <f t="shared" si="253"/>
        <v>2529912</v>
      </c>
      <c r="H670" s="3">
        <f t="shared" si="254"/>
        <v>40.23151258</v>
      </c>
    </row>
    <row r="671">
      <c r="J671" s="2" t="s">
        <v>16</v>
      </c>
      <c r="K671" s="2" t="s">
        <v>17</v>
      </c>
    </row>
    <row r="672">
      <c r="A672" s="2" t="s">
        <v>18</v>
      </c>
      <c r="B672" s="2" t="s">
        <v>12</v>
      </c>
      <c r="C672" s="2" t="s">
        <v>13</v>
      </c>
      <c r="D672" s="2">
        <v>200.0</v>
      </c>
      <c r="E672" s="2">
        <v>1501175.0</v>
      </c>
      <c r="F672" s="2">
        <v>505334.0</v>
      </c>
      <c r="G672" s="3">
        <f t="shared" ref="G672:G673" si="255">E672+F672</f>
        <v>2006509</v>
      </c>
      <c r="H672" s="3">
        <f t="shared" ref="H672:H673" si="256">100-ABS($M$77-G672)/$M$77*100</f>
        <v>31.90818182</v>
      </c>
      <c r="J672" s="2">
        <v>1.0E8</v>
      </c>
      <c r="K672" s="2">
        <v>4.0</v>
      </c>
    </row>
    <row r="673">
      <c r="A673" s="2" t="s">
        <v>18</v>
      </c>
      <c r="B673" s="2" t="s">
        <v>14</v>
      </c>
      <c r="C673" s="2" t="s">
        <v>13</v>
      </c>
      <c r="D673" s="2">
        <v>200.0</v>
      </c>
      <c r="E673" s="2">
        <v>1502057.0</v>
      </c>
      <c r="F673" s="2">
        <v>505586.0</v>
      </c>
      <c r="G673" s="3">
        <f t="shared" si="255"/>
        <v>2007643</v>
      </c>
      <c r="H673" s="3">
        <f t="shared" si="256"/>
        <v>31.92621507</v>
      </c>
    </row>
    <row r="674">
      <c r="J674" s="2" t="s">
        <v>19</v>
      </c>
      <c r="K674" s="2" t="s">
        <v>20</v>
      </c>
      <c r="L674" s="2" t="s">
        <v>21</v>
      </c>
    </row>
    <row r="675">
      <c r="I675" s="2" t="s">
        <v>23</v>
      </c>
      <c r="J675" s="3">
        <f>J672*K672/64*3*16/200</f>
        <v>1500000</v>
      </c>
      <c r="K675" s="3">
        <f>J672*K672/64*16/200</f>
        <v>500000</v>
      </c>
      <c r="L675" s="3">
        <f t="shared" ref="L675:L676" si="257">J675+K675</f>
        <v>2000000</v>
      </c>
    </row>
    <row r="676">
      <c r="A676" s="2" t="s">
        <v>84</v>
      </c>
      <c r="B676" s="2" t="s">
        <v>85</v>
      </c>
      <c r="I676" s="2" t="s">
        <v>3</v>
      </c>
      <c r="J676" s="3">
        <f>J672*K672/64*16/200*2</f>
        <v>1000000</v>
      </c>
      <c r="K676" s="3">
        <f>K675</f>
        <v>500000</v>
      </c>
      <c r="L676" s="3">
        <f t="shared" si="257"/>
        <v>1500000</v>
      </c>
    </row>
    <row r="677">
      <c r="A677" s="2" t="s">
        <v>11</v>
      </c>
      <c r="B677" s="2" t="s">
        <v>12</v>
      </c>
      <c r="C677" s="2" t="s">
        <v>13</v>
      </c>
      <c r="D677" s="2">
        <v>1.0</v>
      </c>
      <c r="E677" s="2">
        <v>1.8776592E7</v>
      </c>
      <c r="F677" s="2">
        <v>6270387.0</v>
      </c>
      <c r="G677" s="3">
        <f t="shared" ref="G677:G678" si="258">E677+F677</f>
        <v>25046979</v>
      </c>
    </row>
    <row r="678">
      <c r="A678" s="2" t="s">
        <v>11</v>
      </c>
      <c r="B678" s="2" t="s">
        <v>14</v>
      </c>
      <c r="C678" s="2" t="s">
        <v>13</v>
      </c>
      <c r="D678" s="2">
        <v>1.0</v>
      </c>
      <c r="E678" s="2">
        <v>1.8779905E7</v>
      </c>
      <c r="F678" s="2">
        <v>6253845.0</v>
      </c>
      <c r="G678" s="3">
        <f t="shared" si="258"/>
        <v>25033750</v>
      </c>
    </row>
    <row r="680">
      <c r="A680" s="2" t="s">
        <v>15</v>
      </c>
      <c r="B680" s="2" t="s">
        <v>12</v>
      </c>
      <c r="C680" s="2" t="s">
        <v>13</v>
      </c>
      <c r="D680" s="2">
        <v>1.0</v>
      </c>
      <c r="E680" s="2">
        <v>1.8739767E7</v>
      </c>
      <c r="F680" s="2">
        <v>6264934.0</v>
      </c>
      <c r="G680" s="3">
        <f t="shared" ref="G680:G681" si="259">E680+F680</f>
        <v>25004701</v>
      </c>
    </row>
    <row r="681">
      <c r="A681" s="2" t="s">
        <v>15</v>
      </c>
      <c r="B681" s="2" t="s">
        <v>14</v>
      </c>
      <c r="C681" s="2" t="s">
        <v>13</v>
      </c>
      <c r="D681" s="2">
        <v>1.0</v>
      </c>
      <c r="E681" s="2">
        <v>1.8763648E7</v>
      </c>
      <c r="F681" s="2">
        <v>6263322.0</v>
      </c>
      <c r="G681" s="3">
        <f t="shared" si="259"/>
        <v>25026970</v>
      </c>
    </row>
    <row r="683">
      <c r="A683" s="2" t="s">
        <v>18</v>
      </c>
      <c r="B683" s="2" t="s">
        <v>12</v>
      </c>
      <c r="C683" s="2" t="s">
        <v>13</v>
      </c>
      <c r="D683" s="2">
        <v>1.0</v>
      </c>
      <c r="E683" s="2">
        <v>1.8409628E7</v>
      </c>
      <c r="F683" s="2">
        <v>6199845.0</v>
      </c>
      <c r="G683" s="3">
        <f t="shared" ref="G683:G684" si="260">E683+F683</f>
        <v>24609473</v>
      </c>
    </row>
    <row r="684">
      <c r="A684" s="2" t="s">
        <v>18</v>
      </c>
      <c r="B684" s="2" t="s">
        <v>14</v>
      </c>
      <c r="C684" s="2" t="s">
        <v>13</v>
      </c>
      <c r="D684" s="2">
        <v>1.0</v>
      </c>
      <c r="E684" s="2">
        <v>1.8413531E7</v>
      </c>
      <c r="F684" s="2">
        <v>6184994.0</v>
      </c>
      <c r="G684" s="3">
        <f t="shared" si="260"/>
        <v>24598525</v>
      </c>
    </row>
    <row r="688">
      <c r="D688" s="3" t="str">
        <f>"total=["&amp;L675&amp;", "&amp;L676&amp;", "&amp;G666&amp;", "&amp;G667&amp;", "&amp;G669&amp;", "&amp;G670&amp;", "&amp;G672&amp;", "&amp;G673&amp;"]"</f>
        <v>total=[2000000, 1500000, 2338203, 2346605, 2377012, 2529912, 2006509, 2007643]</v>
      </c>
    </row>
    <row r="690">
      <c r="K690" s="2">
        <v>16000.0</v>
      </c>
      <c r="L690" s="3">
        <f>K690*64</f>
        <v>1024000</v>
      </c>
      <c r="M690" s="3">
        <f>L690/2</f>
        <v>512000</v>
      </c>
    </row>
    <row r="693">
      <c r="H693" s="2">
        <v>512.0</v>
      </c>
      <c r="I693" s="2">
        <v>512.0</v>
      </c>
      <c r="J693" s="3">
        <f>H693*I693</f>
        <v>262144</v>
      </c>
      <c r="K693" s="3">
        <f>J693/64*4</f>
        <v>16384</v>
      </c>
    </row>
    <row r="695">
      <c r="A695" s="2" t="s">
        <v>93</v>
      </c>
    </row>
    <row r="696">
      <c r="A696" s="2" t="s">
        <v>94</v>
      </c>
    </row>
    <row r="697">
      <c r="A697" s="2"/>
      <c r="C697" s="2" t="s">
        <v>1</v>
      </c>
      <c r="D697" s="2" t="s">
        <v>24</v>
      </c>
      <c r="E697" s="2" t="s">
        <v>95</v>
      </c>
      <c r="F697" s="2" t="s">
        <v>96</v>
      </c>
      <c r="G697" s="2" t="s">
        <v>97</v>
      </c>
      <c r="H697" s="2" t="s">
        <v>98</v>
      </c>
      <c r="I697" s="2" t="s">
        <v>99</v>
      </c>
      <c r="J697" s="3" t="str">
        <f t="shared" ref="J697:J701" si="261">"gcc=["&amp;C697&amp;", "&amp;D697&amp;", "&amp;E697&amp;", "&amp;F697&amp;", "&amp;G697&amp;", "&amp;H697&amp;", "&amp;I697&amp;"]"</f>
        <v>gcc=[Stream, Jacobi, Laplace, XSBench, Vecmul-50, Vecmul-200, Lulesh]</v>
      </c>
    </row>
    <row r="698">
      <c r="A698" s="2"/>
      <c r="B698" s="2" t="s">
        <v>5</v>
      </c>
      <c r="C698" s="3">
        <v>2.5338856E7</v>
      </c>
      <c r="D698" s="3">
        <v>9441832.0</v>
      </c>
      <c r="E698" s="3">
        <v>6860474.0</v>
      </c>
      <c r="F698" s="3">
        <v>398155.2</v>
      </c>
      <c r="G698" s="3">
        <v>1.0896302E7</v>
      </c>
      <c r="H698" s="3">
        <v>2338203.0</v>
      </c>
      <c r="I698" s="3">
        <v>9.6274396E7</v>
      </c>
      <c r="J698" s="3" t="str">
        <f t="shared" si="261"/>
        <v>gcc=[25338856, 9441832, 6860474, 398155.2, 10896302, 2338203, 96274396]</v>
      </c>
    </row>
    <row r="699">
      <c r="A699" s="2" t="s">
        <v>100</v>
      </c>
      <c r="B699" s="2" t="s">
        <v>101</v>
      </c>
      <c r="C699" s="3">
        <v>2.5080477E7</v>
      </c>
      <c r="D699" s="3">
        <v>9310190.0</v>
      </c>
      <c r="E699" s="3">
        <v>6775994.0</v>
      </c>
      <c r="F699" s="3">
        <v>464544.8</v>
      </c>
      <c r="G699" s="3">
        <v>1.6974365E7</v>
      </c>
      <c r="H699" s="3">
        <v>2346605.0</v>
      </c>
      <c r="I699" s="3">
        <v>9.585896E7</v>
      </c>
      <c r="J699" s="3" t="str">
        <f t="shared" si="261"/>
        <v>gcc=[25080477, 9310190, 6775994, 464544.8, 16974365, 2346605, 95858960]</v>
      </c>
    </row>
    <row r="700">
      <c r="A700" s="2"/>
      <c r="B700" s="2" t="s">
        <v>102</v>
      </c>
      <c r="C700" s="3">
        <v>2.5046979E7</v>
      </c>
      <c r="D700" s="3">
        <v>9272076.0</v>
      </c>
      <c r="E700" s="3">
        <v>6603716.0</v>
      </c>
      <c r="F700" s="3">
        <v>665453.0</v>
      </c>
      <c r="G700" s="3">
        <v>1.1066649E7</v>
      </c>
      <c r="H700" s="3">
        <v>2504817.0</v>
      </c>
      <c r="I700" s="3">
        <v>9.5651204E7</v>
      </c>
      <c r="J700" s="3" t="str">
        <f t="shared" si="261"/>
        <v>gcc=[25046979, 9272076, 6603716, 665453, 11066649, 2504817, 95651204]</v>
      </c>
    </row>
    <row r="701">
      <c r="A701" s="2"/>
      <c r="B701" s="2" t="s">
        <v>103</v>
      </c>
      <c r="C701" s="3">
        <v>2.503375E7</v>
      </c>
      <c r="D701" s="3">
        <v>9145806.0</v>
      </c>
      <c r="E701" s="3">
        <v>6597481.0</v>
      </c>
      <c r="F701" s="3">
        <v>879404.0</v>
      </c>
      <c r="G701" s="3">
        <v>1.9813172E7</v>
      </c>
      <c r="H701" s="3">
        <v>2529047.0</v>
      </c>
      <c r="I701" s="3">
        <v>9.5776206E7</v>
      </c>
      <c r="J701" s="3" t="str">
        <f t="shared" si="261"/>
        <v>gcc=[25033750, 9145806, 6597481, 879404, 19813172, 2529047, 95776206]</v>
      </c>
    </row>
    <row r="702">
      <c r="A702" s="2" t="s">
        <v>51</v>
      </c>
    </row>
    <row r="703">
      <c r="A703" s="2"/>
      <c r="C703" s="2" t="s">
        <v>1</v>
      </c>
      <c r="D703" s="2" t="s">
        <v>24</v>
      </c>
      <c r="E703" s="2" t="s">
        <v>95</v>
      </c>
      <c r="F703" s="2" t="s">
        <v>96</v>
      </c>
      <c r="G703" s="2" t="s">
        <v>97</v>
      </c>
      <c r="H703" s="2" t="s">
        <v>98</v>
      </c>
      <c r="I703" s="2" t="s">
        <v>99</v>
      </c>
      <c r="J703" s="3" t="str">
        <f t="shared" ref="J703:J707" si="262">"gcc=["&amp;C703&amp;", "&amp;D703&amp;", "&amp;E703&amp;", "&amp;F703&amp;", "&amp;G703&amp;", "&amp;H703&amp;", "&amp;I703&amp;"]"</f>
        <v>gcc=[Stream, Jacobi, Laplace, XSBench, Vecmul-50, Vecmul-200, Lulesh]</v>
      </c>
    </row>
    <row r="704">
      <c r="A704" s="2"/>
      <c r="B704" s="2" t="s">
        <v>5</v>
      </c>
      <c r="C704" s="3">
        <v>98.66270205726731</v>
      </c>
      <c r="D704" s="3">
        <v>88.84513090256213</v>
      </c>
      <c r="E704" s="3">
        <v>91.66107181515446</v>
      </c>
      <c r="F704" s="3">
        <v>94.03227686088239</v>
      </c>
      <c r="G704" s="3">
        <v>94.14834500732451</v>
      </c>
      <c r="H704" s="3">
        <v>85.53577255695934</v>
      </c>
      <c r="I704" s="3">
        <v>95.88728866187849</v>
      </c>
      <c r="J704" s="3" t="str">
        <f t="shared" si="262"/>
        <v>gcc=[98.6627020572673, 88.8451309025621, 91.6610718151545, 94.0322768608824, 94.1483450073245, 85.5357725569594, 95.8872886618785]</v>
      </c>
    </row>
    <row r="705">
      <c r="A705" s="2" t="s">
        <v>100</v>
      </c>
      <c r="B705" s="2" t="s">
        <v>101</v>
      </c>
      <c r="C705" s="3">
        <v>99.67912492254433</v>
      </c>
      <c r="D705" s="3">
        <v>90.10136205598383</v>
      </c>
      <c r="E705" s="3">
        <v>92.8038602159329</v>
      </c>
      <c r="F705" s="3">
        <v>90.82353305859844</v>
      </c>
      <c r="G705" s="3">
        <v>92.43374936264185</v>
      </c>
      <c r="H705" s="3">
        <v>85.22951242326681</v>
      </c>
      <c r="I705" s="3">
        <v>96.30284743335417</v>
      </c>
      <c r="J705" s="3" t="str">
        <f t="shared" si="262"/>
        <v>gcc=[99.6791249225443, 90.1013620559838, 92.8038602159329, 90.8235330585984, 92.4337493626419, 85.2295124232668, 96.3028474333542]</v>
      </c>
    </row>
    <row r="706">
      <c r="A706" s="2"/>
      <c r="B706" s="2" t="s">
        <v>102</v>
      </c>
      <c r="C706" s="3">
        <v>99.81243646189826</v>
      </c>
      <c r="D706" s="3">
        <v>90.47173470105292</v>
      </c>
      <c r="E706" s="3">
        <v>95.22493093282631</v>
      </c>
      <c r="F706" s="3">
        <v>63.402824842625996</v>
      </c>
      <c r="G706" s="3">
        <v>92.69913593536761</v>
      </c>
      <c r="H706" s="3">
        <v>79.84615243349114</v>
      </c>
      <c r="I706" s="3">
        <v>96.51201881368895</v>
      </c>
      <c r="J706" s="3" t="str">
        <f t="shared" si="262"/>
        <v>gcc=[99.8124364618983, 90.4717347010529, 95.2249309328263, 63.402824842626, 92.6991359353676, 79.8461524334911, 96.512018813689]</v>
      </c>
    </row>
    <row r="707">
      <c r="A707" s="2"/>
      <c r="B707" s="2" t="s">
        <v>103</v>
      </c>
      <c r="C707" s="3">
        <v>99.8651820042942</v>
      </c>
      <c r="D707" s="3">
        <v>91.72081717018708</v>
      </c>
      <c r="E707" s="3">
        <v>95.31492398386597</v>
      </c>
      <c r="F707" s="3">
        <v>47.977493848106214</v>
      </c>
      <c r="G707" s="3">
        <v>92.15429008540379</v>
      </c>
      <c r="H707" s="3">
        <v>79.08117168245587</v>
      </c>
      <c r="I707" s="3">
        <v>96.3860564700172</v>
      </c>
      <c r="J707" s="3" t="str">
        <f t="shared" si="262"/>
        <v>gcc=[99.8651820042942, 91.7208171701871, 95.314923983866, 47.9774938481062, 92.1542900854038, 79.0811716824559, 96.3860564700172]</v>
      </c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 t="s">
        <v>104</v>
      </c>
    </row>
    <row r="714">
      <c r="A714" s="2" t="s">
        <v>94</v>
      </c>
    </row>
    <row r="715">
      <c r="A715" s="2"/>
      <c r="C715" s="2" t="s">
        <v>1</v>
      </c>
      <c r="D715" s="2" t="s">
        <v>24</v>
      </c>
      <c r="E715" s="2" t="s">
        <v>95</v>
      </c>
      <c r="F715" s="2" t="s">
        <v>96</v>
      </c>
      <c r="G715" s="2" t="s">
        <v>97</v>
      </c>
      <c r="H715" s="2" t="s">
        <v>98</v>
      </c>
      <c r="I715" s="2" t="s">
        <v>99</v>
      </c>
      <c r="J715" s="3" t="str">
        <f>"gcc=["&amp;C715&amp;", "&amp;D715&amp;", "&amp;E715&amp;", "&amp;F715&amp;", "&amp;G715&amp;", "&amp;H715&amp;", "&amp;I715&amp;"]"</f>
        <v>gcc=[Stream, Jacobi, Laplace, XSBench, Vecmul-50, Vecmul-200, Lulesh]</v>
      </c>
    </row>
    <row r="716">
      <c r="A716" s="2"/>
      <c r="B716" s="2" t="s">
        <v>5</v>
      </c>
      <c r="C716" s="6">
        <v>2.5338856E7</v>
      </c>
      <c r="D716" s="3">
        <v>9441832.0</v>
      </c>
      <c r="E716" s="3">
        <v>6860474.0</v>
      </c>
      <c r="F716" s="3">
        <v>426155.0</v>
      </c>
      <c r="G716" s="3">
        <v>1.0896302E7</v>
      </c>
      <c r="H716" s="3">
        <v>2338203.0</v>
      </c>
      <c r="I716" s="3">
        <v>9.6274396E7</v>
      </c>
      <c r="J716" s="3" t="str">
        <f>"mapr=["&amp;C716&amp;", "&amp;D716&amp;", "&amp;E716&amp;", "&amp;F716&amp;", "&amp;G716&amp;", "&amp;H716&amp;", "&amp;I716&amp;"]"</f>
        <v>mapr=[25338856, 9441832, 6860474, 426155, 10896302, 2338203, 96274396]</v>
      </c>
    </row>
    <row r="717">
      <c r="A717" s="2" t="s">
        <v>100</v>
      </c>
      <c r="B717" s="2" t="s">
        <v>101</v>
      </c>
      <c r="C717" s="6">
        <v>2.5080477E7</v>
      </c>
      <c r="D717" s="3">
        <v>9310190.0</v>
      </c>
      <c r="E717" s="3">
        <v>6775994.0</v>
      </c>
      <c r="F717" s="3">
        <v>472839.0</v>
      </c>
      <c r="G717" s="3">
        <v>1.6974365E7</v>
      </c>
      <c r="H717" s="3">
        <v>2346605.0</v>
      </c>
      <c r="I717" s="3">
        <v>9.585896E7</v>
      </c>
      <c r="J717" s="3" t="str">
        <f>"lit=["&amp;C717&amp;", "&amp;D717&amp;", "&amp;E717&amp;", "&amp;F717&amp;", "&amp;G717&amp;", "&amp;H717&amp;", "&amp;I717&amp;"]"</f>
        <v>lit=[25080477, 9310190, 6775994, 472839, 16974365, 2346605, 95858960]</v>
      </c>
    </row>
    <row r="718">
      <c r="A718" s="2"/>
      <c r="B718" s="2" t="s">
        <v>105</v>
      </c>
      <c r="C718" s="6">
        <v>2.0085987E7</v>
      </c>
      <c r="D718" s="3">
        <v>9441018.0</v>
      </c>
      <c r="E718" s="3">
        <v>6832444.0</v>
      </c>
      <c r="F718" s="3">
        <v>381648.0</v>
      </c>
      <c r="G718" s="3">
        <v>1.0901759E7</v>
      </c>
      <c r="H718" s="3">
        <v>2335441.0</v>
      </c>
      <c r="J718" s="3" t="str">
        <f>"mapr1=["&amp;C718&amp;", "&amp;D718&amp;", "&amp;E718&amp;", "&amp;F718&amp;", "&amp;G718&amp;", "&amp;H718&amp;", "&amp;I718&amp;"]"</f>
        <v>mapr1=[20085987, 9441018, 6832444, 381648, 10901759, 2335441, ]</v>
      </c>
    </row>
    <row r="719">
      <c r="A719" s="2"/>
      <c r="B719" s="2" t="s">
        <v>106</v>
      </c>
      <c r="C719" s="6">
        <v>2.0082949E7</v>
      </c>
      <c r="D719" s="3">
        <v>9320113.0</v>
      </c>
      <c r="E719" s="3">
        <v>6714463.0</v>
      </c>
      <c r="F719" s="3">
        <v>400427.0</v>
      </c>
      <c r="G719" s="3">
        <v>1.6848601E7</v>
      </c>
      <c r="H719" s="3">
        <v>2335805.0</v>
      </c>
      <c r="J719" s="3" t="str">
        <f>"lit1=["&amp;C719&amp;", "&amp;D719&amp;", "&amp;E719&amp;", "&amp;F719&amp;", "&amp;G719&amp;", "&amp;H719&amp;", "&amp;I719&amp;"]"</f>
        <v>lit1=[20082949, 9320113, 6714463, 400427, 16848601, 2335805, ]</v>
      </c>
    </row>
    <row r="720">
      <c r="A720" s="2" t="s">
        <v>51</v>
      </c>
    </row>
    <row r="721">
      <c r="A721" s="2"/>
      <c r="C721" s="2" t="s">
        <v>1</v>
      </c>
      <c r="D721" s="2" t="s">
        <v>24</v>
      </c>
      <c r="E721" s="2" t="s">
        <v>95</v>
      </c>
      <c r="F721" s="2" t="s">
        <v>96</v>
      </c>
      <c r="G721" s="2" t="s">
        <v>97</v>
      </c>
      <c r="H721" s="2" t="s">
        <v>98</v>
      </c>
      <c r="I721" s="2" t="s">
        <v>99</v>
      </c>
      <c r="J721" s="3" t="str">
        <f>"gcc=["&amp;C721&amp;", "&amp;D721&amp;", "&amp;E721&amp;", "&amp;F721&amp;", "&amp;G721&amp;", "&amp;H721&amp;", "&amp;I721&amp;"]"</f>
        <v>gcc=[Stream, Jacobi, Laplace, XSBench, Vecmul-50, Vecmul-200, Lulesh]</v>
      </c>
    </row>
    <row r="722">
      <c r="A722" s="2"/>
      <c r="B722" s="2" t="s">
        <v>5</v>
      </c>
      <c r="C722" s="3">
        <v>98.66270205726731</v>
      </c>
      <c r="D722" s="3">
        <v>88.84513090256213</v>
      </c>
      <c r="E722" s="3">
        <v>91.66107181515446</v>
      </c>
      <c r="F722" s="3">
        <v>94.03227686088239</v>
      </c>
      <c r="G722" s="3">
        <v>94.14834500732451</v>
      </c>
      <c r="H722" s="3">
        <v>85.53577255695934</v>
      </c>
      <c r="I722" s="3">
        <v>95.88728866187849</v>
      </c>
      <c r="J722" s="3" t="str">
        <f>"mapr=["&amp;C722&amp;", "&amp;D722&amp;", "&amp;E722&amp;", "&amp;F722&amp;", "&amp;G722&amp;", "&amp;H722&amp;", "&amp;I722&amp;"]"</f>
        <v>mapr=[98.6627020572673, 88.8451309025621, 91.6610718151545, 94.0322768608824, 94.1483450073245, 85.5357725569594, 95.8872886618785]</v>
      </c>
    </row>
    <row r="723">
      <c r="A723" s="2" t="s">
        <v>100</v>
      </c>
      <c r="B723" s="2" t="s">
        <v>101</v>
      </c>
      <c r="C723" s="3">
        <v>99.67912492254433</v>
      </c>
      <c r="D723" s="3">
        <v>90.10136205598383</v>
      </c>
      <c r="E723" s="3">
        <v>92.8038602159329</v>
      </c>
      <c r="F723" s="3">
        <v>90.82353305859844</v>
      </c>
      <c r="G723" s="3">
        <v>92.43374936264185</v>
      </c>
      <c r="H723" s="3">
        <v>85.22951242326681</v>
      </c>
      <c r="I723" s="3">
        <v>96.30284743335417</v>
      </c>
      <c r="J723" s="3" t="str">
        <f>"lit=["&amp;C723&amp;", "&amp;D723&amp;", "&amp;E723&amp;", "&amp;F723&amp;", "&amp;G723&amp;", "&amp;H723&amp;", "&amp;I723&amp;"]"</f>
        <v>lit=[99.6791249225443, 90.1013620559838, 92.8038602159329, 90.8235330585984, 92.4337493626419, 85.2295124232668, 96.3028474333542]</v>
      </c>
    </row>
    <row r="724">
      <c r="A724" s="2"/>
      <c r="B724" s="2" t="s">
        <v>105</v>
      </c>
      <c r="C724" s="3">
        <v>93.34866143247031</v>
      </c>
      <c r="D724" s="3">
        <v>88.85279108672391</v>
      </c>
      <c r="E724" s="3">
        <v>92.0371100004625</v>
      </c>
      <c r="F724" s="3">
        <v>89.44891627887478</v>
      </c>
      <c r="G724" s="3">
        <v>94.10121797775938</v>
      </c>
      <c r="H724" s="3">
        <v>85.63693109780979</v>
      </c>
      <c r="I724" s="3">
        <v>94.75761626326646</v>
      </c>
      <c r="J724" s="3" t="str">
        <f>"mapr1=["&amp;C724&amp;", "&amp;D724&amp;", "&amp;E724&amp;", "&amp;F724&amp;", "&amp;G724&amp;", "&amp;H724&amp;", "&amp;I724&amp;"]"</f>
        <v>mapr1=[93.3486614324703, 88.8527910867239, 92.0371100004625, 89.4489162788748, 94.1012179777594, 85.6369310978098, 94.7576162632665]</v>
      </c>
    </row>
    <row r="725">
      <c r="A725" s="2"/>
      <c r="B725" s="2" t="s">
        <v>106</v>
      </c>
      <c r="C725" s="3">
        <v>93.36278252760589</v>
      </c>
      <c r="D725" s="3">
        <v>90.0054323375693</v>
      </c>
      <c r="E725" s="3">
        <v>93.65431010640762</v>
      </c>
      <c r="F725" s="3">
        <v>94.63347876142218</v>
      </c>
      <c r="G725" s="3">
        <v>91.63083629317354</v>
      </c>
      <c r="H725" s="3">
        <v>85.62358587296457</v>
      </c>
      <c r="I725" s="3">
        <v>95.89420523979382</v>
      </c>
      <c r="J725" s="3" t="str">
        <f>"lit1=["&amp;C725&amp;", "&amp;D725&amp;", "&amp;E725&amp;", "&amp;F725&amp;", "&amp;G725&amp;", "&amp;H725&amp;", "&amp;I725&amp;"]"</f>
        <v>lit1=[93.3627825276059, 90.0054323375693, 93.6543101064076, 94.6334787614222, 91.6308362931736, 85.6235858729646, 95.8942052397938]</v>
      </c>
    </row>
    <row r="726">
      <c r="A726" s="2"/>
    </row>
    <row r="727">
      <c r="A727" s="2"/>
    </row>
    <row r="728">
      <c r="A728" s="2"/>
    </row>
    <row r="729">
      <c r="A729" s="2" t="s">
        <v>107</v>
      </c>
    </row>
    <row r="730">
      <c r="A730" s="2"/>
    </row>
    <row r="731">
      <c r="A731" s="2"/>
      <c r="C731" s="2" t="s">
        <v>108</v>
      </c>
      <c r="D731" s="2" t="s">
        <v>109</v>
      </c>
      <c r="E731" s="2" t="s">
        <v>24</v>
      </c>
      <c r="F731" s="2" t="s">
        <v>110</v>
      </c>
      <c r="G731" s="2" t="s">
        <v>95</v>
      </c>
      <c r="H731" s="2" t="s">
        <v>111</v>
      </c>
      <c r="I731" s="2" t="s">
        <v>96</v>
      </c>
      <c r="J731" s="2" t="s">
        <v>112</v>
      </c>
      <c r="K731" s="2" t="s">
        <v>97</v>
      </c>
      <c r="L731" s="2" t="s">
        <v>113</v>
      </c>
      <c r="M731" s="2" t="s">
        <v>98</v>
      </c>
      <c r="N731" s="2" t="s">
        <v>114</v>
      </c>
      <c r="O731" s="2" t="s">
        <v>99</v>
      </c>
      <c r="P731" s="2" t="s">
        <v>115</v>
      </c>
    </row>
    <row r="732">
      <c r="A732" s="2"/>
      <c r="B732" s="2" t="s">
        <v>116</v>
      </c>
      <c r="C732" s="14">
        <v>99.75587347378818</v>
      </c>
      <c r="D732" s="6">
        <v>99.8025625864864</v>
      </c>
      <c r="E732" s="3">
        <v>94.9155196559211</v>
      </c>
      <c r="F732" s="3">
        <v>89.40582581473254</v>
      </c>
      <c r="G732" s="3">
        <v>96.11138663996037</v>
      </c>
      <c r="H732" s="3">
        <v>95.71149670735129</v>
      </c>
      <c r="I732" s="6">
        <v>98.08973081239353</v>
      </c>
      <c r="J732" s="6">
        <v>98.76150426350819</v>
      </c>
      <c r="K732" s="3">
        <v>92.04832275659149</v>
      </c>
      <c r="L732" s="3">
        <v>92.56312403296656</v>
      </c>
      <c r="M732" s="3">
        <v>99.6338952518969</v>
      </c>
      <c r="N732" s="3">
        <v>99.4385698347132</v>
      </c>
      <c r="O732" s="3">
        <v>96.52193022472218</v>
      </c>
      <c r="P732" s="3">
        <v>96.40175332632329</v>
      </c>
    </row>
    <row r="733">
      <c r="A733" s="2"/>
      <c r="B733" s="2" t="s">
        <v>117</v>
      </c>
      <c r="C733" s="3">
        <v>99.33352755251417</v>
      </c>
      <c r="D733" s="3">
        <v>98.71603943738137</v>
      </c>
      <c r="E733" s="3">
        <v>91.33200380936164</v>
      </c>
      <c r="F733" s="3">
        <v>91.43149124439071</v>
      </c>
      <c r="G733" s="3">
        <v>96.95416312374391</v>
      </c>
      <c r="H733" s="3">
        <v>96.77261194536314</v>
      </c>
      <c r="I733" s="3">
        <v>33.48906818640518</v>
      </c>
      <c r="J733" s="3">
        <v>37.0508250107731</v>
      </c>
      <c r="K733" s="3">
        <v>94.26600121918251</v>
      </c>
      <c r="L733" s="3">
        <v>87.48017329434614</v>
      </c>
      <c r="M733" s="3">
        <v>99.78909574614053</v>
      </c>
      <c r="N733" s="3">
        <v>99.48867793972876</v>
      </c>
      <c r="O733" s="3">
        <v>89.68070586494429</v>
      </c>
      <c r="P733" s="3">
        <v>75.69545778504431</v>
      </c>
    </row>
    <row r="734">
      <c r="A734" s="2"/>
      <c r="C734" s="6"/>
    </row>
    <row r="735">
      <c r="A735" s="2"/>
      <c r="C735" s="6"/>
    </row>
    <row r="736">
      <c r="A736" s="2"/>
    </row>
    <row r="737">
      <c r="A737" s="2"/>
      <c r="H737" s="6"/>
    </row>
    <row r="738">
      <c r="A738" s="2"/>
      <c r="H738" s="6"/>
    </row>
    <row r="739">
      <c r="A739" s="2" t="s">
        <v>118</v>
      </c>
    </row>
    <row r="740">
      <c r="A740" s="2"/>
      <c r="C740" s="2" t="s">
        <v>119</v>
      </c>
    </row>
    <row r="741">
      <c r="A741" s="2"/>
      <c r="C741" s="2" t="s">
        <v>1</v>
      </c>
      <c r="D741" s="2" t="s">
        <v>24</v>
      </c>
      <c r="E741" s="2" t="s">
        <v>95</v>
      </c>
      <c r="F741" s="2" t="s">
        <v>96</v>
      </c>
      <c r="G741" s="2" t="s">
        <v>97</v>
      </c>
      <c r="H741" s="2" t="s">
        <v>98</v>
      </c>
      <c r="I741" s="2" t="s">
        <v>99</v>
      </c>
      <c r="J741" s="3" t="str">
        <f t="shared" ref="J741:J745" si="263">"gcc=["&amp;C741&amp;", "&amp;D741&amp;", "&amp;E741&amp;", "&amp;F741&amp;", "&amp;G741&amp;", "&amp;H741&amp;"]"</f>
        <v>gcc=[Stream, Jacobi, Laplace, XSBench, Vecmul-50, Vecmul-200]</v>
      </c>
    </row>
    <row r="742">
      <c r="A742" s="2"/>
      <c r="B742" s="2" t="s">
        <v>5</v>
      </c>
      <c r="C742" s="3">
        <v>2.5338856E7</v>
      </c>
      <c r="D742" s="3">
        <v>9441832.0</v>
      </c>
      <c r="E742" s="3">
        <v>6860474.0</v>
      </c>
      <c r="F742" s="3">
        <v>426155.0</v>
      </c>
      <c r="G742" s="3">
        <v>1.0896302E7</v>
      </c>
      <c r="H742" s="3">
        <v>2338203.0</v>
      </c>
      <c r="I742" s="3">
        <v>9.6274396E7</v>
      </c>
      <c r="J742" s="3" t="str">
        <f t="shared" si="263"/>
        <v>gcc=[25338856, 9441832, 6860474, 426155, 10896302, 2338203]</v>
      </c>
    </row>
    <row r="743">
      <c r="A743" s="2" t="s">
        <v>100</v>
      </c>
      <c r="B743" s="2" t="s">
        <v>101</v>
      </c>
      <c r="C743" s="3">
        <v>2.5080477E7</v>
      </c>
      <c r="D743" s="3">
        <v>9310190.0</v>
      </c>
      <c r="E743" s="3">
        <v>6775994.0</v>
      </c>
      <c r="F743" s="3">
        <v>472839.0</v>
      </c>
      <c r="G743" s="3">
        <v>1.6974365E7</v>
      </c>
      <c r="H743" s="3">
        <v>2346605.0</v>
      </c>
      <c r="I743" s="3">
        <v>9.585896E7</v>
      </c>
      <c r="J743" s="3" t="str">
        <f t="shared" si="263"/>
        <v>gcc=[25080477, 9310190, 6775994, 472839, 16974365, 2346605]</v>
      </c>
    </row>
    <row r="744">
      <c r="A744" s="2"/>
      <c r="B744" s="2" t="s">
        <v>102</v>
      </c>
      <c r="C744" s="3">
        <v>2.5046979E7</v>
      </c>
      <c r="D744" s="3">
        <v>9272076.0</v>
      </c>
      <c r="E744" s="3">
        <v>6603716.0</v>
      </c>
      <c r="F744" s="3">
        <v>665453.0</v>
      </c>
      <c r="G744" s="3">
        <v>1.1066649E7</v>
      </c>
      <c r="H744" s="3">
        <v>2504817.0</v>
      </c>
      <c r="I744" s="3">
        <v>9.5651204E7</v>
      </c>
      <c r="J744" s="3" t="str">
        <f t="shared" si="263"/>
        <v>gcc=[25046979, 9272076, 6603716, 665453, 11066649, 2504817]</v>
      </c>
    </row>
    <row r="745">
      <c r="A745" s="2"/>
      <c r="B745" s="2" t="s">
        <v>103</v>
      </c>
      <c r="C745" s="3">
        <v>2.503375E7</v>
      </c>
      <c r="D745" s="3">
        <v>9145806.0</v>
      </c>
      <c r="E745" s="3">
        <v>6597481.0</v>
      </c>
      <c r="F745" s="3">
        <v>879404.0</v>
      </c>
      <c r="G745" s="3">
        <v>1.9813172E7</v>
      </c>
      <c r="H745" s="3">
        <v>2529047.0</v>
      </c>
      <c r="I745" s="3">
        <v>9.5776206E7</v>
      </c>
      <c r="J745" s="3" t="str">
        <f t="shared" si="263"/>
        <v>gcc=[25033750, 9145806, 6597481, 879404, 19813172, 2529047]</v>
      </c>
    </row>
    <row r="746">
      <c r="A746" s="2"/>
    </row>
    <row r="747">
      <c r="A747" s="2" t="s">
        <v>118</v>
      </c>
    </row>
    <row r="748">
      <c r="A748" s="2" t="s">
        <v>120</v>
      </c>
    </row>
    <row r="749">
      <c r="A749" s="2"/>
      <c r="C749" s="2" t="s">
        <v>1</v>
      </c>
      <c r="D749" s="2" t="s">
        <v>24</v>
      </c>
      <c r="E749" s="2" t="s">
        <v>95</v>
      </c>
      <c r="F749" s="2" t="s">
        <v>96</v>
      </c>
      <c r="G749" s="2" t="s">
        <v>97</v>
      </c>
      <c r="H749" s="2" t="s">
        <v>98</v>
      </c>
      <c r="I749" s="2" t="s">
        <v>99</v>
      </c>
      <c r="J749" s="3" t="str">
        <f t="shared" ref="J749:J753" si="264">"gcc=["&amp;C749&amp;", "&amp;D749&amp;", "&amp;E749&amp;", "&amp;F749&amp;", "&amp;G749&amp;", "&amp;H749&amp;"]"</f>
        <v>gcc=[Stream, Jacobi, Laplace, XSBench, Vecmul-50, Vecmul-200]</v>
      </c>
    </row>
    <row r="750">
      <c r="A750" s="2"/>
      <c r="B750" s="2" t="s">
        <v>5</v>
      </c>
      <c r="C750" s="3">
        <v>2.5338856E7</v>
      </c>
      <c r="D750" s="3">
        <v>9441832.0</v>
      </c>
      <c r="E750" s="3">
        <v>6860474.0</v>
      </c>
      <c r="F750" s="3">
        <v>426155.0</v>
      </c>
      <c r="G750" s="3">
        <v>1.0896302E7</v>
      </c>
      <c r="H750" s="3">
        <v>2338203.0</v>
      </c>
      <c r="I750" s="3">
        <v>9.6274396E7</v>
      </c>
      <c r="J750" s="3" t="str">
        <f t="shared" si="264"/>
        <v>gcc=[25338856, 9441832, 6860474, 426155, 10896302, 2338203]</v>
      </c>
    </row>
    <row r="751">
      <c r="A751" s="2" t="s">
        <v>100</v>
      </c>
      <c r="B751" s="2" t="s">
        <v>101</v>
      </c>
      <c r="C751" s="3">
        <v>2.5080477E7</v>
      </c>
      <c r="D751" s="3">
        <v>9310190.0</v>
      </c>
      <c r="E751" s="3">
        <v>6775994.0</v>
      </c>
      <c r="F751" s="3">
        <v>472839.0</v>
      </c>
      <c r="G751" s="3">
        <v>1.6974365E7</v>
      </c>
      <c r="H751" s="3">
        <v>2346605.0</v>
      </c>
      <c r="I751" s="3">
        <v>9.585896E7</v>
      </c>
      <c r="J751" s="3" t="str">
        <f t="shared" si="264"/>
        <v>gcc=[25080477, 9310190, 6775994, 472839, 16974365, 2346605]</v>
      </c>
    </row>
    <row r="752">
      <c r="A752" s="2"/>
      <c r="B752" s="2" t="s">
        <v>102</v>
      </c>
      <c r="C752" s="3">
        <v>2.5046979E7</v>
      </c>
      <c r="D752" s="3">
        <v>9272076.0</v>
      </c>
      <c r="E752" s="3">
        <v>6603716.0</v>
      </c>
      <c r="F752" s="3">
        <v>665453.0</v>
      </c>
      <c r="G752" s="3">
        <v>1.1066649E7</v>
      </c>
      <c r="H752" s="3">
        <v>2504817.0</v>
      </c>
      <c r="I752" s="3">
        <v>9.5651204E7</v>
      </c>
      <c r="J752" s="3" t="str">
        <f t="shared" si="264"/>
        <v>gcc=[25046979, 9272076, 6603716, 665453, 11066649, 2504817]</v>
      </c>
    </row>
    <row r="753">
      <c r="A753" s="2"/>
      <c r="B753" s="2" t="s">
        <v>103</v>
      </c>
      <c r="C753" s="3">
        <v>2.503375E7</v>
      </c>
      <c r="D753" s="3">
        <v>9145806.0</v>
      </c>
      <c r="E753" s="3">
        <v>6597481.0</v>
      </c>
      <c r="F753" s="3">
        <v>879404.0</v>
      </c>
      <c r="G753" s="3">
        <v>1.9813172E7</v>
      </c>
      <c r="H753" s="3">
        <v>2529047.0</v>
      </c>
      <c r="I753" s="3">
        <v>9.5776206E7</v>
      </c>
      <c r="J753" s="3" t="str">
        <f t="shared" si="264"/>
        <v>gcc=[25033750, 9145806, 6597481, 879404, 19813172, 2529047]</v>
      </c>
    </row>
    <row r="754">
      <c r="A754" s="2"/>
    </row>
    <row r="755">
      <c r="A755" s="2"/>
    </row>
    <row r="756">
      <c r="A756" s="2"/>
    </row>
    <row r="757">
      <c r="B757" s="2" t="s">
        <v>116</v>
      </c>
      <c r="C757" s="2" t="s">
        <v>117</v>
      </c>
    </row>
    <row r="758">
      <c r="A758" s="2" t="s">
        <v>108</v>
      </c>
    </row>
    <row r="759">
      <c r="A759" s="2" t="s">
        <v>109</v>
      </c>
    </row>
    <row r="760">
      <c r="A760" s="2" t="s">
        <v>24</v>
      </c>
    </row>
    <row r="761">
      <c r="A761" s="2" t="s">
        <v>110</v>
      </c>
    </row>
    <row r="762">
      <c r="A762" s="2" t="s">
        <v>95</v>
      </c>
    </row>
    <row r="763">
      <c r="A763" s="2" t="s">
        <v>111</v>
      </c>
    </row>
    <row r="764">
      <c r="A764" s="2" t="s">
        <v>96</v>
      </c>
    </row>
    <row r="765">
      <c r="A765" s="2" t="s">
        <v>112</v>
      </c>
    </row>
    <row r="766">
      <c r="A766" s="2" t="s">
        <v>97</v>
      </c>
    </row>
    <row r="767">
      <c r="A767" s="2" t="s">
        <v>113</v>
      </c>
    </row>
    <row r="768">
      <c r="A768" s="2" t="s">
        <v>98</v>
      </c>
    </row>
    <row r="769">
      <c r="A769" s="2" t="s">
        <v>114</v>
      </c>
    </row>
    <row r="770">
      <c r="A770" s="2" t="s">
        <v>99</v>
      </c>
    </row>
    <row r="771">
      <c r="A771" s="2" t="s">
        <v>115</v>
      </c>
    </row>
    <row r="772">
      <c r="A772" s="2"/>
    </row>
    <row r="773">
      <c r="A773" s="2"/>
    </row>
    <row r="774">
      <c r="A774" s="2"/>
      <c r="C774" s="2" t="s">
        <v>1</v>
      </c>
      <c r="D774" s="2" t="s">
        <v>24</v>
      </c>
      <c r="E774" s="2" t="s">
        <v>95</v>
      </c>
      <c r="F774" s="2" t="s">
        <v>96</v>
      </c>
      <c r="G774" s="2" t="s">
        <v>97</v>
      </c>
      <c r="H774" s="2" t="s">
        <v>98</v>
      </c>
      <c r="I774" s="2" t="s">
        <v>99</v>
      </c>
      <c r="J774" s="3" t="str">
        <f>"gcc=["&amp;C774&amp;", "&amp;D774&amp;", "&amp;E774&amp;", "&amp;F774&amp;", "&amp;G774&amp;", "&amp;H774&amp;", "&amp;I774&amp;"]"</f>
        <v>gcc=[Stream, Jacobi, Laplace, XSBench, Vecmul-50, Vecmul-200, Lulesh]</v>
      </c>
    </row>
    <row r="775">
      <c r="A775" s="2"/>
      <c r="B775" s="2" t="s">
        <v>116</v>
      </c>
      <c r="C775" s="14">
        <v>99.75587347378818</v>
      </c>
      <c r="D775" s="3">
        <v>94.9155196559211</v>
      </c>
      <c r="E775" s="3">
        <v>96.11138663996037</v>
      </c>
      <c r="F775" s="6">
        <v>98.08973081239353</v>
      </c>
      <c r="G775" s="3">
        <v>92.04832275659149</v>
      </c>
      <c r="H775" s="3">
        <v>99.6338952518969</v>
      </c>
      <c r="I775" s="3">
        <v>96.52193022472218</v>
      </c>
      <c r="J775" s="3" t="str">
        <f>"mapr=["&amp;C775&amp;", "&amp;D775&amp;", "&amp;E775&amp;", "&amp;F775&amp;", "&amp;G775&amp;", "&amp;H775&amp;", "&amp;I775&amp;"]"</f>
        <v>mapr=[99.7558734737882, 94.9155196559211, 96.1113866399604, 98.0897308123935, 92.0483227565915, 99.6338952518969, 96.5219302247222]</v>
      </c>
    </row>
    <row r="776">
      <c r="B776" s="2" t="s">
        <v>121</v>
      </c>
      <c r="C776" s="6">
        <v>99.8025625864864</v>
      </c>
      <c r="D776" s="3">
        <v>89.40582581473254</v>
      </c>
      <c r="E776" s="3">
        <v>95.71149670735129</v>
      </c>
      <c r="F776" s="6">
        <v>98.76150426350819</v>
      </c>
      <c r="G776" s="3">
        <v>92.56312403296656</v>
      </c>
      <c r="H776" s="3">
        <v>99.4385698347132</v>
      </c>
      <c r="I776" s="3">
        <v>96.40175332632329</v>
      </c>
      <c r="J776" s="3" t="str">
        <f>"lit=["&amp;C776&amp;", "&amp;D776&amp;", "&amp;E776&amp;", "&amp;F776&amp;", "&amp;G776&amp;", "&amp;H776&amp;", "&amp;I776&amp;"]"</f>
        <v>lit=[99.8025625864864, 89.4058258147325, 95.7114967073513, 98.7615042635082, 92.5631240329666, 99.4385698347132, 96.4017533263233]</v>
      </c>
    </row>
    <row r="777">
      <c r="A777" s="2"/>
      <c r="B777" s="2" t="s">
        <v>117</v>
      </c>
      <c r="C777" s="3">
        <v>99.33352755251417</v>
      </c>
      <c r="D777" s="3">
        <v>91.33200380936164</v>
      </c>
      <c r="E777" s="3">
        <v>96.95416312374391</v>
      </c>
      <c r="F777" s="3">
        <v>33.48906818640518</v>
      </c>
      <c r="G777" s="3">
        <v>94.26600121918251</v>
      </c>
      <c r="H777" s="3">
        <v>99.78909574614053</v>
      </c>
      <c r="I777" s="3">
        <v>89.68070586494429</v>
      </c>
      <c r="J777" s="3" t="str">
        <f>"mapr1=["&amp;C777&amp;", "&amp;D777&amp;", "&amp;E777&amp;", "&amp;F777&amp;", "&amp;G777&amp;", "&amp;H777&amp;", "&amp;I777&amp;"]"</f>
        <v>mapr1=[99.3335275525142, 91.3320038093616, 96.9541631237439, 33.4890681864052, 94.2660012191825, 99.7890957461405, 89.6807058649443]</v>
      </c>
    </row>
    <row r="778">
      <c r="A778" s="2"/>
      <c r="B778" s="2" t="s">
        <v>122</v>
      </c>
      <c r="C778" s="3">
        <v>98.71603943738137</v>
      </c>
      <c r="D778" s="3">
        <v>91.43149124439071</v>
      </c>
      <c r="E778" s="3">
        <v>96.77261194536314</v>
      </c>
      <c r="F778" s="3">
        <v>37.0508250107731</v>
      </c>
      <c r="G778" s="3">
        <v>87.48017329434614</v>
      </c>
      <c r="H778" s="3">
        <v>99.48867793972876</v>
      </c>
      <c r="I778" s="3">
        <v>75.69545778504431</v>
      </c>
      <c r="J778" s="3" t="str">
        <f>"lit1=["&amp;C778&amp;", "&amp;D778&amp;", "&amp;E778&amp;", "&amp;F778&amp;", "&amp;G778&amp;", "&amp;H778&amp;", "&amp;I778&amp;"]"</f>
        <v>lit1=[98.7160394373814, 91.4314912443907, 96.7726119453631, 37.0508250107731, 87.4801732943462, 99.4886779397288, 75.6954577850443]</v>
      </c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  <row r="1004">
      <c r="A1004" s="2"/>
    </row>
    <row r="1005">
      <c r="A1005" s="2"/>
    </row>
    <row r="1006">
      <c r="A1006" s="2"/>
    </row>
    <row r="1007">
      <c r="A1007" s="2"/>
    </row>
    <row r="1008">
      <c r="A1008" s="2"/>
    </row>
    <row r="1009">
      <c r="A1009" s="2"/>
    </row>
    <row r="1010">
      <c r="A1010" s="2"/>
    </row>
    <row r="1011">
      <c r="A1011" s="2"/>
    </row>
    <row r="1012">
      <c r="A1012" s="2"/>
    </row>
    <row r="1013">
      <c r="A1013" s="2"/>
    </row>
    <row r="1014">
      <c r="A1014" s="2"/>
    </row>
    <row r="1015">
      <c r="A1015" s="2"/>
    </row>
    <row r="1016">
      <c r="A1016" s="2"/>
    </row>
    <row r="1017">
      <c r="A1017" s="2"/>
    </row>
    <row r="1018">
      <c r="A1018" s="2"/>
    </row>
    <row r="1019">
      <c r="A1019" s="2"/>
    </row>
    <row r="1020">
      <c r="A1020" s="2"/>
    </row>
    <row r="1021">
      <c r="A1021" s="2"/>
    </row>
    <row r="1022">
      <c r="A1022" s="2"/>
    </row>
    <row r="1023">
      <c r="A1023" s="2"/>
    </row>
    <row r="1024">
      <c r="A1024" s="2"/>
    </row>
    <row r="1025">
      <c r="A1025" s="2"/>
    </row>
    <row r="1026">
      <c r="A1026" s="2"/>
    </row>
    <row r="1027">
      <c r="A1027" s="2"/>
    </row>
    <row r="1028">
      <c r="A1028" s="2"/>
    </row>
    <row r="1029">
      <c r="A1029" s="2"/>
    </row>
    <row r="1030">
      <c r="A1030" s="2"/>
    </row>
    <row r="1031">
      <c r="A1031" s="2"/>
    </row>
    <row r="1032">
      <c r="A1032" s="2"/>
    </row>
    <row r="1033">
      <c r="A1033" s="2"/>
    </row>
    <row r="1034">
      <c r="A1034" s="2"/>
    </row>
    <row r="1035">
      <c r="A1035" s="2"/>
    </row>
    <row r="1036">
      <c r="A1036" s="2"/>
    </row>
    <row r="1037">
      <c r="A1037" s="2"/>
    </row>
    <row r="1038">
      <c r="A1038" s="2"/>
    </row>
    <row r="1039">
      <c r="A1039" s="2"/>
    </row>
    <row r="1040">
      <c r="A1040" s="2"/>
    </row>
    <row r="1041">
      <c r="A1041" s="2"/>
    </row>
    <row r="1042">
      <c r="A1042" s="2"/>
    </row>
    <row r="1043">
      <c r="A1043" s="2"/>
    </row>
    <row r="1044">
      <c r="A1044" s="2"/>
    </row>
    <row r="1045">
      <c r="A1045" s="2"/>
    </row>
    <row r="1046">
      <c r="A1046" s="2"/>
    </row>
    <row r="1047">
      <c r="A1047" s="2"/>
    </row>
    <row r="1048">
      <c r="A1048" s="2"/>
    </row>
    <row r="1049">
      <c r="A1049" s="2"/>
    </row>
    <row r="1050">
      <c r="A1050" s="2"/>
    </row>
    <row r="1051">
      <c r="A1051" s="2"/>
    </row>
    <row r="1052">
      <c r="A1052" s="2"/>
    </row>
    <row r="1053">
      <c r="A1053" s="2"/>
    </row>
    <row r="1054">
      <c r="A1054" s="2"/>
    </row>
    <row r="1055">
      <c r="A1055" s="2"/>
    </row>
    <row r="1056">
      <c r="A1056" s="2"/>
    </row>
    <row r="1057">
      <c r="A1057" s="2"/>
    </row>
    <row r="1058">
      <c r="A1058" s="2"/>
    </row>
    <row r="1059">
      <c r="A1059" s="2"/>
    </row>
    <row r="1060">
      <c r="A1060" s="2"/>
    </row>
    <row r="1061">
      <c r="A1061" s="2"/>
    </row>
    <row r="1062">
      <c r="A1062" s="2"/>
    </row>
    <row r="1063">
      <c r="A1063" s="2"/>
    </row>
    <row r="1064">
      <c r="A1064" s="2"/>
    </row>
    <row r="1065">
      <c r="A1065" s="2"/>
    </row>
    <row r="1066">
      <c r="A1066" s="2"/>
    </row>
    <row r="1067">
      <c r="A1067" s="2"/>
    </row>
    <row r="1068">
      <c r="A1068" s="2"/>
    </row>
    <row r="1069">
      <c r="A1069" s="2"/>
    </row>
    <row r="1070">
      <c r="A1070" s="2"/>
    </row>
    <row r="1071">
      <c r="A1071" s="2"/>
    </row>
    <row r="1072">
      <c r="A1072" s="2"/>
    </row>
    <row r="1073">
      <c r="A1073" s="2"/>
    </row>
    <row r="1074">
      <c r="A1074" s="2"/>
    </row>
    <row r="1075">
      <c r="A1075" s="2"/>
    </row>
    <row r="1076">
      <c r="A1076" s="2"/>
    </row>
    <row r="1077">
      <c r="A1077" s="2"/>
    </row>
    <row r="1078">
      <c r="A1078" s="2"/>
    </row>
    <row r="1079">
      <c r="A1079" s="2"/>
    </row>
    <row r="1080">
      <c r="A1080" s="2"/>
    </row>
    <row r="1081">
      <c r="A1081" s="2"/>
    </row>
    <row r="1082">
      <c r="A1082" s="2"/>
    </row>
    <row r="1083">
      <c r="A1083" s="2"/>
    </row>
    <row r="1084">
      <c r="A1084" s="2"/>
    </row>
    <row r="1085">
      <c r="A1085" s="2"/>
    </row>
    <row r="1086">
      <c r="A1086" s="2"/>
    </row>
    <row r="1087">
      <c r="A1087" s="2"/>
    </row>
    <row r="1088">
      <c r="A1088" s="2"/>
    </row>
    <row r="1089">
      <c r="A1089" s="2"/>
    </row>
    <row r="1090">
      <c r="A1090" s="2"/>
    </row>
    <row r="1091">
      <c r="A1091" s="2"/>
    </row>
    <row r="1092">
      <c r="A1092" s="2"/>
    </row>
    <row r="1093">
      <c r="A1093" s="2"/>
    </row>
    <row r="1094">
      <c r="A1094" s="2"/>
    </row>
    <row r="1095">
      <c r="A1095" s="2"/>
    </row>
    <row r="1096">
      <c r="A1096" s="2"/>
    </row>
    <row r="1097">
      <c r="A1097" s="2"/>
    </row>
    <row r="1098">
      <c r="A1098" s="2"/>
    </row>
    <row r="1099">
      <c r="A1099" s="2"/>
    </row>
    <row r="1100">
      <c r="A1100" s="2"/>
    </row>
    <row r="1101">
      <c r="A1101" s="2"/>
    </row>
    <row r="1102">
      <c r="A1102" s="2"/>
    </row>
    <row r="1103">
      <c r="A1103" s="2"/>
    </row>
    <row r="1104">
      <c r="A1104" s="2"/>
    </row>
    <row r="1105">
      <c r="A1105" s="2"/>
    </row>
    <row r="1106">
      <c r="A1106" s="2"/>
    </row>
    <row r="1107">
      <c r="A1107" s="2"/>
    </row>
    <row r="1108">
      <c r="A1108" s="2"/>
    </row>
    <row r="1109">
      <c r="A1109" s="2"/>
    </row>
    <row r="1110">
      <c r="A1110" s="2"/>
    </row>
    <row r="1111">
      <c r="A1111" s="2"/>
    </row>
    <row r="1112">
      <c r="A1112" s="2"/>
    </row>
    <row r="1113">
      <c r="A1113" s="2"/>
    </row>
    <row r="1114">
      <c r="A1114" s="2"/>
    </row>
    <row r="1115">
      <c r="A1115" s="2"/>
    </row>
    <row r="1116">
      <c r="A1116" s="2"/>
    </row>
    <row r="1117">
      <c r="A1117" s="2"/>
    </row>
    <row r="1118">
      <c r="A1118" s="2"/>
    </row>
    <row r="1119">
      <c r="A1119" s="2"/>
    </row>
    <row r="1120">
      <c r="A1120" s="2"/>
    </row>
    <row r="1121">
      <c r="A1121" s="2"/>
    </row>
    <row r="1122">
      <c r="A1122" s="2"/>
    </row>
    <row r="1123">
      <c r="A1123" s="2"/>
    </row>
    <row r="1124">
      <c r="A1124" s="2"/>
    </row>
    <row r="1125">
      <c r="A1125" s="2"/>
    </row>
    <row r="1126">
      <c r="A1126" s="2"/>
    </row>
    <row r="1127">
      <c r="A1127" s="2"/>
    </row>
    <row r="1128">
      <c r="A1128" s="2"/>
    </row>
    <row r="1129">
      <c r="A1129" s="2"/>
    </row>
    <row r="1130">
      <c r="A1130" s="2"/>
    </row>
    <row r="1131">
      <c r="A1131" s="2"/>
    </row>
    <row r="1132">
      <c r="A1132" s="2"/>
    </row>
    <row r="1133">
      <c r="A1133" s="2"/>
    </row>
    <row r="1134">
      <c r="A1134" s="2"/>
    </row>
    <row r="1135">
      <c r="A1135" s="2"/>
    </row>
    <row r="1136">
      <c r="A1136" s="2"/>
    </row>
    <row r="1137">
      <c r="A1137" s="2"/>
    </row>
    <row r="1138">
      <c r="A1138" s="2"/>
    </row>
    <row r="1139">
      <c r="A1139" s="2"/>
    </row>
    <row r="1140">
      <c r="A1140" s="2"/>
    </row>
    <row r="1141">
      <c r="A1141" s="2"/>
    </row>
    <row r="1142">
      <c r="A1142" s="2"/>
    </row>
    <row r="1143">
      <c r="A1143" s="2"/>
    </row>
    <row r="1144">
      <c r="A1144" s="2"/>
    </row>
    <row r="1145">
      <c r="A1145" s="2"/>
    </row>
    <row r="1146">
      <c r="A1146" s="2"/>
    </row>
    <row r="1147">
      <c r="A1147" s="2"/>
    </row>
    <row r="1148">
      <c r="A1148" s="2"/>
    </row>
    <row r="1149">
      <c r="A1149" s="2"/>
    </row>
    <row r="1150">
      <c r="A1150" s="2"/>
    </row>
    <row r="1151">
      <c r="A1151" s="2"/>
    </row>
    <row r="1152">
      <c r="A1152" s="2"/>
    </row>
    <row r="1153">
      <c r="A1153" s="2"/>
    </row>
    <row r="1154">
      <c r="A1154" s="2"/>
    </row>
    <row r="1155">
      <c r="A1155" s="2"/>
    </row>
    <row r="1156">
      <c r="A1156" s="2"/>
    </row>
    <row r="1157">
      <c r="A1157" s="2"/>
    </row>
    <row r="1158">
      <c r="A1158" s="2"/>
    </row>
    <row r="1159">
      <c r="A1159" s="2"/>
    </row>
    <row r="1160">
      <c r="A1160" s="2"/>
    </row>
    <row r="1161">
      <c r="A1161" s="2"/>
    </row>
    <row r="1162">
      <c r="A1162" s="2"/>
    </row>
    <row r="1163">
      <c r="A1163" s="2"/>
    </row>
    <row r="1164">
      <c r="A1164" s="2"/>
    </row>
    <row r="1165">
      <c r="A1165" s="2"/>
    </row>
    <row r="1166">
      <c r="A1166" s="2"/>
    </row>
    <row r="1167">
      <c r="A1167" s="2"/>
    </row>
    <row r="1168">
      <c r="A1168" s="2"/>
    </row>
    <row r="1169">
      <c r="A1169" s="2"/>
    </row>
    <row r="1170">
      <c r="A1170" s="2"/>
    </row>
    <row r="1171">
      <c r="A1171" s="2"/>
    </row>
    <row r="1172">
      <c r="A1172" s="2"/>
    </row>
    <row r="1173">
      <c r="A1173" s="2"/>
    </row>
    <row r="1174">
      <c r="A1174" s="2"/>
    </row>
    <row r="1175">
      <c r="A1175" s="2"/>
    </row>
    <row r="1176">
      <c r="A1176" s="2"/>
    </row>
    <row r="1177">
      <c r="A1177" s="2"/>
    </row>
    <row r="1178">
      <c r="A1178" s="2"/>
    </row>
    <row r="1179">
      <c r="A1179" s="2"/>
    </row>
    <row r="1180">
      <c r="A1180" s="2"/>
    </row>
    <row r="1181">
      <c r="A1181" s="2"/>
    </row>
    <row r="1182">
      <c r="A1182" s="2"/>
    </row>
    <row r="1183">
      <c r="A1183" s="2"/>
    </row>
    <row r="1184">
      <c r="A1184" s="2"/>
    </row>
    <row r="1185">
      <c r="A1185" s="2"/>
    </row>
    <row r="1186">
      <c r="A1186" s="2"/>
    </row>
    <row r="1187">
      <c r="A1187" s="2"/>
    </row>
    <row r="1188">
      <c r="A1188" s="2"/>
    </row>
    <row r="1189">
      <c r="A1189" s="2"/>
    </row>
    <row r="1190">
      <c r="A1190" s="2"/>
    </row>
    <row r="1191">
      <c r="A1191" s="2"/>
    </row>
    <row r="1192">
      <c r="A1192" s="2"/>
    </row>
    <row r="1193">
      <c r="A1193" s="2"/>
    </row>
    <row r="1194">
      <c r="A1194" s="2"/>
    </row>
    <row r="1195">
      <c r="A1195" s="2"/>
    </row>
    <row r="1196">
      <c r="A1196" s="2"/>
    </row>
    <row r="1197">
      <c r="A1197" s="2"/>
    </row>
    <row r="1198">
      <c r="A1198" s="2"/>
    </row>
    <row r="1199">
      <c r="A1199" s="2"/>
    </row>
    <row r="1200">
      <c r="A1200" s="2"/>
    </row>
    <row r="1201">
      <c r="A1201" s="2"/>
    </row>
    <row r="1202">
      <c r="A1202" s="2"/>
    </row>
    <row r="1203">
      <c r="A1203" s="2"/>
    </row>
    <row r="1204">
      <c r="A1204" s="2"/>
    </row>
    <row r="1205">
      <c r="A1205" s="2"/>
    </row>
    <row r="1206">
      <c r="A1206" s="2"/>
    </row>
    <row r="1207">
      <c r="A1207" s="2"/>
    </row>
    <row r="1208">
      <c r="A1208" s="2"/>
    </row>
    <row r="1209">
      <c r="A1209" s="2"/>
    </row>
    <row r="1210">
      <c r="A1210" s="2"/>
    </row>
    <row r="1211">
      <c r="A1211" s="2"/>
    </row>
    <row r="1212">
      <c r="A1212" s="2"/>
    </row>
    <row r="1213">
      <c r="A1213" s="2"/>
    </row>
    <row r="1214">
      <c r="A1214" s="2"/>
    </row>
    <row r="1215">
      <c r="A1215" s="2"/>
    </row>
    <row r="1216">
      <c r="A1216" s="2"/>
    </row>
    <row r="1217">
      <c r="A1217" s="2"/>
    </row>
    <row r="1218">
      <c r="A1218" s="2"/>
    </row>
    <row r="1219">
      <c r="A1219" s="2"/>
    </row>
    <row r="1220">
      <c r="A1220" s="2"/>
    </row>
    <row r="1221">
      <c r="A1221" s="2"/>
    </row>
    <row r="1222">
      <c r="A1222" s="2"/>
    </row>
    <row r="1223">
      <c r="A1223" s="2"/>
    </row>
    <row r="1224">
      <c r="A1224" s="2"/>
    </row>
    <row r="1225">
      <c r="A1225" s="2"/>
    </row>
    <row r="1226">
      <c r="A1226" s="2"/>
    </row>
    <row r="1227">
      <c r="A1227" s="2"/>
    </row>
    <row r="1228">
      <c r="A1228" s="2"/>
    </row>
    <row r="1229">
      <c r="A1229" s="2"/>
    </row>
    <row r="1230">
      <c r="A1230" s="2"/>
    </row>
    <row r="1231">
      <c r="A1231" s="2"/>
    </row>
    <row r="1232">
      <c r="A1232" s="2"/>
    </row>
    <row r="1233">
      <c r="A1233" s="2"/>
    </row>
    <row r="1234">
      <c r="A1234" s="2"/>
    </row>
    <row r="1235">
      <c r="A1235" s="2"/>
    </row>
    <row r="1236">
      <c r="A1236" s="2"/>
    </row>
    <row r="1237">
      <c r="A1237" s="2"/>
    </row>
    <row r="1238">
      <c r="A1238" s="2"/>
    </row>
    <row r="1239">
      <c r="A1239" s="2"/>
    </row>
    <row r="1240">
      <c r="A1240" s="2"/>
    </row>
    <row r="1241">
      <c r="A1241" s="2"/>
    </row>
    <row r="1242">
      <c r="A1242" s="2"/>
    </row>
    <row r="1243">
      <c r="A1243" s="2"/>
    </row>
    <row r="1244">
      <c r="A1244" s="2"/>
    </row>
    <row r="1245">
      <c r="A1245" s="2"/>
    </row>
    <row r="1246">
      <c r="A1246" s="2"/>
    </row>
    <row r="1247">
      <c r="A1247" s="2"/>
    </row>
    <row r="1248">
      <c r="A1248" s="2"/>
    </row>
    <row r="1249">
      <c r="A1249" s="2"/>
    </row>
    <row r="1250">
      <c r="A1250" s="2"/>
    </row>
    <row r="1251">
      <c r="A1251" s="2"/>
    </row>
    <row r="1252">
      <c r="A1252" s="2"/>
    </row>
    <row r="1253">
      <c r="A1253" s="2"/>
    </row>
    <row r="1254">
      <c r="A1254" s="2"/>
    </row>
    <row r="1255">
      <c r="A1255" s="2"/>
    </row>
    <row r="1256">
      <c r="A1256" s="2"/>
    </row>
    <row r="1257">
      <c r="A1257" s="2"/>
    </row>
    <row r="1258">
      <c r="A1258" s="2"/>
    </row>
    <row r="1259">
      <c r="A1259" s="2"/>
    </row>
    <row r="1260">
      <c r="A1260" s="2"/>
    </row>
    <row r="1261">
      <c r="A1261" s="2"/>
    </row>
    <row r="1262">
      <c r="A1262" s="2"/>
    </row>
    <row r="1263">
      <c r="A1263" s="2"/>
    </row>
    <row r="1264">
      <c r="A1264" s="2"/>
    </row>
    <row r="1265">
      <c r="A1265" s="2"/>
    </row>
    <row r="1266">
      <c r="A1266" s="2"/>
    </row>
    <row r="1267">
      <c r="A1267" s="2"/>
    </row>
    <row r="1268">
      <c r="A1268" s="2"/>
    </row>
    <row r="1269">
      <c r="A1269" s="2"/>
    </row>
    <row r="1270">
      <c r="A1270" s="2"/>
    </row>
    <row r="1271">
      <c r="A1271" s="2"/>
    </row>
    <row r="1272">
      <c r="A1272" s="2"/>
    </row>
    <row r="1273">
      <c r="A1273" s="2"/>
    </row>
    <row r="1274">
      <c r="A1274" s="2"/>
    </row>
    <row r="1275">
      <c r="A1275" s="2"/>
    </row>
    <row r="1276">
      <c r="A1276" s="2"/>
    </row>
    <row r="1277">
      <c r="A1277" s="2"/>
    </row>
    <row r="1278">
      <c r="A1278" s="2"/>
    </row>
    <row r="1279">
      <c r="A1279" s="2"/>
    </row>
    <row r="1280">
      <c r="A1280" s="2"/>
    </row>
    <row r="1281">
      <c r="A1281" s="2"/>
    </row>
    <row r="1282">
      <c r="A1282" s="2"/>
    </row>
    <row r="1283">
      <c r="A1283" s="2"/>
    </row>
    <row r="1284">
      <c r="A1284" s="2"/>
    </row>
    <row r="1285">
      <c r="A1285" s="2"/>
    </row>
    <row r="1286">
      <c r="A1286" s="2"/>
    </row>
    <row r="1287">
      <c r="A1287" s="2"/>
    </row>
    <row r="1288">
      <c r="A1288" s="2"/>
    </row>
    <row r="1289">
      <c r="A1289" s="2"/>
    </row>
    <row r="1290">
      <c r="A1290" s="2"/>
    </row>
    <row r="1291">
      <c r="A1291" s="2"/>
    </row>
    <row r="1292">
      <c r="A1292" s="2"/>
    </row>
    <row r="1293">
      <c r="A1293" s="2"/>
    </row>
    <row r="1294">
      <c r="A1294" s="2"/>
    </row>
    <row r="1295">
      <c r="A1295" s="2"/>
    </row>
    <row r="1296">
      <c r="A1296" s="2"/>
    </row>
    <row r="1297">
      <c r="A1297" s="2"/>
    </row>
    <row r="1298">
      <c r="A1298" s="2"/>
    </row>
    <row r="1299">
      <c r="A1299" s="2"/>
    </row>
    <row r="1300">
      <c r="A1300" s="2"/>
    </row>
    <row r="1301">
      <c r="A1301" s="2"/>
    </row>
    <row r="1302">
      <c r="A1302" s="2"/>
    </row>
    <row r="1303">
      <c r="A1303" s="2"/>
    </row>
    <row r="1304">
      <c r="A1304" s="2"/>
    </row>
    <row r="1305">
      <c r="A1305" s="2"/>
    </row>
    <row r="1306">
      <c r="A1306" s="2"/>
    </row>
    <row r="1307">
      <c r="A1307" s="2"/>
    </row>
    <row r="1308">
      <c r="A1308" s="2"/>
    </row>
    <row r="1309">
      <c r="A1309" s="2"/>
    </row>
    <row r="1310">
      <c r="A1310" s="2"/>
    </row>
    <row r="1311">
      <c r="A1311" s="2"/>
    </row>
    <row r="1312">
      <c r="A1312" s="2"/>
    </row>
    <row r="1313">
      <c r="A1313" s="2"/>
    </row>
    <row r="1314">
      <c r="A1314" s="2"/>
    </row>
    <row r="1315">
      <c r="A1315" s="2"/>
    </row>
    <row r="1316">
      <c r="A1316" s="2"/>
    </row>
    <row r="1317">
      <c r="A1317" s="2"/>
    </row>
    <row r="1318">
      <c r="A1318" s="2"/>
    </row>
    <row r="1319">
      <c r="A1319" s="2"/>
    </row>
    <row r="1320">
      <c r="A1320" s="2"/>
    </row>
    <row r="1321">
      <c r="A1321" s="2"/>
    </row>
    <row r="1322">
      <c r="A1322" s="2"/>
    </row>
    <row r="1323">
      <c r="A1323" s="2"/>
    </row>
    <row r="1324">
      <c r="A1324" s="2"/>
    </row>
    <row r="1325">
      <c r="A1325" s="2"/>
    </row>
    <row r="1326">
      <c r="A1326" s="2"/>
    </row>
    <row r="1327">
      <c r="A1327" s="2"/>
    </row>
    <row r="1328">
      <c r="A1328" s="2"/>
    </row>
    <row r="1329">
      <c r="A1329" s="2"/>
    </row>
    <row r="1330">
      <c r="A1330" s="2"/>
    </row>
    <row r="1331">
      <c r="A1331" s="2"/>
    </row>
    <row r="1332">
      <c r="A1332" s="2"/>
    </row>
    <row r="1333">
      <c r="A1333" s="2"/>
    </row>
    <row r="1334">
      <c r="A1334" s="2"/>
    </row>
    <row r="1335">
      <c r="A1335" s="2"/>
    </row>
    <row r="1336">
      <c r="A1336" s="2"/>
    </row>
    <row r="1337">
      <c r="A1337" s="2"/>
    </row>
    <row r="1338">
      <c r="A1338" s="2"/>
    </row>
    <row r="1339">
      <c r="A1339" s="2"/>
    </row>
    <row r="1340">
      <c r="A1340" s="2"/>
    </row>
    <row r="1341">
      <c r="A1341" s="2"/>
    </row>
    <row r="1342">
      <c r="A1342" s="2"/>
    </row>
    <row r="1343">
      <c r="A1343" s="2"/>
    </row>
    <row r="1344">
      <c r="A1344" s="2"/>
    </row>
    <row r="1345">
      <c r="A1345" s="2"/>
    </row>
    <row r="1346">
      <c r="A1346" s="2"/>
    </row>
    <row r="1347">
      <c r="A1347" s="2"/>
    </row>
    <row r="1348">
      <c r="A1348" s="2"/>
    </row>
    <row r="1349">
      <c r="A1349" s="2"/>
    </row>
    <row r="1350">
      <c r="A1350" s="2"/>
    </row>
    <row r="1351">
      <c r="A1351" s="2"/>
    </row>
    <row r="1352">
      <c r="A1352" s="2"/>
    </row>
    <row r="1353">
      <c r="A1353" s="2"/>
    </row>
    <row r="1354">
      <c r="A1354" s="2"/>
    </row>
    <row r="1355">
      <c r="A1355" s="2"/>
    </row>
    <row r="1356">
      <c r="A1356" s="2"/>
    </row>
    <row r="1357">
      <c r="A1357" s="2"/>
    </row>
    <row r="1358">
      <c r="A1358" s="2"/>
    </row>
    <row r="1359">
      <c r="A1359" s="2"/>
    </row>
    <row r="1360">
      <c r="A1360" s="2"/>
    </row>
    <row r="1361">
      <c r="A1361" s="2"/>
    </row>
    <row r="1362">
      <c r="A1362" s="2"/>
    </row>
    <row r="1363">
      <c r="A1363" s="2"/>
    </row>
    <row r="1364">
      <c r="A1364" s="2"/>
    </row>
    <row r="1365">
      <c r="A1365" s="2"/>
    </row>
    <row r="1366">
      <c r="A1366" s="2"/>
    </row>
    <row r="1367">
      <c r="A1367" s="2"/>
    </row>
    <row r="1368">
      <c r="A1368" s="2"/>
    </row>
    <row r="1369">
      <c r="A1369" s="2"/>
    </row>
    <row r="1370">
      <c r="A1370" s="2"/>
    </row>
    <row r="1371">
      <c r="A1371" s="2"/>
    </row>
    <row r="1372">
      <c r="A1372" s="2"/>
    </row>
    <row r="1373">
      <c r="A1373" s="2"/>
    </row>
    <row r="1374">
      <c r="A1374" s="2"/>
    </row>
    <row r="1375">
      <c r="A1375" s="2"/>
    </row>
    <row r="1376">
      <c r="A1376" s="2"/>
    </row>
    <row r="1377">
      <c r="A1377" s="2"/>
    </row>
    <row r="1378">
      <c r="A1378" s="2"/>
    </row>
    <row r="1379">
      <c r="A1379" s="2"/>
    </row>
    <row r="1380">
      <c r="A1380" s="2"/>
    </row>
    <row r="1381">
      <c r="A1381" s="2"/>
    </row>
    <row r="1382">
      <c r="A1382" s="2"/>
    </row>
    <row r="1383">
      <c r="A1383" s="2"/>
    </row>
    <row r="1384">
      <c r="A1384" s="2"/>
    </row>
    <row r="1385">
      <c r="A1385" s="2"/>
    </row>
    <row r="1386">
      <c r="A1386" s="2"/>
    </row>
    <row r="1387">
      <c r="A1387" s="2"/>
    </row>
    <row r="1388">
      <c r="A1388" s="2"/>
    </row>
    <row r="1389">
      <c r="A1389" s="2"/>
    </row>
    <row r="1390">
      <c r="A1390" s="2"/>
    </row>
    <row r="1391">
      <c r="A1391" s="2"/>
    </row>
    <row r="1392">
      <c r="A1392" s="2"/>
    </row>
    <row r="1393">
      <c r="A1393" s="2"/>
    </row>
    <row r="1394">
      <c r="A1394" s="2"/>
    </row>
    <row r="1395">
      <c r="A1395" s="2"/>
    </row>
    <row r="1396">
      <c r="A1396" s="2"/>
    </row>
    <row r="1397">
      <c r="A1397" s="2"/>
    </row>
    <row r="1398">
      <c r="A1398" s="2"/>
    </row>
    <row r="1399">
      <c r="A1399" s="2"/>
    </row>
    <row r="1400">
      <c r="A1400" s="2"/>
    </row>
    <row r="1401">
      <c r="A1401" s="2"/>
    </row>
    <row r="1402">
      <c r="A1402" s="2"/>
    </row>
    <row r="1403">
      <c r="A1403" s="2"/>
    </row>
    <row r="1404">
      <c r="A1404" s="2"/>
    </row>
    <row r="1405">
      <c r="A1405" s="2"/>
    </row>
    <row r="1406">
      <c r="A1406" s="2"/>
    </row>
    <row r="1407">
      <c r="A1407" s="2"/>
    </row>
    <row r="1408">
      <c r="A1408" s="2"/>
    </row>
    <row r="1409">
      <c r="A1409" s="2"/>
    </row>
    <row r="1410">
      <c r="A1410" s="2"/>
    </row>
    <row r="1411">
      <c r="A1411" s="2"/>
    </row>
    <row r="1412">
      <c r="A1412" s="2"/>
    </row>
    <row r="1413">
      <c r="A1413" s="2"/>
    </row>
    <row r="1414">
      <c r="A1414" s="2"/>
    </row>
    <row r="1415">
      <c r="A1415" s="2"/>
    </row>
    <row r="1416">
      <c r="A1416" s="2"/>
    </row>
    <row r="1417">
      <c r="A1417" s="2"/>
    </row>
    <row r="1418">
      <c r="A1418" s="2"/>
    </row>
    <row r="1419">
      <c r="A1419" s="2"/>
    </row>
    <row r="1420">
      <c r="A1420" s="2"/>
    </row>
    <row r="1421">
      <c r="A1421" s="2"/>
    </row>
    <row r="1422">
      <c r="A1422" s="2"/>
    </row>
    <row r="1423">
      <c r="A1423" s="2"/>
    </row>
    <row r="1424">
      <c r="A1424" s="2"/>
    </row>
    <row r="1425">
      <c r="A1425" s="2"/>
    </row>
    <row r="1426">
      <c r="A1426" s="2"/>
    </row>
    <row r="1427">
      <c r="A1427" s="2"/>
    </row>
    <row r="1428">
      <c r="A1428" s="2"/>
    </row>
    <row r="1429">
      <c r="A1429" s="2"/>
    </row>
    <row r="1430">
      <c r="A1430" s="2"/>
    </row>
    <row r="1431">
      <c r="A1431" s="2"/>
    </row>
    <row r="1432">
      <c r="A1432" s="2"/>
    </row>
    <row r="1433">
      <c r="A1433" s="2"/>
    </row>
    <row r="1434">
      <c r="A1434" s="2"/>
    </row>
    <row r="1435">
      <c r="A1435" s="2"/>
    </row>
    <row r="1436">
      <c r="A1436" s="2"/>
    </row>
    <row r="1437">
      <c r="A1437" s="2"/>
    </row>
    <row r="1438">
      <c r="A1438" s="2"/>
    </row>
    <row r="1439">
      <c r="A1439" s="2"/>
    </row>
    <row r="1440">
      <c r="A1440" s="2"/>
    </row>
    <row r="1441">
      <c r="A1441" s="2"/>
    </row>
    <row r="1442">
      <c r="A1442" s="2"/>
    </row>
    <row r="1443">
      <c r="A1443" s="2"/>
    </row>
    <row r="1444">
      <c r="A1444" s="2"/>
    </row>
    <row r="1445">
      <c r="A1445" s="2"/>
    </row>
    <row r="1446">
      <c r="A1446" s="2"/>
    </row>
    <row r="1447">
      <c r="A1447" s="2"/>
    </row>
    <row r="1448">
      <c r="A1448" s="2"/>
    </row>
    <row r="1449">
      <c r="A1449" s="2"/>
    </row>
    <row r="1450">
      <c r="A1450" s="2"/>
    </row>
    <row r="1451">
      <c r="A1451" s="2"/>
    </row>
    <row r="1452">
      <c r="A1452" s="2"/>
    </row>
    <row r="1453">
      <c r="A1453" s="2"/>
    </row>
    <row r="1454">
      <c r="A1454" s="2"/>
    </row>
    <row r="1455">
      <c r="A1455" s="2"/>
    </row>
    <row r="1456">
      <c r="A1456" s="2"/>
    </row>
    <row r="1457">
      <c r="A1457" s="2"/>
    </row>
    <row r="1458">
      <c r="A1458" s="2"/>
    </row>
    <row r="1459">
      <c r="A1459" s="2"/>
    </row>
    <row r="1460">
      <c r="A1460" s="2"/>
    </row>
    <row r="1461">
      <c r="A1461" s="2"/>
    </row>
    <row r="1462">
      <c r="A1462" s="2"/>
    </row>
    <row r="1463">
      <c r="A1463" s="2"/>
    </row>
    <row r="1464">
      <c r="A1464" s="2"/>
    </row>
    <row r="1465">
      <c r="A1465" s="2"/>
    </row>
    <row r="1466">
      <c r="A1466" s="2"/>
    </row>
    <row r="1467">
      <c r="A1467" s="2"/>
    </row>
    <row r="1468">
      <c r="A1468" s="2"/>
    </row>
    <row r="1469">
      <c r="A1469" s="2"/>
    </row>
    <row r="1470">
      <c r="A1470" s="2"/>
    </row>
    <row r="1471">
      <c r="A1471" s="2"/>
    </row>
    <row r="1472">
      <c r="A1472" s="2"/>
    </row>
    <row r="1473">
      <c r="A1473" s="2"/>
    </row>
    <row r="1474">
      <c r="A1474" s="2"/>
    </row>
    <row r="1475">
      <c r="A1475" s="2"/>
    </row>
    <row r="1476">
      <c r="A1476" s="2"/>
    </row>
    <row r="1477">
      <c r="A1477" s="2"/>
    </row>
    <row r="1478">
      <c r="A1478" s="2"/>
    </row>
    <row r="1479">
      <c r="A1479" s="2"/>
    </row>
    <row r="1480">
      <c r="A1480" s="2"/>
    </row>
    <row r="1481">
      <c r="A1481" s="2"/>
    </row>
    <row r="1482">
      <c r="A1482" s="2"/>
    </row>
    <row r="1483">
      <c r="A1483" s="2"/>
    </row>
    <row r="1484">
      <c r="A1484" s="2"/>
    </row>
    <row r="1485">
      <c r="A1485" s="2"/>
    </row>
    <row r="1486">
      <c r="A1486" s="2"/>
    </row>
    <row r="1487">
      <c r="A1487" s="2"/>
    </row>
    <row r="1488">
      <c r="A1488" s="2"/>
    </row>
    <row r="1489">
      <c r="A1489" s="2"/>
    </row>
    <row r="1490">
      <c r="A1490" s="2"/>
    </row>
    <row r="1491">
      <c r="A1491" s="2"/>
    </row>
    <row r="1492">
      <c r="A1492" s="2"/>
    </row>
    <row r="1493">
      <c r="A1493" s="2"/>
    </row>
    <row r="1494">
      <c r="A1494" s="2"/>
    </row>
    <row r="1495">
      <c r="A1495" s="2"/>
    </row>
    <row r="1496">
      <c r="A1496" s="2"/>
    </row>
    <row r="1497">
      <c r="A1497" s="2"/>
    </row>
    <row r="1498">
      <c r="A1498" s="2"/>
    </row>
    <row r="1499">
      <c r="A1499" s="2"/>
    </row>
    <row r="1500">
      <c r="A1500" s="2"/>
    </row>
    <row r="1501">
      <c r="A1501" s="2"/>
    </row>
    <row r="1502">
      <c r="A1502" s="2"/>
    </row>
    <row r="1503">
      <c r="A1503" s="2"/>
    </row>
    <row r="1504">
      <c r="A1504" s="2"/>
    </row>
    <row r="1505">
      <c r="A1505" s="2"/>
    </row>
    <row r="1506">
      <c r="A1506" s="2"/>
    </row>
    <row r="1507">
      <c r="A1507" s="2"/>
    </row>
    <row r="1508">
      <c r="A1508" s="2"/>
    </row>
    <row r="1509">
      <c r="A1509" s="2"/>
    </row>
    <row r="1510">
      <c r="A1510" s="2"/>
    </row>
    <row r="1511">
      <c r="A1511" s="2"/>
    </row>
    <row r="1512">
      <c r="A1512" s="2"/>
    </row>
    <row r="1513">
      <c r="A1513" s="2"/>
    </row>
    <row r="1514">
      <c r="A1514" s="2"/>
    </row>
    <row r="1515">
      <c r="A1515" s="2"/>
    </row>
    <row r="1516">
      <c r="A1516" s="2"/>
    </row>
    <row r="1517">
      <c r="A1517" s="2"/>
    </row>
    <row r="1518">
      <c r="A1518" s="2"/>
    </row>
    <row r="1519">
      <c r="A1519" s="2"/>
    </row>
    <row r="1520">
      <c r="A1520" s="2"/>
    </row>
    <row r="1521">
      <c r="A1521" s="2"/>
    </row>
    <row r="1522">
      <c r="A1522" s="2"/>
    </row>
    <row r="1523">
      <c r="A1523" s="2"/>
    </row>
    <row r="1524">
      <c r="A1524" s="2"/>
    </row>
    <row r="1525">
      <c r="A1525" s="2"/>
    </row>
    <row r="1526">
      <c r="A1526" s="2"/>
    </row>
    <row r="1527">
      <c r="A1527" s="2"/>
    </row>
    <row r="1528">
      <c r="A1528" s="2"/>
    </row>
    <row r="1529">
      <c r="A1529" s="2"/>
    </row>
    <row r="1530">
      <c r="A1530" s="2"/>
    </row>
    <row r="1531">
      <c r="A1531" s="2"/>
    </row>
    <row r="1532">
      <c r="A1532" s="2"/>
    </row>
    <row r="1533">
      <c r="A1533" s="2"/>
    </row>
    <row r="1534">
      <c r="A1534" s="2"/>
    </row>
    <row r="1535">
      <c r="A1535" s="2"/>
    </row>
    <row r="1536">
      <c r="A1536" s="2"/>
    </row>
    <row r="1537">
      <c r="A1537" s="2"/>
    </row>
    <row r="1538">
      <c r="A1538" s="2"/>
    </row>
    <row r="1539">
      <c r="A1539" s="2"/>
    </row>
    <row r="1540">
      <c r="A1540" s="2"/>
    </row>
    <row r="1541">
      <c r="A1541" s="2"/>
    </row>
    <row r="1542">
      <c r="A1542" s="2"/>
    </row>
    <row r="1543">
      <c r="A1543" s="2"/>
    </row>
    <row r="1544">
      <c r="A1544" s="2"/>
    </row>
    <row r="1545">
      <c r="A1545" s="2"/>
    </row>
    <row r="1546">
      <c r="A1546" s="2"/>
    </row>
    <row r="1547">
      <c r="A1547" s="2"/>
    </row>
    <row r="1548">
      <c r="A1548" s="2"/>
    </row>
    <row r="1549">
      <c r="A1549" s="2"/>
    </row>
    <row r="1550">
      <c r="A1550" s="2"/>
    </row>
    <row r="1551">
      <c r="A1551" s="2"/>
    </row>
    <row r="1552">
      <c r="A1552" s="2"/>
    </row>
    <row r="1553">
      <c r="A1553" s="2"/>
    </row>
    <row r="1554">
      <c r="A1554" s="2"/>
    </row>
    <row r="1555">
      <c r="A1555" s="2"/>
    </row>
    <row r="1556">
      <c r="A1556" s="2"/>
    </row>
    <row r="1557">
      <c r="A1557" s="2"/>
    </row>
    <row r="1558">
      <c r="A1558" s="2"/>
    </row>
    <row r="1559">
      <c r="A1559" s="2"/>
    </row>
    <row r="1560">
      <c r="A1560" s="2"/>
    </row>
    <row r="1561">
      <c r="A1561" s="2"/>
    </row>
    <row r="1562">
      <c r="A1562" s="2"/>
    </row>
    <row r="1563">
      <c r="A1563" s="2"/>
    </row>
    <row r="1564">
      <c r="A1564" s="2"/>
    </row>
    <row r="1565">
      <c r="A1565" s="2"/>
    </row>
    <row r="1566">
      <c r="A1566" s="2"/>
    </row>
    <row r="1567">
      <c r="A1567" s="2"/>
    </row>
    <row r="1568">
      <c r="A1568" s="2"/>
    </row>
    <row r="1569">
      <c r="A1569" s="2"/>
    </row>
    <row r="1570">
      <c r="A1570" s="2"/>
    </row>
    <row r="1571">
      <c r="A1571" s="2"/>
    </row>
    <row r="1572">
      <c r="A1572" s="2"/>
    </row>
    <row r="1573">
      <c r="A1573" s="2"/>
    </row>
    <row r="1574">
      <c r="A1574" s="2"/>
    </row>
    <row r="1575">
      <c r="A1575" s="2"/>
    </row>
    <row r="1576">
      <c r="A1576" s="2"/>
    </row>
    <row r="1577">
      <c r="A1577" s="2"/>
    </row>
    <row r="1578">
      <c r="A1578" s="2"/>
    </row>
    <row r="1579">
      <c r="A1579" s="2"/>
    </row>
    <row r="1580">
      <c r="A1580" s="2"/>
    </row>
    <row r="1581">
      <c r="A1581" s="2"/>
    </row>
    <row r="1582">
      <c r="A1582" s="2"/>
    </row>
    <row r="1583">
      <c r="A1583" s="2"/>
    </row>
    <row r="1584">
      <c r="A1584" s="2"/>
    </row>
    <row r="1585">
      <c r="A1585" s="2"/>
    </row>
    <row r="1586">
      <c r="A1586" s="2"/>
    </row>
    <row r="1587">
      <c r="A1587" s="2"/>
    </row>
    <row r="1588">
      <c r="A1588" s="2"/>
    </row>
    <row r="1589">
      <c r="A1589" s="2"/>
    </row>
    <row r="1590">
      <c r="A1590" s="2"/>
    </row>
    <row r="1591">
      <c r="A1591" s="2"/>
    </row>
    <row r="1592">
      <c r="A1592" s="2"/>
    </row>
    <row r="1593">
      <c r="A1593" s="2"/>
    </row>
    <row r="1594">
      <c r="A1594" s="2"/>
    </row>
    <row r="1595">
      <c r="A1595" s="2"/>
    </row>
    <row r="1596">
      <c r="A1596" s="2"/>
    </row>
    <row r="1597">
      <c r="A1597" s="2"/>
    </row>
    <row r="1598">
      <c r="A1598" s="2"/>
    </row>
    <row r="1599">
      <c r="A1599" s="2"/>
    </row>
    <row r="1600">
      <c r="A1600" s="2"/>
    </row>
    <row r="1601">
      <c r="A1601" s="2"/>
    </row>
    <row r="1602">
      <c r="A1602" s="2"/>
    </row>
    <row r="1603">
      <c r="A1603" s="2"/>
    </row>
    <row r="1604">
      <c r="A1604" s="2"/>
    </row>
    <row r="1605">
      <c r="A1605" s="2"/>
    </row>
    <row r="1606">
      <c r="A1606" s="2"/>
    </row>
    <row r="1607">
      <c r="A1607" s="2"/>
    </row>
    <row r="1608">
      <c r="A1608" s="2"/>
    </row>
    <row r="1609">
      <c r="A1609" s="2"/>
    </row>
    <row r="1610">
      <c r="A1610" s="2"/>
    </row>
    <row r="1611">
      <c r="A1611" s="2"/>
    </row>
    <row r="1612">
      <c r="A1612" s="2"/>
    </row>
    <row r="1613">
      <c r="A1613" s="2"/>
    </row>
    <row r="1614">
      <c r="A1614" s="2"/>
    </row>
    <row r="1615">
      <c r="A1615" s="2"/>
    </row>
    <row r="1616">
      <c r="A1616" s="2"/>
    </row>
    <row r="1617">
      <c r="A1617" s="2"/>
    </row>
    <row r="1618">
      <c r="A1618" s="2"/>
    </row>
    <row r="1619">
      <c r="A1619" s="2"/>
    </row>
    <row r="1620">
      <c r="A1620" s="2"/>
    </row>
    <row r="1621">
      <c r="A1621" s="2"/>
    </row>
    <row r="1622">
      <c r="A1622" s="2"/>
    </row>
  </sheetData>
  <mergeCells count="9">
    <mergeCell ref="L200:M200"/>
    <mergeCell ref="AA200:AC200"/>
    <mergeCell ref="AD200:AF200"/>
    <mergeCell ref="AG200:AH200"/>
    <mergeCell ref="AI200:AJ200"/>
    <mergeCell ref="D200:F200"/>
    <mergeCell ref="G200:I200"/>
    <mergeCell ref="J200:K200"/>
    <mergeCell ref="B2:L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5">
      <c r="B5" s="2" t="s">
        <v>33</v>
      </c>
      <c r="E5" s="2" t="s">
        <v>34</v>
      </c>
      <c r="F5" s="2">
        <v>1.0</v>
      </c>
      <c r="G5" s="2">
        <v>1713800.0</v>
      </c>
      <c r="H5" s="2">
        <v>398826.0</v>
      </c>
    </row>
    <row r="6">
      <c r="F6" s="2">
        <v>534214.0</v>
      </c>
      <c r="J6" s="2">
        <v>4000000.0</v>
      </c>
      <c r="K6" s="3">
        <f>LOG(J6)</f>
        <v>6.602059991</v>
      </c>
      <c r="L6" s="3">
        <f>K6*100000</f>
        <v>660205.9991</v>
      </c>
      <c r="M6" s="3">
        <f>L6*3</f>
        <v>1980617.997</v>
      </c>
    </row>
    <row r="8">
      <c r="C8" s="2" t="s">
        <v>36</v>
      </c>
      <c r="I8" s="2" t="s">
        <v>2</v>
      </c>
      <c r="J8" s="2" t="s">
        <v>3</v>
      </c>
    </row>
    <row r="9">
      <c r="D9" s="2" t="s">
        <v>4</v>
      </c>
      <c r="E9" s="2" t="s">
        <v>5</v>
      </c>
      <c r="I9" s="3">
        <f t="shared" ref="I9:J9" si="1">(I11+I14+I17+I20)/4</f>
        <v>0</v>
      </c>
      <c r="J9" s="3">
        <f t="shared" si="1"/>
        <v>0</v>
      </c>
    </row>
    <row r="10">
      <c r="F10" s="2" t="s">
        <v>7</v>
      </c>
      <c r="G10" s="2" t="s">
        <v>8</v>
      </c>
      <c r="H10" s="2" t="s">
        <v>21</v>
      </c>
      <c r="I10" s="3">
        <f t="shared" ref="I10:J10" si="2">(I12+I15+I18+I21)/4</f>
        <v>0</v>
      </c>
      <c r="J10" s="3">
        <f t="shared" si="2"/>
        <v>0</v>
      </c>
      <c r="K10" s="2">
        <v>4096.0</v>
      </c>
      <c r="L10" s="2">
        <v>4096.0</v>
      </c>
    </row>
    <row r="11">
      <c r="B11" s="2" t="s">
        <v>11</v>
      </c>
      <c r="C11" s="2" t="s">
        <v>12</v>
      </c>
      <c r="D11" s="2" t="s">
        <v>34</v>
      </c>
      <c r="E11" s="2">
        <v>1.0</v>
      </c>
      <c r="F11" s="2">
        <v>426155.0</v>
      </c>
      <c r="H11" s="3">
        <f t="shared" ref="H11:H12" si="3">F11+G11</f>
        <v>426155</v>
      </c>
      <c r="I11" s="3">
        <f t="shared" ref="I11:I12" si="4">100-ABS($M$589-H11)/H11*100</f>
        <v>0</v>
      </c>
      <c r="J11" s="3">
        <f t="shared" ref="J11:J12" si="5">100-ABS($M$497-H11)/H11*100</f>
        <v>0</v>
      </c>
    </row>
    <row r="12">
      <c r="B12" s="2" t="s">
        <v>11</v>
      </c>
      <c r="C12" s="2" t="s">
        <v>14</v>
      </c>
      <c r="D12" s="2" t="s">
        <v>34</v>
      </c>
      <c r="E12" s="2">
        <v>1.0</v>
      </c>
      <c r="F12" s="2">
        <v>472839.0</v>
      </c>
      <c r="H12" s="3">
        <f t="shared" si="3"/>
        <v>472839</v>
      </c>
      <c r="I12" s="3">
        <f t="shared" si="4"/>
        <v>0</v>
      </c>
      <c r="J12" s="3">
        <f t="shared" si="5"/>
        <v>0</v>
      </c>
    </row>
    <row r="13">
      <c r="K13" s="3">
        <f>(I12+I18)/2</f>
        <v>0</v>
      </c>
    </row>
    <row r="14">
      <c r="B14" s="2" t="s">
        <v>15</v>
      </c>
      <c r="C14" s="2" t="s">
        <v>12</v>
      </c>
      <c r="D14" s="2" t="s">
        <v>13</v>
      </c>
      <c r="E14" s="2">
        <v>1.0</v>
      </c>
      <c r="F14" s="2">
        <v>534214.0</v>
      </c>
      <c r="H14" s="3">
        <f t="shared" ref="H14:H15" si="6">F14+G14</f>
        <v>534214</v>
      </c>
      <c r="I14" s="3">
        <f t="shared" ref="I14:I15" si="7">100-ABS($M$589-H14)/H14*100</f>
        <v>0</v>
      </c>
      <c r="J14" s="3">
        <f t="shared" ref="J14:J15" si="8">100-ABS($M$497-H14)/H14*100</f>
        <v>0</v>
      </c>
    </row>
    <row r="15">
      <c r="B15" s="2" t="s">
        <v>15</v>
      </c>
      <c r="C15" s="2" t="s">
        <v>14</v>
      </c>
      <c r="D15" s="2" t="s">
        <v>13</v>
      </c>
      <c r="E15" s="2">
        <v>1.0</v>
      </c>
      <c r="F15" s="2">
        <v>1152437.0</v>
      </c>
      <c r="H15" s="3">
        <f t="shared" si="6"/>
        <v>1152437</v>
      </c>
      <c r="I15" s="3">
        <f t="shared" si="7"/>
        <v>0</v>
      </c>
      <c r="J15" s="3">
        <f t="shared" si="8"/>
        <v>0</v>
      </c>
    </row>
    <row r="16">
      <c r="L16" s="2" t="s">
        <v>16</v>
      </c>
      <c r="M16" s="2" t="s">
        <v>17</v>
      </c>
    </row>
    <row r="17">
      <c r="B17" s="2" t="s">
        <v>18</v>
      </c>
      <c r="C17" s="2" t="s">
        <v>12</v>
      </c>
      <c r="D17" s="2" t="s">
        <v>13</v>
      </c>
      <c r="E17" s="2">
        <v>1.0</v>
      </c>
      <c r="F17" s="2">
        <v>446638.0</v>
      </c>
      <c r="H17" s="3">
        <f t="shared" ref="H17:H18" si="9">F17+G17</f>
        <v>446638</v>
      </c>
      <c r="I17" s="3">
        <f t="shared" ref="I17:I18" si="10">100-ABS($M$589-H17)/H17*100</f>
        <v>0</v>
      </c>
      <c r="J17" s="3">
        <f t="shared" ref="J17:J18" si="11">100-ABS($M$497-H17)/H17*100</f>
        <v>0</v>
      </c>
      <c r="L17" s="2">
        <v>1.0E8</v>
      </c>
      <c r="M17" s="2">
        <v>4.0</v>
      </c>
    </row>
    <row r="18">
      <c r="B18" s="2" t="s">
        <v>18</v>
      </c>
      <c r="C18" s="2" t="s">
        <v>14</v>
      </c>
      <c r="D18" s="2" t="s">
        <v>13</v>
      </c>
      <c r="E18" s="2">
        <v>1.0</v>
      </c>
      <c r="F18" s="2">
        <v>402749.0</v>
      </c>
      <c r="H18" s="3">
        <f t="shared" si="9"/>
        <v>402749</v>
      </c>
      <c r="I18" s="3">
        <f t="shared" si="10"/>
        <v>0</v>
      </c>
      <c r="J18" s="3">
        <f t="shared" si="11"/>
        <v>0</v>
      </c>
    </row>
    <row r="19">
      <c r="L19" s="2" t="s">
        <v>19</v>
      </c>
      <c r="M19" s="2" t="s">
        <v>20</v>
      </c>
      <c r="N19" s="2" t="s">
        <v>21</v>
      </c>
    </row>
    <row r="20">
      <c r="B20" s="2" t="s">
        <v>22</v>
      </c>
      <c r="C20" s="2" t="s">
        <v>12</v>
      </c>
      <c r="D20" s="2" t="s">
        <v>13</v>
      </c>
      <c r="E20" s="2">
        <v>1.0</v>
      </c>
      <c r="F20" s="2">
        <v>937066.0</v>
      </c>
      <c r="H20" s="3">
        <f t="shared" ref="H20:H21" si="12">F20+G20</f>
        <v>937066</v>
      </c>
      <c r="I20" s="3">
        <f t="shared" ref="I20:I21" si="13">100-ABS($M$589-H20)/H20*100</f>
        <v>0</v>
      </c>
      <c r="J20" s="3">
        <f t="shared" ref="J20:J21" si="14">100-ABS($M$497-H20)/H20*100</f>
        <v>0</v>
      </c>
      <c r="K20" s="2" t="s">
        <v>23</v>
      </c>
      <c r="L20" s="3">
        <v>588570.2640307106</v>
      </c>
      <c r="N20" s="3">
        <f t="shared" ref="N20:N21" si="15">L20+M20</f>
        <v>588570.264</v>
      </c>
    </row>
    <row r="21">
      <c r="B21" s="2" t="s">
        <v>22</v>
      </c>
      <c r="C21" s="2" t="s">
        <v>14</v>
      </c>
      <c r="D21" s="2" t="s">
        <v>13</v>
      </c>
      <c r="E21" s="2">
        <v>1.0</v>
      </c>
      <c r="F21" s="2">
        <v>1273979.0</v>
      </c>
      <c r="H21" s="3">
        <f t="shared" si="12"/>
        <v>1273979</v>
      </c>
      <c r="I21" s="3">
        <f t="shared" si="13"/>
        <v>0</v>
      </c>
      <c r="J21" s="3">
        <f t="shared" si="14"/>
        <v>0</v>
      </c>
      <c r="K21" s="2" t="s">
        <v>3</v>
      </c>
      <c r="L21" s="2">
        <v>0.0</v>
      </c>
      <c r="N21" s="3">
        <f t="shared" si="15"/>
        <v>0</v>
      </c>
    </row>
    <row r="23">
      <c r="B23" s="2" t="s">
        <v>37</v>
      </c>
      <c r="C23" s="2" t="s">
        <v>12</v>
      </c>
      <c r="D23" s="2" t="s">
        <v>13</v>
      </c>
      <c r="E23" s="2">
        <v>1.0</v>
      </c>
      <c r="F23" s="2">
        <v>575884.0</v>
      </c>
      <c r="H23" s="3">
        <f t="shared" ref="H23:H24" si="16">F23+G23</f>
        <v>575884</v>
      </c>
      <c r="I23" s="3">
        <f t="shared" ref="I23:I24" si="17">100-ABS($M$589-H23)/H23*100</f>
        <v>0</v>
      </c>
      <c r="J23" s="3">
        <f t="shared" ref="J23:J24" si="18">100-ABS($M$497-H23)/H23*100</f>
        <v>0</v>
      </c>
      <c r="L23" s="3">
        <v>588570.2640307106</v>
      </c>
    </row>
    <row r="24">
      <c r="B24" s="2" t="s">
        <v>37</v>
      </c>
      <c r="C24" s="2" t="s">
        <v>14</v>
      </c>
      <c r="D24" s="2" t="s">
        <v>13</v>
      </c>
      <c r="E24" s="2">
        <v>1.0</v>
      </c>
      <c r="F24" s="2">
        <v>1428577.0</v>
      </c>
      <c r="H24" s="3">
        <f t="shared" si="16"/>
        <v>1428577</v>
      </c>
      <c r="I24" s="3">
        <f t="shared" si="17"/>
        <v>0</v>
      </c>
      <c r="J24" s="3">
        <f t="shared" si="18"/>
        <v>0</v>
      </c>
      <c r="L24" s="3">
        <v>529713.2376276394</v>
      </c>
    </row>
    <row r="25">
      <c r="I25" s="3">
        <f>LOG(768604)</f>
        <v>5.88570264</v>
      </c>
    </row>
    <row r="26">
      <c r="E26" s="3" t="str">
        <f>"map=["&amp;I11&amp;", "&amp;I12&amp;", "&amp;I14&amp;", "&amp;I15&amp;", "&amp;I17&amp;", "&amp;I18&amp;", "&amp;I20&amp;", "&amp;I21&amp;"]"</f>
        <v>map=[0, 0, 0, 0, 0, 0, 0, 0]</v>
      </c>
    </row>
    <row r="27">
      <c r="E27" s="3" t="str">
        <f>"lit=["&amp;J11&amp;", "&amp;J12&amp;", "&amp;J14&amp;", "&amp;J15&amp;", "&amp;J17&amp;", "&amp;J18&amp;", "&amp;J20&amp;", "&amp;J21&amp;"]"</f>
        <v>lit=[0, 0, 0, 0, 0, 0, 0, 0]</v>
      </c>
    </row>
    <row r="33">
      <c r="E33" s="3" t="str">
        <f>"total=["&amp;N20&amp;", "&amp;N21&amp;", "&amp;H11&amp;", "&amp;H12&amp;", "&amp;H14&amp;", "&amp;H15&amp;", "&amp;H17&amp;", "&amp;H18&amp;"]"</f>
        <v>total=[588570.264030711, 0, 426155, 472839, 534214, 1152437, 446638, 402749]</v>
      </c>
      <c r="M33" s="2" t="s">
        <v>38</v>
      </c>
      <c r="N33" s="7">
        <v>588570.2640307107</v>
      </c>
      <c r="O33" s="3">
        <f>N33*64</f>
        <v>37668496.9</v>
      </c>
    </row>
    <row r="34">
      <c r="M34" s="2" t="s">
        <v>39</v>
      </c>
      <c r="N34" s="2">
        <v>64.0</v>
      </c>
    </row>
    <row r="35">
      <c r="G35" s="2">
        <v>240.0</v>
      </c>
      <c r="H35" s="3" t="str">
        <f>G35*F40</f>
        <v>#VALUE!</v>
      </c>
      <c r="I35" s="3" t="str">
        <f>F37/H35</f>
        <v>#VALUE!</v>
      </c>
      <c r="J35" s="3" t="str">
        <f>E42/H35</f>
        <v>#VALUE!</v>
      </c>
      <c r="K35" s="3" t="str">
        <f>I35*J35</f>
        <v>#VALUE!</v>
      </c>
      <c r="M35" s="2" t="s">
        <v>40</v>
      </c>
      <c r="N35" s="3">
        <f>30*1024*1024</f>
        <v>31457280</v>
      </c>
    </row>
    <row r="36">
      <c r="M36" s="2" t="s">
        <v>41</v>
      </c>
      <c r="N36" s="3">
        <f>N35/N34</f>
        <v>491520</v>
      </c>
    </row>
    <row r="37">
      <c r="B37" s="3">
        <f>LOG(E37)</f>
        <v>5.88570264</v>
      </c>
      <c r="C37" s="3">
        <f>B37*90000</f>
        <v>529713.2376</v>
      </c>
      <c r="E37" s="8">
        <v>768604.0</v>
      </c>
      <c r="F37" s="3">
        <f>E37*8</f>
        <v>6148832</v>
      </c>
      <c r="G37" s="3" t="str">
        <f>F37/F40</f>
        <v>#VALUE!</v>
      </c>
      <c r="J37" s="3" t="str">
        <f>#REF!/E37</f>
        <v>#REF!</v>
      </c>
    </row>
    <row r="38">
      <c r="G38" s="2">
        <v>477873.0</v>
      </c>
    </row>
    <row r="39">
      <c r="A39" s="2" t="s">
        <v>123</v>
      </c>
    </row>
    <row r="40">
      <c r="B40" s="15"/>
      <c r="C40" s="15" t="s">
        <v>100</v>
      </c>
      <c r="E40" s="15"/>
      <c r="F40" s="15" t="s">
        <v>124</v>
      </c>
      <c r="H40" s="15"/>
      <c r="I40" s="15" t="s">
        <v>125</v>
      </c>
      <c r="K40" s="15"/>
      <c r="L40" s="15" t="s">
        <v>126</v>
      </c>
      <c r="N40" s="15"/>
      <c r="O40" s="15" t="s">
        <v>127</v>
      </c>
    </row>
    <row r="41">
      <c r="B41" s="2" t="s">
        <v>128</v>
      </c>
      <c r="C41" s="2" t="s">
        <v>129</v>
      </c>
      <c r="D41" s="2" t="s">
        <v>130</v>
      </c>
      <c r="E41" s="2" t="s">
        <v>128</v>
      </c>
      <c r="F41" s="2" t="s">
        <v>129</v>
      </c>
      <c r="G41" s="2" t="s">
        <v>130</v>
      </c>
      <c r="H41" s="2" t="s">
        <v>128</v>
      </c>
      <c r="I41" s="2" t="s">
        <v>129</v>
      </c>
      <c r="J41" s="2" t="s">
        <v>130</v>
      </c>
      <c r="K41" s="2" t="s">
        <v>128</v>
      </c>
      <c r="L41" s="2" t="s">
        <v>129</v>
      </c>
      <c r="M41" s="2" t="s">
        <v>130</v>
      </c>
      <c r="N41" s="2" t="s">
        <v>128</v>
      </c>
      <c r="O41" s="2" t="s">
        <v>129</v>
      </c>
      <c r="P41" s="2" t="s">
        <v>130</v>
      </c>
    </row>
    <row r="42">
      <c r="B42" s="2">
        <v>1.0</v>
      </c>
      <c r="C42" s="2">
        <v>378128.0</v>
      </c>
      <c r="D42" s="2">
        <v>539408.0</v>
      </c>
      <c r="E42" s="2">
        <v>1.0</v>
      </c>
      <c r="F42" s="2">
        <v>292094.0</v>
      </c>
      <c r="G42" s="2">
        <v>650699.0</v>
      </c>
      <c r="H42" s="2">
        <v>1.0</v>
      </c>
      <c r="I42" s="2">
        <v>350994.0</v>
      </c>
      <c r="J42" s="2">
        <v>370768.0</v>
      </c>
      <c r="K42" s="2">
        <v>1.0</v>
      </c>
      <c r="L42" s="2">
        <v>990721.0</v>
      </c>
      <c r="M42" s="2">
        <v>1353443.0</v>
      </c>
      <c r="N42" s="2">
        <v>1.0</v>
      </c>
      <c r="O42" s="2">
        <v>691787.0</v>
      </c>
      <c r="P42" s="2">
        <v>1248433.0</v>
      </c>
    </row>
    <row r="43">
      <c r="B43" s="2">
        <v>2.0</v>
      </c>
      <c r="C43" s="2">
        <v>431367.0</v>
      </c>
      <c r="D43" s="2">
        <v>428891.0</v>
      </c>
      <c r="E43" s="2">
        <v>2.0</v>
      </c>
      <c r="F43" s="2">
        <v>300494.0</v>
      </c>
      <c r="G43" s="2">
        <v>730244.0</v>
      </c>
      <c r="H43" s="2">
        <v>2.0</v>
      </c>
      <c r="I43" s="2">
        <v>241813.0</v>
      </c>
      <c r="J43" s="2">
        <v>366526.0</v>
      </c>
      <c r="K43" s="2">
        <v>2.0</v>
      </c>
      <c r="L43" s="2">
        <v>1009780.0</v>
      </c>
      <c r="M43" s="2">
        <v>1325792.0</v>
      </c>
      <c r="N43" s="2">
        <v>2.0</v>
      </c>
      <c r="O43" s="2">
        <v>698404.0</v>
      </c>
      <c r="P43" s="2">
        <v>1267405.0</v>
      </c>
    </row>
    <row r="44">
      <c r="B44" s="2">
        <v>3.0</v>
      </c>
      <c r="C44" s="2">
        <v>379448.0</v>
      </c>
      <c r="D44" s="2">
        <v>400752.0</v>
      </c>
      <c r="E44" s="2">
        <v>3.0</v>
      </c>
      <c r="F44" s="2">
        <v>296238.0</v>
      </c>
      <c r="G44" s="2">
        <v>729173.0</v>
      </c>
      <c r="H44" s="2">
        <v>3.0</v>
      </c>
      <c r="I44" s="2">
        <v>242519.0</v>
      </c>
      <c r="J44" s="2">
        <v>273967.0</v>
      </c>
      <c r="K44" s="2">
        <v>3.0</v>
      </c>
      <c r="L44" s="2">
        <v>982637.0</v>
      </c>
      <c r="M44" s="2">
        <v>1328849.0</v>
      </c>
      <c r="N44" s="2">
        <v>3.0</v>
      </c>
      <c r="O44" s="2">
        <v>719368.0</v>
      </c>
      <c r="P44" s="2">
        <v>1262234.0</v>
      </c>
    </row>
    <row r="45">
      <c r="B45" s="2">
        <v>4.0</v>
      </c>
      <c r="C45" s="2">
        <v>379917.0</v>
      </c>
      <c r="D45" s="2">
        <v>410229.0</v>
      </c>
      <c r="E45" s="2">
        <v>4.0</v>
      </c>
      <c r="F45" s="2">
        <v>286151.0</v>
      </c>
      <c r="G45" s="2">
        <v>718062.0</v>
      </c>
      <c r="H45" s="2">
        <v>4.0</v>
      </c>
      <c r="I45" s="2">
        <v>233199.0</v>
      </c>
      <c r="J45" s="2">
        <v>298944.0</v>
      </c>
      <c r="K45" s="2">
        <v>4.0</v>
      </c>
      <c r="L45" s="2">
        <v>989275.0</v>
      </c>
      <c r="M45" s="2">
        <v>1324566.0</v>
      </c>
      <c r="N45" s="2">
        <v>4.0</v>
      </c>
      <c r="O45" s="2">
        <v>679852.0</v>
      </c>
      <c r="P45" s="2">
        <v>1243785.0</v>
      </c>
    </row>
    <row r="46">
      <c r="B46" s="2">
        <v>5.0</v>
      </c>
      <c r="C46" s="2">
        <v>421916.0</v>
      </c>
      <c r="D46" s="2">
        <v>543444.0</v>
      </c>
      <c r="E46" s="2">
        <v>5.0</v>
      </c>
      <c r="F46" s="2">
        <v>284356.0</v>
      </c>
      <c r="G46" s="2">
        <v>672607.0</v>
      </c>
      <c r="H46" s="2">
        <v>5.0</v>
      </c>
      <c r="I46" s="2">
        <v>240224.0</v>
      </c>
      <c r="J46" s="2">
        <v>309816.0</v>
      </c>
      <c r="K46" s="2">
        <v>5.0</v>
      </c>
      <c r="L46" s="2">
        <v>994565.0</v>
      </c>
      <c r="M46" s="2">
        <v>1311002.0</v>
      </c>
      <c r="N46" s="2">
        <v>5.0</v>
      </c>
      <c r="O46" s="2">
        <v>609673.0</v>
      </c>
      <c r="P46" s="2">
        <v>1241935.0</v>
      </c>
    </row>
    <row r="47">
      <c r="B47" s="2" t="s">
        <v>100</v>
      </c>
      <c r="C47" s="3">
        <f t="shared" ref="C47:D47" si="19">AVERAGE(C42:C46)</f>
        <v>398155.2</v>
      </c>
      <c r="D47" s="3">
        <f t="shared" si="19"/>
        <v>464544.8</v>
      </c>
      <c r="E47" s="2" t="s">
        <v>124</v>
      </c>
      <c r="F47" s="3">
        <f t="shared" ref="F47:G47" si="20">AVERAGE(F42:F46)</f>
        <v>291866.6</v>
      </c>
      <c r="G47" s="3">
        <f t="shared" si="20"/>
        <v>700157</v>
      </c>
      <c r="H47" s="2" t="s">
        <v>125</v>
      </c>
      <c r="I47" s="3">
        <f t="shared" ref="I47:J47" si="21">AVERAGE(I42:I46)</f>
        <v>261749.8</v>
      </c>
      <c r="J47" s="3">
        <f t="shared" si="21"/>
        <v>324004.2</v>
      </c>
      <c r="K47" s="2" t="s">
        <v>126</v>
      </c>
      <c r="L47" s="3">
        <f t="shared" ref="L47:M47" si="22">AVERAGE(L42:L46)</f>
        <v>993395.6</v>
      </c>
      <c r="M47" s="3">
        <f t="shared" si="22"/>
        <v>1328730.4</v>
      </c>
      <c r="N47" s="2" t="s">
        <v>131</v>
      </c>
      <c r="O47" s="3">
        <f t="shared" ref="O47:P47" si="23">AVERAGE(O42:O46)</f>
        <v>679816.8</v>
      </c>
      <c r="P47" s="3">
        <f t="shared" si="23"/>
        <v>1252758.4</v>
      </c>
    </row>
    <row r="49">
      <c r="A49" s="2" t="s">
        <v>132</v>
      </c>
      <c r="B49" s="15"/>
      <c r="C49" s="15" t="s">
        <v>100</v>
      </c>
      <c r="E49" s="15"/>
      <c r="F49" s="15" t="s">
        <v>124</v>
      </c>
      <c r="H49" s="15"/>
      <c r="I49" s="15" t="s">
        <v>125</v>
      </c>
      <c r="K49" s="15"/>
      <c r="L49" s="15" t="s">
        <v>126</v>
      </c>
      <c r="N49" s="15"/>
      <c r="O49" s="15" t="s">
        <v>127</v>
      </c>
    </row>
    <row r="50">
      <c r="B50" s="2" t="s">
        <v>128</v>
      </c>
      <c r="C50" s="2" t="s">
        <v>129</v>
      </c>
      <c r="D50" s="2" t="s">
        <v>130</v>
      </c>
      <c r="E50" s="2" t="s">
        <v>128</v>
      </c>
      <c r="F50" s="2" t="s">
        <v>129</v>
      </c>
      <c r="G50" s="2" t="s">
        <v>130</v>
      </c>
      <c r="H50" s="2" t="s">
        <v>128</v>
      </c>
      <c r="I50" s="2" t="s">
        <v>129</v>
      </c>
      <c r="J50" s="2" t="s">
        <v>130</v>
      </c>
      <c r="K50" s="2" t="s">
        <v>128</v>
      </c>
      <c r="L50" s="2" t="s">
        <v>129</v>
      </c>
      <c r="M50" s="2" t="s">
        <v>130</v>
      </c>
      <c r="N50" s="2" t="s">
        <v>128</v>
      </c>
      <c r="O50" s="2" t="s">
        <v>129</v>
      </c>
      <c r="P50" s="2" t="s">
        <v>130</v>
      </c>
    </row>
    <row r="51">
      <c r="B51" s="2">
        <v>1.0</v>
      </c>
      <c r="C51" s="2">
        <v>823546.0</v>
      </c>
      <c r="D51" s="2">
        <v>965189.0</v>
      </c>
      <c r="E51" s="2">
        <v>1.0</v>
      </c>
      <c r="F51" s="2">
        <v>655405.0</v>
      </c>
      <c r="G51" s="2">
        <v>1175536.0</v>
      </c>
      <c r="H51" s="2">
        <v>1.0</v>
      </c>
      <c r="I51" s="2">
        <v>616158.0</v>
      </c>
      <c r="J51" s="2">
        <v>648738.0</v>
      </c>
      <c r="K51" s="2">
        <v>1.0</v>
      </c>
      <c r="L51" s="2">
        <v>2593181.0</v>
      </c>
      <c r="M51" s="2">
        <v>3271351.0</v>
      </c>
      <c r="N51" s="2">
        <v>1.0</v>
      </c>
      <c r="O51" s="2">
        <v>1976847.0</v>
      </c>
      <c r="P51" s="2">
        <v>3196174.0</v>
      </c>
    </row>
    <row r="52">
      <c r="B52" s="2">
        <v>2.0</v>
      </c>
      <c r="C52" s="2">
        <v>882307.0</v>
      </c>
      <c r="D52" s="2">
        <v>964705.0</v>
      </c>
      <c r="E52" s="2">
        <v>2.0</v>
      </c>
      <c r="F52" s="2">
        <v>671859.0</v>
      </c>
      <c r="G52" s="2">
        <v>1216744.0</v>
      </c>
      <c r="H52" s="2">
        <v>2.0</v>
      </c>
      <c r="I52" s="2">
        <v>616092.0</v>
      </c>
      <c r="J52" s="2">
        <v>671992.0</v>
      </c>
      <c r="K52" s="2">
        <v>2.0</v>
      </c>
      <c r="L52" s="2">
        <v>2485723.0</v>
      </c>
      <c r="M52" s="2">
        <v>3265180.0</v>
      </c>
      <c r="N52" s="2">
        <v>2.0</v>
      </c>
      <c r="O52" s="2">
        <v>1952735.0</v>
      </c>
      <c r="P52" s="2">
        <v>3216659.0</v>
      </c>
    </row>
    <row r="53">
      <c r="B53" s="2">
        <v>3.0</v>
      </c>
      <c r="C53" s="2">
        <v>877379.0</v>
      </c>
      <c r="D53" s="2">
        <v>1010300.0</v>
      </c>
      <c r="E53" s="2">
        <v>3.0</v>
      </c>
      <c r="F53" s="2">
        <v>671674.0</v>
      </c>
      <c r="G53" s="2">
        <v>1178730.0</v>
      </c>
      <c r="H53" s="2">
        <v>3.0</v>
      </c>
      <c r="I53" s="2">
        <v>620325.0</v>
      </c>
      <c r="J53" s="3">
        <v>660365.0</v>
      </c>
      <c r="K53" s="2">
        <v>3.0</v>
      </c>
      <c r="L53" s="2">
        <v>2473140.0</v>
      </c>
      <c r="M53" s="2">
        <v>3267257.0</v>
      </c>
      <c r="N53" s="2">
        <v>3.0</v>
      </c>
      <c r="O53" s="2">
        <v>1922354.0</v>
      </c>
      <c r="P53" s="2">
        <v>3028190.0</v>
      </c>
    </row>
    <row r="54">
      <c r="B54" s="2">
        <v>4.0</v>
      </c>
      <c r="C54" s="2">
        <v>802674.0</v>
      </c>
      <c r="D54" s="2">
        <v>1087437.0</v>
      </c>
      <c r="E54" s="2">
        <v>4.0</v>
      </c>
      <c r="F54" s="2">
        <v>659286.0</v>
      </c>
      <c r="G54" s="2">
        <v>1189473.0</v>
      </c>
      <c r="H54" s="2">
        <v>4.0</v>
      </c>
      <c r="I54" s="2">
        <v>636646.0</v>
      </c>
      <c r="J54" s="2">
        <v>678252.0</v>
      </c>
      <c r="K54" s="2">
        <v>4.0</v>
      </c>
      <c r="L54" s="2">
        <v>2474696.0</v>
      </c>
      <c r="M54" s="2">
        <v>3246923.0</v>
      </c>
      <c r="N54" s="2">
        <v>4.0</v>
      </c>
      <c r="O54" s="2">
        <v>1933164.0</v>
      </c>
      <c r="P54" s="2">
        <v>3129160.0</v>
      </c>
    </row>
    <row r="55">
      <c r="B55" s="2">
        <v>5.0</v>
      </c>
      <c r="C55" s="2">
        <v>797428.0</v>
      </c>
      <c r="D55" s="2">
        <v>1038514.0</v>
      </c>
      <c r="E55" s="2">
        <v>5.0</v>
      </c>
      <c r="F55" s="2">
        <v>653927.0</v>
      </c>
      <c r="G55" s="2">
        <v>1176881.0</v>
      </c>
      <c r="H55" s="2">
        <v>5.0</v>
      </c>
      <c r="I55" s="2">
        <v>618183.0</v>
      </c>
      <c r="J55" s="2">
        <v>647938.0</v>
      </c>
      <c r="K55" s="2">
        <v>5.0</v>
      </c>
      <c r="L55" s="2">
        <v>2389500.0</v>
      </c>
      <c r="M55" s="2">
        <v>3206020.0</v>
      </c>
      <c r="N55" s="2">
        <v>5.0</v>
      </c>
      <c r="O55" s="2">
        <v>1916218.0</v>
      </c>
      <c r="P55" s="2">
        <v>3256277.0</v>
      </c>
    </row>
    <row r="56">
      <c r="B56" s="2" t="s">
        <v>100</v>
      </c>
      <c r="C56" s="3">
        <f t="shared" ref="C56:D56" si="24">AVERAGE(C51:C55)</f>
        <v>836666.8</v>
      </c>
      <c r="D56" s="3">
        <f t="shared" si="24"/>
        <v>1013229</v>
      </c>
      <c r="E56" s="2" t="s">
        <v>124</v>
      </c>
      <c r="F56" s="3">
        <f t="shared" ref="F56:G56" si="25">AVERAGE(F51:F55)</f>
        <v>662430.2</v>
      </c>
      <c r="G56" s="3">
        <f t="shared" si="25"/>
        <v>1187472.8</v>
      </c>
      <c r="H56" s="2" t="s">
        <v>125</v>
      </c>
      <c r="I56" s="3">
        <f t="shared" ref="I56:J56" si="26">AVERAGE(I51:I55)</f>
        <v>621480.8</v>
      </c>
      <c r="J56" s="3">
        <f t="shared" si="26"/>
        <v>661457</v>
      </c>
      <c r="K56" s="2" t="s">
        <v>126</v>
      </c>
      <c r="L56" s="3">
        <f t="shared" ref="L56:M56" si="27">AVERAGE(L51:L55)</f>
        <v>2483248</v>
      </c>
      <c r="M56" s="3">
        <f t="shared" si="27"/>
        <v>3251346.2</v>
      </c>
      <c r="N56" s="2" t="s">
        <v>126</v>
      </c>
      <c r="O56" s="3">
        <f t="shared" ref="O56:P56" si="28">AVERAGE(O51:O55)</f>
        <v>1940263.6</v>
      </c>
      <c r="P56" s="3">
        <f t="shared" si="28"/>
        <v>3165292</v>
      </c>
    </row>
    <row r="57">
      <c r="A57" s="2" t="s">
        <v>133</v>
      </c>
      <c r="B57" s="2">
        <v>792410.0</v>
      </c>
      <c r="C57" s="3">
        <f t="shared" ref="C57:P57" si="29">C51/$B$57</f>
        <v>1.03929279</v>
      </c>
      <c r="D57" s="3">
        <f t="shared" si="29"/>
        <v>1.218042428</v>
      </c>
      <c r="E57" s="3">
        <f t="shared" si="29"/>
        <v>0.000001261972969</v>
      </c>
      <c r="F57" s="3">
        <f t="shared" si="29"/>
        <v>0.8271033934</v>
      </c>
      <c r="G57" s="3">
        <f t="shared" si="29"/>
        <v>1.483494656</v>
      </c>
      <c r="H57" s="3">
        <f t="shared" si="29"/>
        <v>0.000001261972969</v>
      </c>
      <c r="I57" s="3">
        <f t="shared" si="29"/>
        <v>0.7775747403</v>
      </c>
      <c r="J57" s="3">
        <f t="shared" si="29"/>
        <v>0.8186898197</v>
      </c>
      <c r="K57" s="3">
        <f t="shared" si="29"/>
        <v>0.000001261972969</v>
      </c>
      <c r="L57" s="3">
        <f t="shared" si="29"/>
        <v>3.272524325</v>
      </c>
      <c r="M57" s="3">
        <f t="shared" si="29"/>
        <v>4.128356533</v>
      </c>
      <c r="N57" s="3">
        <f t="shared" si="29"/>
        <v>0.000001261972969</v>
      </c>
      <c r="O57" s="3">
        <f t="shared" si="29"/>
        <v>2.494727477</v>
      </c>
      <c r="P57" s="3">
        <f t="shared" si="29"/>
        <v>4.033485191</v>
      </c>
    </row>
    <row r="61">
      <c r="B61" s="2" t="s">
        <v>33</v>
      </c>
      <c r="E61" s="2" t="s">
        <v>34</v>
      </c>
      <c r="F61" s="2">
        <v>1.0</v>
      </c>
      <c r="G61" s="2">
        <v>1713800.0</v>
      </c>
      <c r="H61" s="2">
        <v>398826.0</v>
      </c>
    </row>
    <row r="62">
      <c r="F62" s="2">
        <v>534214.0</v>
      </c>
      <c r="J62" s="2">
        <v>4000000.0</v>
      </c>
      <c r="K62" s="3">
        <f>LOG(J62)</f>
        <v>6.602059991</v>
      </c>
      <c r="L62" s="3">
        <f>K62*100000</f>
        <v>660205.9991</v>
      </c>
      <c r="M62" s="3">
        <f>L62*3</f>
        <v>1980617.997</v>
      </c>
    </row>
    <row r="64">
      <c r="C64" s="2" t="s">
        <v>36</v>
      </c>
      <c r="I64" s="2" t="s">
        <v>2</v>
      </c>
      <c r="J64" s="2" t="s">
        <v>3</v>
      </c>
    </row>
    <row r="65">
      <c r="D65" s="2" t="s">
        <v>4</v>
      </c>
      <c r="E65" s="2" t="s">
        <v>5</v>
      </c>
      <c r="I65" s="3">
        <f t="shared" ref="I65:J65" si="30">(I67+I70+I73+I76)/4</f>
        <v>57.6889964</v>
      </c>
      <c r="J65" s="3">
        <f t="shared" si="30"/>
        <v>0</v>
      </c>
    </row>
    <row r="66">
      <c r="F66" s="2" t="s">
        <v>7</v>
      </c>
      <c r="G66" s="2" t="s">
        <v>8</v>
      </c>
      <c r="H66" s="2" t="s">
        <v>21</v>
      </c>
      <c r="I66" s="3">
        <f t="shared" ref="I66:J66" si="31">(I68+I71+I74+I77)/4</f>
        <v>63.15443776</v>
      </c>
      <c r="J66" s="3">
        <f t="shared" si="31"/>
        <v>0</v>
      </c>
      <c r="K66" s="2">
        <v>4096.0</v>
      </c>
      <c r="L66" s="2">
        <v>4096.0</v>
      </c>
    </row>
    <row r="67">
      <c r="B67" s="2" t="s">
        <v>11</v>
      </c>
      <c r="C67" s="2" t="s">
        <v>12</v>
      </c>
      <c r="D67" s="2" t="s">
        <v>34</v>
      </c>
      <c r="E67" s="2">
        <v>1.0</v>
      </c>
      <c r="F67" s="14">
        <v>398155.2</v>
      </c>
      <c r="H67" s="3">
        <f t="shared" ref="H67:H68" si="32">F67+G67</f>
        <v>398155.2</v>
      </c>
      <c r="I67" s="3">
        <f t="shared" ref="I67:I68" si="33">100-ABS($N$76-H67)/H67*100</f>
        <v>94.03227686</v>
      </c>
      <c r="J67" s="3">
        <f t="shared" ref="J67:J68" si="34">100-ABS($M$497-H67)/H67*100</f>
        <v>0</v>
      </c>
    </row>
    <row r="68">
      <c r="B68" s="2" t="s">
        <v>11</v>
      </c>
      <c r="C68" s="2" t="s">
        <v>14</v>
      </c>
      <c r="D68" s="2" t="s">
        <v>34</v>
      </c>
      <c r="E68" s="2">
        <v>1.0</v>
      </c>
      <c r="F68" s="3">
        <v>464544.8</v>
      </c>
      <c r="H68" s="3">
        <f t="shared" si="32"/>
        <v>464544.8</v>
      </c>
      <c r="I68" s="3">
        <f t="shared" si="33"/>
        <v>90.82353306</v>
      </c>
      <c r="J68" s="3">
        <f t="shared" si="34"/>
        <v>0</v>
      </c>
      <c r="M68" s="3">
        <v>421916.0</v>
      </c>
    </row>
    <row r="69">
      <c r="K69" s="3">
        <f>(I68+I74)/2</f>
        <v>80.30211672</v>
      </c>
    </row>
    <row r="70">
      <c r="B70" s="2" t="s">
        <v>15</v>
      </c>
      <c r="C70" s="2" t="s">
        <v>12</v>
      </c>
      <c r="D70" s="2" t="s">
        <v>13</v>
      </c>
      <c r="E70" s="2">
        <v>1.0</v>
      </c>
      <c r="F70" s="3">
        <v>291866.6</v>
      </c>
      <c r="H70" s="3">
        <f t="shared" ref="H70:H71" si="35">F70+G70</f>
        <v>291866.6</v>
      </c>
      <c r="I70" s="3">
        <f t="shared" ref="I70:I71" si="36">100-ABS($N$76-H70)/H70*100</f>
        <v>55.44217804</v>
      </c>
      <c r="J70" s="3">
        <f t="shared" ref="J70:J71" si="37">100-ABS($M$497-H70)/H70*100</f>
        <v>0</v>
      </c>
    </row>
    <row r="71">
      <c r="B71" s="2" t="s">
        <v>15</v>
      </c>
      <c r="C71" s="2" t="s">
        <v>14</v>
      </c>
      <c r="D71" s="2" t="s">
        <v>13</v>
      </c>
      <c r="E71" s="2">
        <v>1.0</v>
      </c>
      <c r="F71" s="3">
        <v>700157.0</v>
      </c>
      <c r="H71" s="3">
        <f t="shared" si="35"/>
        <v>700157</v>
      </c>
      <c r="I71" s="3">
        <f t="shared" si="36"/>
        <v>60.26019878</v>
      </c>
      <c r="J71" s="3">
        <f t="shared" si="37"/>
        <v>0</v>
      </c>
    </row>
    <row r="72">
      <c r="L72" s="2" t="s">
        <v>16</v>
      </c>
      <c r="M72" s="2" t="s">
        <v>17</v>
      </c>
      <c r="O72" s="3">
        <f>L76*K116</f>
        <v>1707034.407</v>
      </c>
    </row>
    <row r="73">
      <c r="B73" s="2" t="s">
        <v>18</v>
      </c>
      <c r="C73" s="2" t="s">
        <v>12</v>
      </c>
      <c r="D73" s="2" t="s">
        <v>13</v>
      </c>
      <c r="E73" s="2">
        <v>1.0</v>
      </c>
      <c r="F73" s="3">
        <v>261749.8</v>
      </c>
      <c r="H73" s="3">
        <f t="shared" ref="H73:H74" si="38">F73+G73</f>
        <v>261749.8</v>
      </c>
      <c r="I73" s="3">
        <f t="shared" ref="I73:I74" si="39">100-ABS($N$76-H73)/H73*100</f>
        <v>38.80942793</v>
      </c>
      <c r="J73" s="3">
        <f t="shared" ref="J73:J74" si="40">100-ABS($M$497-H73)/H73*100</f>
        <v>0</v>
      </c>
      <c r="L73" s="2">
        <v>1.0E8</v>
      </c>
      <c r="M73" s="2">
        <v>4.0</v>
      </c>
    </row>
    <row r="74">
      <c r="B74" s="2" t="s">
        <v>18</v>
      </c>
      <c r="C74" s="2" t="s">
        <v>14</v>
      </c>
      <c r="D74" s="2" t="s">
        <v>13</v>
      </c>
      <c r="E74" s="2">
        <v>1.0</v>
      </c>
      <c r="F74" s="3">
        <v>324004.2</v>
      </c>
      <c r="H74" s="3">
        <f t="shared" si="38"/>
        <v>324004.2</v>
      </c>
      <c r="I74" s="3">
        <f t="shared" si="39"/>
        <v>69.78070037</v>
      </c>
      <c r="J74" s="3">
        <f t="shared" si="40"/>
        <v>0</v>
      </c>
    </row>
    <row r="75">
      <c r="L75" s="2" t="s">
        <v>19</v>
      </c>
      <c r="M75" s="2" t="s">
        <v>20</v>
      </c>
      <c r="N75" s="2" t="s">
        <v>21</v>
      </c>
    </row>
    <row r="76">
      <c r="B76" s="2" t="s">
        <v>22</v>
      </c>
      <c r="C76" s="2" t="s">
        <v>12</v>
      </c>
      <c r="D76" s="2" t="s">
        <v>13</v>
      </c>
      <c r="E76" s="2">
        <v>1.0</v>
      </c>
      <c r="F76" s="3">
        <v>993395.6</v>
      </c>
      <c r="H76" s="3">
        <f t="shared" ref="H76:H77" si="41">F76+G76</f>
        <v>993395.6</v>
      </c>
      <c r="I76" s="3">
        <f t="shared" ref="I76:I77" si="42">100-ABS($N$76-H76)/H76*100</f>
        <v>42.47210276</v>
      </c>
      <c r="J76" s="3">
        <f t="shared" ref="J76:J77" si="43">100-ABS($M$497-H76)/H76*100</f>
        <v>0</v>
      </c>
      <c r="K76" s="2" t="s">
        <v>23</v>
      </c>
      <c r="L76" s="3">
        <v>421916.0</v>
      </c>
      <c r="N76" s="3">
        <f t="shared" ref="N76:N77" si="44">L76+M76</f>
        <v>421916</v>
      </c>
      <c r="Q76" s="3">
        <f>N76*L57</f>
        <v>1380730.373</v>
      </c>
    </row>
    <row r="77">
      <c r="B77" s="2" t="s">
        <v>22</v>
      </c>
      <c r="C77" s="2" t="s">
        <v>14</v>
      </c>
      <c r="D77" s="2" t="s">
        <v>13</v>
      </c>
      <c r="E77" s="2">
        <v>1.0</v>
      </c>
      <c r="F77" s="3">
        <v>1328730.4</v>
      </c>
      <c r="H77" s="3">
        <f t="shared" si="41"/>
        <v>1328730.4</v>
      </c>
      <c r="I77" s="3">
        <f t="shared" si="42"/>
        <v>31.75331881</v>
      </c>
      <c r="J77" s="3">
        <f t="shared" si="43"/>
        <v>0</v>
      </c>
      <c r="K77" s="2" t="s">
        <v>3</v>
      </c>
      <c r="L77" s="2">
        <v>0.0</v>
      </c>
      <c r="N77" s="3">
        <f t="shared" si="44"/>
        <v>0</v>
      </c>
      <c r="Q77" s="3">
        <f>N76*M57</f>
        <v>1741819.675</v>
      </c>
    </row>
    <row r="79">
      <c r="B79" s="2" t="s">
        <v>37</v>
      </c>
      <c r="C79" s="2" t="s">
        <v>12</v>
      </c>
      <c r="D79" s="2" t="s">
        <v>13</v>
      </c>
      <c r="E79" s="2">
        <v>1.0</v>
      </c>
      <c r="F79" s="3">
        <v>679816.8</v>
      </c>
      <c r="H79" s="3">
        <f>F79+G79</f>
        <v>679816.8</v>
      </c>
      <c r="I79" s="3">
        <f t="shared" ref="I79:I80" si="45">100-ABS($N$76-H79)/H79*100</f>
        <v>62.06319114</v>
      </c>
      <c r="J79" s="3">
        <f t="shared" ref="J79:J80" si="46">100-ABS($M$497-H79)/H79*100</f>
        <v>0</v>
      </c>
      <c r="L79" s="3">
        <v>588570.2640307106</v>
      </c>
    </row>
    <row r="80">
      <c r="B80" s="2" t="s">
        <v>37</v>
      </c>
      <c r="C80" s="2" t="s">
        <v>14</v>
      </c>
      <c r="D80" s="2" t="s">
        <v>13</v>
      </c>
      <c r="E80" s="2">
        <v>1.0</v>
      </c>
      <c r="F80" s="2">
        <v>1428577.0</v>
      </c>
      <c r="H80" s="3">
        <v>1252758.4</v>
      </c>
      <c r="I80" s="3">
        <f t="shared" si="45"/>
        <v>33.67895997</v>
      </c>
      <c r="J80" s="3">
        <f t="shared" si="46"/>
        <v>0</v>
      </c>
      <c r="L80" s="3">
        <v>529713.2376276394</v>
      </c>
      <c r="N80" s="3">
        <v>588570.2640307106</v>
      </c>
    </row>
    <row r="82">
      <c r="E82" s="3" t="str">
        <f>"map=["&amp;I67&amp;", "&amp;I68&amp;", "&amp;I70&amp;", "&amp;I71&amp;", "&amp;I73&amp;", "&amp;I74&amp;", "&amp;I76&amp;", "&amp;I77&amp;"]"</f>
        <v>map=[94.0322768608824, 90.8235330585984, 55.4421780361302, 60.260198783987, 38.8094279346154, 69.7807003736371, 42.472102755438, 31.7533188071862]</v>
      </c>
    </row>
    <row r="83">
      <c r="K83" s="8">
        <v>768604.0</v>
      </c>
      <c r="L83" s="3">
        <f>log(K83)</f>
        <v>5.88570264</v>
      </c>
      <c r="M83" s="3">
        <f>L83*100000</f>
        <v>588570.264</v>
      </c>
    </row>
    <row r="84">
      <c r="O84" s="3">
        <f>M83*N85</f>
        <v>421916</v>
      </c>
    </row>
    <row r="85">
      <c r="L85" s="2" t="s">
        <v>100</v>
      </c>
      <c r="M85" s="2">
        <v>421916.0</v>
      </c>
      <c r="N85" s="3">
        <f>M85/M83</f>
        <v>0.7168489912</v>
      </c>
    </row>
    <row r="87">
      <c r="A87" s="2" t="s">
        <v>134</v>
      </c>
    </row>
    <row r="88">
      <c r="C88" s="2" t="s">
        <v>36</v>
      </c>
      <c r="I88" s="2" t="s">
        <v>2</v>
      </c>
      <c r="J88" s="2" t="s">
        <v>3</v>
      </c>
    </row>
    <row r="89">
      <c r="D89" s="2" t="s">
        <v>4</v>
      </c>
      <c r="E89" s="2" t="s">
        <v>5</v>
      </c>
      <c r="I89" s="3">
        <f t="shared" ref="I89:I90" si="47">(I91+I94+I97)/3</f>
        <v>82.52838233</v>
      </c>
      <c r="J89" s="3">
        <f t="shared" ref="J89:J90" si="48">(J91+J94+J97+J100)/4</f>
        <v>0</v>
      </c>
    </row>
    <row r="90">
      <c r="F90" s="2" t="s">
        <v>7</v>
      </c>
      <c r="G90" s="2" t="s">
        <v>8</v>
      </c>
      <c r="H90" s="2" t="s">
        <v>21</v>
      </c>
      <c r="I90" s="3">
        <f t="shared" si="47"/>
        <v>75.04651343</v>
      </c>
      <c r="J90" s="3">
        <f t="shared" si="48"/>
        <v>0</v>
      </c>
      <c r="K90" s="2">
        <v>4096.0</v>
      </c>
      <c r="L90" s="2">
        <v>4096.0</v>
      </c>
    </row>
    <row r="91">
      <c r="B91" s="2" t="s">
        <v>11</v>
      </c>
      <c r="C91" s="2" t="s">
        <v>12</v>
      </c>
      <c r="D91" s="2" t="s">
        <v>34</v>
      </c>
      <c r="E91" s="2">
        <v>1.0</v>
      </c>
      <c r="F91" s="3">
        <v>836666.8</v>
      </c>
      <c r="H91" s="3">
        <f t="shared" ref="H91:H92" si="49">F91+G91</f>
        <v>836666.8</v>
      </c>
      <c r="I91" s="3">
        <f t="shared" ref="I91:I92" si="50">100-ABS($N$100-H91)/H91*100</f>
        <v>94.71034347</v>
      </c>
      <c r="J91" s="3">
        <f t="shared" ref="J91:J92" si="51">100-ABS($M$497-H91)/H91*100</f>
        <v>0</v>
      </c>
    </row>
    <row r="92">
      <c r="B92" s="2" t="s">
        <v>11</v>
      </c>
      <c r="C92" s="2" t="s">
        <v>14</v>
      </c>
      <c r="D92" s="2" t="s">
        <v>34</v>
      </c>
      <c r="E92" s="2">
        <v>1.0</v>
      </c>
      <c r="F92" s="3">
        <v>1013229.0</v>
      </c>
      <c r="H92" s="3">
        <f t="shared" si="49"/>
        <v>1013229</v>
      </c>
      <c r="I92" s="3">
        <f t="shared" si="50"/>
        <v>78.20640744</v>
      </c>
      <c r="J92" s="3">
        <f t="shared" si="51"/>
        <v>0</v>
      </c>
    </row>
    <row r="93">
      <c r="K93" s="3">
        <f>(I92+I98)/2</f>
        <v>79.20437432</v>
      </c>
    </row>
    <row r="94">
      <c r="B94" s="2" t="s">
        <v>15</v>
      </c>
      <c r="C94" s="2" t="s">
        <v>12</v>
      </c>
      <c r="D94" s="2" t="s">
        <v>13</v>
      </c>
      <c r="E94" s="2">
        <v>1.0</v>
      </c>
      <c r="F94" s="3">
        <v>662430.2</v>
      </c>
      <c r="H94" s="3">
        <f t="shared" ref="H94:H95" si="52">F94+G94</f>
        <v>662430.2</v>
      </c>
      <c r="I94" s="3">
        <f t="shared" ref="I94:I95" si="53">100-ABS($N$100-H94)/H94*100</f>
        <v>80.37834024</v>
      </c>
      <c r="J94" s="3">
        <f t="shared" ref="J94:J95" si="54">100-ABS($M$497-H94)/H94*100</f>
        <v>0</v>
      </c>
    </row>
    <row r="95">
      <c r="B95" s="2" t="s">
        <v>15</v>
      </c>
      <c r="C95" s="2" t="s">
        <v>14</v>
      </c>
      <c r="D95" s="2" t="s">
        <v>13</v>
      </c>
      <c r="E95" s="2">
        <v>1.0</v>
      </c>
      <c r="F95" s="3">
        <v>1187472.8</v>
      </c>
      <c r="H95" s="3">
        <f t="shared" si="52"/>
        <v>1187472.8</v>
      </c>
      <c r="I95" s="3">
        <f t="shared" si="53"/>
        <v>66.73079164</v>
      </c>
      <c r="J95" s="3">
        <f t="shared" si="54"/>
        <v>0</v>
      </c>
    </row>
    <row r="96">
      <c r="L96" s="2" t="s">
        <v>16</v>
      </c>
      <c r="M96" s="2" t="s">
        <v>17</v>
      </c>
    </row>
    <row r="97">
      <c r="B97" s="2" t="s">
        <v>18</v>
      </c>
      <c r="C97" s="2" t="s">
        <v>12</v>
      </c>
      <c r="D97" s="2" t="s">
        <v>13</v>
      </c>
      <c r="E97" s="2">
        <v>1.0</v>
      </c>
      <c r="F97" s="3">
        <v>621480.8</v>
      </c>
      <c r="H97" s="3">
        <f t="shared" ref="H97:H98" si="55">F97+G97</f>
        <v>621480.8</v>
      </c>
      <c r="I97" s="3">
        <f t="shared" ref="I97:I98" si="56">100-ABS($N$100-H97)/H97*100</f>
        <v>72.49646329</v>
      </c>
      <c r="J97" s="3">
        <f t="shared" ref="J97:J98" si="57">100-ABS($M$497-H97)/H97*100</f>
        <v>0</v>
      </c>
      <c r="L97" s="2">
        <v>1.0E8</v>
      </c>
      <c r="M97" s="2">
        <v>4.0</v>
      </c>
    </row>
    <row r="98">
      <c r="B98" s="2" t="s">
        <v>18</v>
      </c>
      <c r="C98" s="2" t="s">
        <v>14</v>
      </c>
      <c r="D98" s="2" t="s">
        <v>13</v>
      </c>
      <c r="E98" s="2">
        <v>1.0</v>
      </c>
      <c r="F98" s="3">
        <v>661457.0</v>
      </c>
      <c r="H98" s="3">
        <f t="shared" si="55"/>
        <v>661457</v>
      </c>
      <c r="I98" s="3">
        <f t="shared" si="56"/>
        <v>80.2023412</v>
      </c>
      <c r="J98" s="3">
        <f t="shared" si="57"/>
        <v>0</v>
      </c>
    </row>
    <row r="99">
      <c r="L99" s="2" t="s">
        <v>19</v>
      </c>
      <c r="M99" s="2" t="s">
        <v>20</v>
      </c>
      <c r="N99" s="2" t="s">
        <v>21</v>
      </c>
    </row>
    <row r="100">
      <c r="B100" s="2" t="s">
        <v>22</v>
      </c>
      <c r="C100" s="2" t="s">
        <v>12</v>
      </c>
      <c r="D100" s="2" t="s">
        <v>13</v>
      </c>
      <c r="E100" s="2">
        <v>1.0</v>
      </c>
      <c r="F100" s="3">
        <v>2483248.0</v>
      </c>
      <c r="H100" s="3">
        <f t="shared" ref="H100:H101" si="58">F100+G100</f>
        <v>2483248</v>
      </c>
      <c r="I100" s="3">
        <f t="shared" ref="I100:I101" si="59">100-ABS($N$100-H100)/H100*100</f>
        <v>31.91022403</v>
      </c>
      <c r="J100" s="3">
        <f t="shared" ref="J100:J101" si="60">100-ABS($M$497-H100)/H100*100</f>
        <v>0</v>
      </c>
      <c r="K100" s="2" t="s">
        <v>23</v>
      </c>
      <c r="L100" s="2">
        <v>792410.0</v>
      </c>
      <c r="N100" s="3">
        <f t="shared" ref="N100:N101" si="61">L100+M100</f>
        <v>792410</v>
      </c>
    </row>
    <row r="101">
      <c r="B101" s="2" t="s">
        <v>22</v>
      </c>
      <c r="C101" s="2" t="s">
        <v>14</v>
      </c>
      <c r="D101" s="2" t="s">
        <v>13</v>
      </c>
      <c r="E101" s="2">
        <v>1.0</v>
      </c>
      <c r="F101" s="3">
        <v>3251346.2</v>
      </c>
      <c r="H101" s="3">
        <f t="shared" si="58"/>
        <v>3251346.2</v>
      </c>
      <c r="I101" s="3">
        <f t="shared" si="59"/>
        <v>24.371751</v>
      </c>
      <c r="J101" s="3">
        <f t="shared" si="60"/>
        <v>0</v>
      </c>
      <c r="K101" s="2" t="s">
        <v>3</v>
      </c>
      <c r="L101" s="2">
        <v>0.0</v>
      </c>
      <c r="N101" s="3">
        <f t="shared" si="61"/>
        <v>0</v>
      </c>
    </row>
    <row r="103">
      <c r="B103" s="2" t="s">
        <v>37</v>
      </c>
      <c r="C103" s="2" t="s">
        <v>12</v>
      </c>
      <c r="D103" s="2" t="s">
        <v>13</v>
      </c>
      <c r="E103" s="2">
        <v>1.0</v>
      </c>
      <c r="F103" s="3">
        <v>1940263.6</v>
      </c>
      <c r="H103" s="3">
        <f>F103+G103</f>
        <v>1940263.6</v>
      </c>
      <c r="I103" s="3">
        <f t="shared" ref="I103:I104" si="62">100-ABS($N$76-H103)/H103*100</f>
        <v>21.74529275</v>
      </c>
      <c r="J103" s="3">
        <f t="shared" ref="J103:J104" si="63">100-ABS($M$497-H103)/H103*100</f>
        <v>0</v>
      </c>
      <c r="L103" s="3">
        <v>588570.2640307106</v>
      </c>
    </row>
    <row r="104">
      <c r="B104" s="2" t="s">
        <v>37</v>
      </c>
      <c r="C104" s="2" t="s">
        <v>14</v>
      </c>
      <c r="D104" s="2" t="s">
        <v>13</v>
      </c>
      <c r="E104" s="2">
        <v>1.0</v>
      </c>
      <c r="F104" s="3">
        <v>3165292.0</v>
      </c>
      <c r="H104" s="3">
        <v>1252758.4</v>
      </c>
      <c r="I104" s="3">
        <f t="shared" si="62"/>
        <v>33.67895997</v>
      </c>
      <c r="J104" s="3">
        <f t="shared" si="63"/>
        <v>0</v>
      </c>
      <c r="L104" s="3">
        <v>529713.2376276394</v>
      </c>
    </row>
    <row r="106">
      <c r="E106" s="3" t="str">
        <f>"map=["&amp;I91&amp;", "&amp;I92&amp;", "&amp;I94&amp;", "&amp;I95&amp;", "&amp;I97&amp;", "&amp;I98&amp;", "&amp;I100&amp;", "&amp;I101&amp;"]"</f>
        <v>map=[94.7103434724552, 78.2064074360288, 80.378340238715, 66.7307916442381, 72.4964632857524, 80.2023411952704, 31.9102240291747, 24.3717509996321]</v>
      </c>
    </row>
    <row r="108">
      <c r="I108" s="2">
        <v>4000000.0</v>
      </c>
      <c r="J108" s="3">
        <f>log(I108)</f>
        <v>6.602059991</v>
      </c>
      <c r="K108" s="3">
        <f>J108*100000</f>
        <v>660205.9991</v>
      </c>
    </row>
    <row r="110">
      <c r="J110" s="2" t="s">
        <v>100</v>
      </c>
      <c r="K110" s="2">
        <v>797428.0</v>
      </c>
      <c r="L110" s="3">
        <f>K110/K108</f>
        <v>1.207847249</v>
      </c>
    </row>
    <row r="113">
      <c r="A113" s="13" t="s">
        <v>100</v>
      </c>
      <c r="B113" s="3">
        <v>836666.8</v>
      </c>
      <c r="C113" s="3">
        <v>1013229.0</v>
      </c>
      <c r="D113" s="13" t="s">
        <v>124</v>
      </c>
      <c r="E113" s="3">
        <v>662430.2</v>
      </c>
      <c r="F113" s="3">
        <v>1187472.8</v>
      </c>
      <c r="G113" s="13" t="s">
        <v>125</v>
      </c>
      <c r="H113" s="3">
        <v>621480.8</v>
      </c>
      <c r="I113" s="3">
        <v>661457.0</v>
      </c>
      <c r="J113" s="13" t="s">
        <v>126</v>
      </c>
      <c r="K113" s="3">
        <v>2483248.0</v>
      </c>
      <c r="L113" s="3">
        <v>3251346.2</v>
      </c>
      <c r="M113" s="13" t="s">
        <v>126</v>
      </c>
      <c r="N113" s="3">
        <v>1940263.6</v>
      </c>
      <c r="O113" s="3">
        <v>3165292.0</v>
      </c>
    </row>
    <row r="115">
      <c r="I115" s="2" t="s">
        <v>126</v>
      </c>
      <c r="J115" s="2">
        <v>2389500.0</v>
      </c>
      <c r="K115" s="2">
        <v>3206020.0</v>
      </c>
      <c r="N115" s="3">
        <f>J116*L100</f>
        <v>2389500</v>
      </c>
    </row>
    <row r="116">
      <c r="J116" s="3">
        <f>J115/L100</f>
        <v>3.015484408</v>
      </c>
      <c r="K116" s="3">
        <f>K115/L100</f>
        <v>4.045910577</v>
      </c>
    </row>
    <row r="118">
      <c r="A118" s="16" t="s">
        <v>135</v>
      </c>
    </row>
    <row r="121">
      <c r="A121" s="2" t="s">
        <v>134</v>
      </c>
    </row>
    <row r="122">
      <c r="C122" s="2" t="s">
        <v>36</v>
      </c>
      <c r="I122" s="2" t="s">
        <v>2</v>
      </c>
      <c r="J122" s="2" t="s">
        <v>3</v>
      </c>
      <c r="M122" s="2" t="s">
        <v>133</v>
      </c>
    </row>
    <row r="123">
      <c r="D123" s="2" t="s">
        <v>4</v>
      </c>
      <c r="E123" s="2" t="s">
        <v>5</v>
      </c>
      <c r="I123" s="3">
        <f t="shared" ref="I123:J123" si="64">(I125+I128+I131+I134)/4</f>
        <v>96.65782013</v>
      </c>
      <c r="J123" s="3">
        <f t="shared" si="64"/>
        <v>0</v>
      </c>
    </row>
    <row r="124">
      <c r="F124" s="2" t="s">
        <v>7</v>
      </c>
      <c r="G124" s="2" t="s">
        <v>136</v>
      </c>
      <c r="H124" s="2" t="s">
        <v>137</v>
      </c>
      <c r="I124" s="3">
        <f t="shared" ref="I124:J124" si="65">(I126+I129+I132+I135)/4</f>
        <v>97.58787106</v>
      </c>
      <c r="J124" s="3">
        <f t="shared" si="65"/>
        <v>0</v>
      </c>
    </row>
    <row r="125">
      <c r="B125" s="2" t="s">
        <v>11</v>
      </c>
      <c r="C125" s="2" t="s">
        <v>12</v>
      </c>
      <c r="D125" s="2" t="s">
        <v>34</v>
      </c>
      <c r="E125" s="2">
        <v>1.0</v>
      </c>
      <c r="F125" s="3">
        <v>836666.8</v>
      </c>
      <c r="G125" s="2">
        <v>1.0</v>
      </c>
      <c r="H125" s="2">
        <v>792410.0</v>
      </c>
      <c r="I125" s="3">
        <f t="shared" ref="I125:I126" si="66">100-ABS(H125-F125)/F125*100</f>
        <v>94.71034347</v>
      </c>
      <c r="J125" s="3">
        <f t="shared" ref="J125:J126" si="67">100-ABS($M$497-H125)/H125*100</f>
        <v>0</v>
      </c>
    </row>
    <row r="126">
      <c r="B126" s="2" t="s">
        <v>11</v>
      </c>
      <c r="C126" s="2" t="s">
        <v>14</v>
      </c>
      <c r="D126" s="2" t="s">
        <v>34</v>
      </c>
      <c r="E126" s="2">
        <v>1.0</v>
      </c>
      <c r="F126" s="3">
        <v>1013229.0</v>
      </c>
      <c r="H126" s="2">
        <v>958816.0</v>
      </c>
      <c r="I126" s="3">
        <f t="shared" si="66"/>
        <v>94.62974313</v>
      </c>
      <c r="J126" s="3">
        <f t="shared" si="67"/>
        <v>0</v>
      </c>
    </row>
    <row r="127">
      <c r="M127" s="3">
        <f>L100*0.82</f>
        <v>649776.2</v>
      </c>
    </row>
    <row r="128">
      <c r="B128" s="2" t="s">
        <v>15</v>
      </c>
      <c r="C128" s="2" t="s">
        <v>12</v>
      </c>
      <c r="D128" s="2" t="s">
        <v>13</v>
      </c>
      <c r="E128" s="2">
        <v>1.0</v>
      </c>
      <c r="F128" s="3">
        <v>662430.2</v>
      </c>
      <c r="H128" s="2">
        <v>649776.0</v>
      </c>
      <c r="I128" s="3">
        <f t="shared" ref="I128:I129" si="68">100-ABS(H128-F128)/F128*100</f>
        <v>98.08973081</v>
      </c>
      <c r="J128" s="3">
        <f t="shared" ref="J128:J129" si="69">100-ABS($M$497-H128)/H128*100</f>
        <v>0</v>
      </c>
      <c r="M128" s="3">
        <f>L100*1.48</f>
        <v>1172766.8</v>
      </c>
    </row>
    <row r="129">
      <c r="B129" s="2" t="s">
        <v>15</v>
      </c>
      <c r="C129" s="2" t="s">
        <v>14</v>
      </c>
      <c r="D129" s="2" t="s">
        <v>13</v>
      </c>
      <c r="E129" s="2">
        <v>1.0</v>
      </c>
      <c r="F129" s="3">
        <v>1187472.8</v>
      </c>
      <c r="H129" s="2">
        <v>1172766.0</v>
      </c>
      <c r="I129" s="3">
        <f t="shared" si="68"/>
        <v>98.76150426</v>
      </c>
      <c r="J129" s="3">
        <f t="shared" si="69"/>
        <v>0</v>
      </c>
    </row>
    <row r="131">
      <c r="B131" s="2" t="s">
        <v>18</v>
      </c>
      <c r="C131" s="2" t="s">
        <v>12</v>
      </c>
      <c r="D131" s="2" t="s">
        <v>13</v>
      </c>
      <c r="E131" s="2">
        <v>1.0</v>
      </c>
      <c r="F131" s="3">
        <v>621480.8</v>
      </c>
      <c r="H131" s="2">
        <v>610155.0</v>
      </c>
      <c r="I131" s="3">
        <f t="shared" ref="I131:I132" si="70">100-ABS(H131-F131)/F131*100</f>
        <v>98.17761064</v>
      </c>
      <c r="J131" s="3">
        <f t="shared" ref="J131:J132" si="71">100-ABS($M$497-H131)/H131*100</f>
        <v>0</v>
      </c>
    </row>
    <row r="132">
      <c r="B132" s="2" t="s">
        <v>18</v>
      </c>
      <c r="C132" s="2" t="s">
        <v>14</v>
      </c>
      <c r="D132" s="2" t="s">
        <v>13</v>
      </c>
      <c r="E132" s="2">
        <v>1.0</v>
      </c>
      <c r="F132" s="3">
        <v>661457.0</v>
      </c>
      <c r="H132" s="2">
        <v>641852.0</v>
      </c>
      <c r="I132" s="3">
        <f t="shared" si="70"/>
        <v>97.03608851</v>
      </c>
      <c r="J132" s="3">
        <f t="shared" si="71"/>
        <v>0</v>
      </c>
    </row>
    <row r="133">
      <c r="M133" s="3">
        <v>836666.8</v>
      </c>
    </row>
    <row r="134">
      <c r="B134" s="2" t="s">
        <v>22</v>
      </c>
      <c r="C134" s="2" t="s">
        <v>12</v>
      </c>
      <c r="D134" s="2" t="s">
        <v>13</v>
      </c>
      <c r="E134" s="2">
        <v>1.0</v>
      </c>
      <c r="F134" s="3">
        <v>2483248.0</v>
      </c>
      <c r="H134" s="2">
        <v>2591180.0</v>
      </c>
      <c r="I134" s="3">
        <f t="shared" ref="I134:I135" si="72">100-ABS(H134-F134)/F134*100</f>
        <v>95.65359561</v>
      </c>
      <c r="J134" s="3">
        <f t="shared" ref="J134:J135" si="73">100-ABS($M$497-H134)/H134*100</f>
        <v>0</v>
      </c>
      <c r="M134" s="3">
        <v>1013229.0</v>
      </c>
    </row>
    <row r="135">
      <c r="B135" s="2" t="s">
        <v>22</v>
      </c>
      <c r="C135" s="2" t="s">
        <v>14</v>
      </c>
      <c r="D135" s="2" t="s">
        <v>13</v>
      </c>
      <c r="E135" s="2">
        <v>1.0</v>
      </c>
      <c r="F135" s="3">
        <v>3251346.2</v>
      </c>
      <c r="H135" s="2">
        <v>3248880.0</v>
      </c>
      <c r="I135" s="3">
        <f t="shared" si="72"/>
        <v>99.92414834</v>
      </c>
      <c r="J135" s="3">
        <f t="shared" si="73"/>
        <v>0</v>
      </c>
    </row>
    <row r="137">
      <c r="B137" s="2" t="s">
        <v>37</v>
      </c>
      <c r="C137" s="2" t="s">
        <v>12</v>
      </c>
      <c r="D137" s="2" t="s">
        <v>13</v>
      </c>
      <c r="E137" s="2">
        <v>1.0</v>
      </c>
      <c r="F137" s="3">
        <v>1940263.6</v>
      </c>
      <c r="H137" s="3">
        <v>649776.2</v>
      </c>
      <c r="I137" s="3">
        <f t="shared" ref="I137:I138" si="74">100-ABS(H137-F137)/F137*100</f>
        <v>33.48906819</v>
      </c>
      <c r="J137" s="3">
        <f t="shared" ref="J137:J138" si="75">100-ABS($M$497-H137)/H137*100</f>
        <v>0</v>
      </c>
      <c r="L137" s="3">
        <v>649776.2</v>
      </c>
    </row>
    <row r="138">
      <c r="B138" s="2" t="s">
        <v>37</v>
      </c>
      <c r="C138" s="2" t="s">
        <v>14</v>
      </c>
      <c r="D138" s="2" t="s">
        <v>13</v>
      </c>
      <c r="E138" s="2">
        <v>1.0</v>
      </c>
      <c r="F138" s="3">
        <v>3165292.0</v>
      </c>
      <c r="H138" s="3">
        <v>1172766.8</v>
      </c>
      <c r="I138" s="3">
        <f t="shared" si="74"/>
        <v>37.05082501</v>
      </c>
      <c r="J138" s="3">
        <f t="shared" si="75"/>
        <v>0</v>
      </c>
      <c r="L138" s="3">
        <v>1172766.8</v>
      </c>
    </row>
    <row r="140">
      <c r="E140" s="3" t="str">
        <f>"map=["&amp;I125&amp;", "&amp;I126&amp;", "&amp;I128&amp;", "&amp;I129&amp;", "&amp;I131&amp;", "&amp;I132&amp;", "&amp;I134&amp;", "&amp;I135&amp;"]"</f>
        <v>map=[94.7103434724552, 94.6297431281576, 98.0897308123935, 98.7615042635082, 98.177610635759, 97.0360885136902, 95.6535956134869, 99.9241483420006]</v>
      </c>
    </row>
    <row r="142">
      <c r="I142" s="2">
        <v>4000000.0</v>
      </c>
      <c r="J142" s="3">
        <f>log(I142)</f>
        <v>6.602059991</v>
      </c>
      <c r="K142" s="3">
        <f>J142*100000</f>
        <v>660205.9991</v>
      </c>
    </row>
    <row r="144">
      <c r="J144" s="2" t="s">
        <v>100</v>
      </c>
      <c r="K144" s="2">
        <v>797428.0</v>
      </c>
      <c r="L144" s="3">
        <f>K144/K142</f>
        <v>1.207847249</v>
      </c>
    </row>
    <row r="149">
      <c r="I149" s="2" t="s">
        <v>126</v>
      </c>
      <c r="J149" s="2">
        <v>2389500.0</v>
      </c>
      <c r="K149" s="2">
        <v>3206020.0</v>
      </c>
      <c r="N149" s="3" t="str">
        <f>J150*L134</f>
        <v>#DIV/0!</v>
      </c>
    </row>
    <row r="150">
      <c r="J150" s="3" t="str">
        <f>J149/L134</f>
        <v>#DIV/0!</v>
      </c>
      <c r="K150" s="3" t="str">
        <f>K149/L134</f>
        <v>#DIV/0!</v>
      </c>
    </row>
  </sheetData>
  <mergeCells count="10">
    <mergeCell ref="I49:J49"/>
    <mergeCell ref="L49:M49"/>
    <mergeCell ref="C40:D40"/>
    <mergeCell ref="F40:G40"/>
    <mergeCell ref="I40:J40"/>
    <mergeCell ref="L40:M40"/>
    <mergeCell ref="O40:P40"/>
    <mergeCell ref="C49:D49"/>
    <mergeCell ref="F49:G49"/>
    <mergeCell ref="O49:P4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6.14"/>
  </cols>
  <sheetData>
    <row r="2">
      <c r="B2" s="16" t="s">
        <v>138</v>
      </c>
      <c r="C2" s="2" t="s">
        <v>139</v>
      </c>
      <c r="F2" s="2" t="s">
        <v>140</v>
      </c>
    </row>
    <row r="3">
      <c r="A3" s="2">
        <v>1.0</v>
      </c>
      <c r="B3" s="2" t="s">
        <v>141</v>
      </c>
      <c r="C3" s="2" t="s">
        <v>142</v>
      </c>
      <c r="D3" s="16" t="s">
        <v>143</v>
      </c>
    </row>
    <row r="4">
      <c r="A4" s="2">
        <v>2.0</v>
      </c>
      <c r="B4" s="2" t="s">
        <v>144</v>
      </c>
      <c r="C4" s="2" t="s">
        <v>145</v>
      </c>
      <c r="D4" s="2" t="s">
        <v>146</v>
      </c>
      <c r="F4" s="2" t="s">
        <v>147</v>
      </c>
    </row>
    <row r="5">
      <c r="A5" s="2">
        <v>3.0</v>
      </c>
      <c r="B5" s="2" t="s">
        <v>148</v>
      </c>
      <c r="C5" s="2" t="s">
        <v>149</v>
      </c>
      <c r="D5" s="2" t="s">
        <v>150</v>
      </c>
      <c r="F5" s="2" t="s">
        <v>151</v>
      </c>
    </row>
    <row r="6">
      <c r="A6" s="2">
        <v>4.0</v>
      </c>
      <c r="B6" s="2" t="s">
        <v>152</v>
      </c>
      <c r="C6" s="2" t="s">
        <v>145</v>
      </c>
      <c r="D6" s="2" t="s">
        <v>146</v>
      </c>
      <c r="F6" s="2" t="s">
        <v>153</v>
      </c>
    </row>
    <row r="7">
      <c r="A7" s="2">
        <v>5.0</v>
      </c>
      <c r="B7" s="2" t="s">
        <v>154</v>
      </c>
      <c r="C7" s="2" t="s">
        <v>145</v>
      </c>
      <c r="D7" s="2" t="s">
        <v>155</v>
      </c>
      <c r="F7" s="2" t="s">
        <v>156</v>
      </c>
    </row>
    <row r="12">
      <c r="B12" s="2" t="s">
        <v>152</v>
      </c>
    </row>
    <row r="13">
      <c r="B13" s="2" t="s">
        <v>157</v>
      </c>
      <c r="F13" s="2" t="s">
        <v>158</v>
      </c>
    </row>
    <row r="14">
      <c r="B14" s="2" t="s">
        <v>19</v>
      </c>
      <c r="C14" s="16">
        <v>2.0497688E7</v>
      </c>
      <c r="D14" s="3">
        <f t="shared" ref="D14:D15" si="1">C14*64</f>
        <v>1311852032</v>
      </c>
      <c r="E14" s="3">
        <f t="shared" ref="E14:E15" si="2">D14/8</f>
        <v>163981504</v>
      </c>
      <c r="F14" s="3">
        <f>E14/6</f>
        <v>27330250.67</v>
      </c>
    </row>
    <row r="15">
      <c r="B15" s="2" t="s">
        <v>8</v>
      </c>
      <c r="C15" s="16">
        <v>1.0270797E7</v>
      </c>
      <c r="D15" s="3">
        <f t="shared" si="1"/>
        <v>657331008</v>
      </c>
      <c r="E15" s="3">
        <f t="shared" si="2"/>
        <v>82166376</v>
      </c>
      <c r="F15" s="3">
        <f>E15/3</f>
        <v>27388792</v>
      </c>
    </row>
    <row r="17">
      <c r="B17" s="2" t="s">
        <v>159</v>
      </c>
    </row>
    <row r="19">
      <c r="B19" s="2" t="s">
        <v>159</v>
      </c>
      <c r="C19" s="2" t="s">
        <v>160</v>
      </c>
      <c r="D19" s="2" t="s">
        <v>161</v>
      </c>
      <c r="E19" s="2" t="s">
        <v>162</v>
      </c>
      <c r="F19" s="16" t="s">
        <v>163</v>
      </c>
      <c r="H19" s="2" t="s">
        <v>51</v>
      </c>
    </row>
    <row r="20">
      <c r="B20" s="2" t="s">
        <v>19</v>
      </c>
      <c r="C20" s="2">
        <v>300.0</v>
      </c>
      <c r="D20" s="2">
        <f t="shared" ref="D20:D21" si="3">C20*C20*C20</f>
        <v>27000000</v>
      </c>
      <c r="E20" s="3">
        <f t="shared" ref="E20:E21" si="4">D20*8/64</f>
        <v>3375000</v>
      </c>
      <c r="F20" s="17">
        <f>E20*6</f>
        <v>20250000</v>
      </c>
      <c r="H20" s="3">
        <f t="shared" ref="H20:H21" si="5">100-(C14-F20)/C14*100</f>
        <v>98.79162957</v>
      </c>
    </row>
    <row r="21">
      <c r="B21" s="2" t="s">
        <v>8</v>
      </c>
      <c r="C21" s="2">
        <v>300.0</v>
      </c>
      <c r="D21" s="2">
        <f t="shared" si="3"/>
        <v>27000000</v>
      </c>
      <c r="E21" s="3">
        <f t="shared" si="4"/>
        <v>3375000</v>
      </c>
      <c r="F21" s="17">
        <f>E21*3</f>
        <v>10125000</v>
      </c>
      <c r="H21" s="3">
        <f t="shared" si="5"/>
        <v>98.58047043</v>
      </c>
    </row>
    <row r="24">
      <c r="B24" s="2" t="s">
        <v>148</v>
      </c>
    </row>
    <row r="26">
      <c r="B26" s="2" t="s">
        <v>157</v>
      </c>
      <c r="F26" s="2" t="s">
        <v>158</v>
      </c>
      <c r="G26" s="2" t="s">
        <v>21</v>
      </c>
      <c r="H26" s="2" t="s">
        <v>51</v>
      </c>
    </row>
    <row r="27">
      <c r="B27" s="2" t="s">
        <v>19</v>
      </c>
      <c r="C27" s="16">
        <v>134371.0</v>
      </c>
      <c r="D27" s="3">
        <f t="shared" ref="D27:D28" si="6">C27*64</f>
        <v>8599744</v>
      </c>
      <c r="E27" s="3">
        <f t="shared" ref="E27:E28" si="7">D27/8</f>
        <v>1074968</v>
      </c>
      <c r="F27" s="3">
        <f>E27/12</f>
        <v>89580.66667</v>
      </c>
    </row>
    <row r="28">
      <c r="B28" s="2" t="s">
        <v>8</v>
      </c>
      <c r="C28" s="16">
        <v>55783.0</v>
      </c>
      <c r="D28" s="3">
        <f t="shared" si="6"/>
        <v>3570112</v>
      </c>
      <c r="E28" s="3">
        <f t="shared" si="7"/>
        <v>446264</v>
      </c>
      <c r="F28" s="3">
        <f>E28/6</f>
        <v>74377.33333</v>
      </c>
    </row>
    <row r="31">
      <c r="B31" s="2" t="s">
        <v>159</v>
      </c>
      <c r="C31" s="2" t="s">
        <v>160</v>
      </c>
      <c r="D31" s="2" t="s">
        <v>161</v>
      </c>
      <c r="E31" s="2" t="s">
        <v>162</v>
      </c>
      <c r="F31" s="16" t="s">
        <v>163</v>
      </c>
      <c r="G31" s="2" t="s">
        <v>21</v>
      </c>
      <c r="H31" s="2" t="s">
        <v>51</v>
      </c>
    </row>
    <row r="32">
      <c r="B32" s="2" t="s">
        <v>19</v>
      </c>
      <c r="C32" s="2">
        <v>300.0</v>
      </c>
      <c r="D32" s="2">
        <f t="shared" ref="D32:D33" si="8">C32*C32+2*C32+1</f>
        <v>90601</v>
      </c>
      <c r="E32" s="3">
        <f>D32*4/64</f>
        <v>5662.5625</v>
      </c>
      <c r="F32" s="17">
        <f t="shared" ref="F32:F33" si="9">E32*6</f>
        <v>33975.375</v>
      </c>
      <c r="G32" s="3">
        <f>F32*2</f>
        <v>67950.75</v>
      </c>
    </row>
    <row r="33">
      <c r="B33" s="2" t="s">
        <v>8</v>
      </c>
      <c r="C33" s="2">
        <v>300.0</v>
      </c>
      <c r="D33" s="2">
        <f t="shared" si="8"/>
        <v>90601</v>
      </c>
      <c r="E33" s="3">
        <f>D33*8/64</f>
        <v>11325.125</v>
      </c>
      <c r="F33" s="17">
        <f t="shared" si="9"/>
        <v>67950.75</v>
      </c>
      <c r="G33" s="3">
        <f>F33</f>
        <v>67950.75</v>
      </c>
    </row>
    <row r="36">
      <c r="B36" s="16" t="s">
        <v>141</v>
      </c>
      <c r="C36" s="2" t="s">
        <v>139</v>
      </c>
      <c r="F36" s="2" t="s">
        <v>140</v>
      </c>
    </row>
    <row r="37">
      <c r="A37" s="2">
        <v>1.0</v>
      </c>
      <c r="B37" s="2" t="s">
        <v>164</v>
      </c>
      <c r="C37" s="2" t="s">
        <v>165</v>
      </c>
    </row>
    <row r="38">
      <c r="A38" s="2">
        <v>2.0</v>
      </c>
      <c r="B38" s="2" t="s">
        <v>166</v>
      </c>
      <c r="C38" s="2" t="s">
        <v>167</v>
      </c>
    </row>
    <row r="39">
      <c r="B39" s="2" t="s">
        <v>168</v>
      </c>
    </row>
    <row r="40">
      <c r="B40" s="2" t="s">
        <v>166</v>
      </c>
    </row>
    <row r="41">
      <c r="A41" s="2">
        <v>1.0</v>
      </c>
      <c r="B41" s="2" t="s">
        <v>169</v>
      </c>
      <c r="C41" s="2" t="s">
        <v>170</v>
      </c>
    </row>
    <row r="42">
      <c r="A42" s="2">
        <v>2.0</v>
      </c>
      <c r="B42" s="2" t="s">
        <v>171</v>
      </c>
      <c r="C42" s="2" t="s">
        <v>172</v>
      </c>
    </row>
    <row r="43">
      <c r="A43" s="2">
        <v>3.0</v>
      </c>
      <c r="B43" s="2" t="s">
        <v>173</v>
      </c>
      <c r="C43" s="2" t="s">
        <v>174</v>
      </c>
    </row>
    <row r="44">
      <c r="I44" s="2" t="s">
        <v>175</v>
      </c>
      <c r="K44" s="2" t="s">
        <v>176</v>
      </c>
    </row>
    <row r="45">
      <c r="I45" s="2">
        <v>1.0</v>
      </c>
      <c r="J45" s="2" t="s">
        <v>177</v>
      </c>
      <c r="K45" s="2" t="s">
        <v>178</v>
      </c>
    </row>
    <row r="46">
      <c r="I46" s="2">
        <v>2.0</v>
      </c>
      <c r="J46" s="2" t="s">
        <v>179</v>
      </c>
      <c r="K46" s="2" t="s">
        <v>180</v>
      </c>
    </row>
    <row r="47">
      <c r="I47" s="2">
        <v>3.0</v>
      </c>
      <c r="J47" s="2" t="s">
        <v>181</v>
      </c>
      <c r="K47" s="2" t="s">
        <v>182</v>
      </c>
    </row>
    <row r="51">
      <c r="B51" s="2" t="s">
        <v>183</v>
      </c>
    </row>
    <row r="55">
      <c r="B55" s="2" t="s">
        <v>99</v>
      </c>
    </row>
    <row r="56">
      <c r="C56" s="2" t="s">
        <v>4</v>
      </c>
      <c r="D56" s="2" t="s">
        <v>5</v>
      </c>
      <c r="H56" s="3">
        <f t="shared" ref="H56:I56" si="10">(H58+H61+H64+H67)/4</f>
        <v>95.92129479</v>
      </c>
      <c r="I56" s="3">
        <f t="shared" si="10"/>
        <v>0</v>
      </c>
    </row>
    <row r="57">
      <c r="E57" s="2" t="s">
        <v>7</v>
      </c>
      <c r="F57" s="2" t="s">
        <v>8</v>
      </c>
      <c r="G57" s="2" t="s">
        <v>21</v>
      </c>
      <c r="H57" s="3">
        <f t="shared" ref="H57:I57" si="11">(H59+H62+H65+H68)/4</f>
        <v>94.37650573</v>
      </c>
      <c r="I57" s="3">
        <f t="shared" si="11"/>
        <v>0</v>
      </c>
    </row>
    <row r="58">
      <c r="A58" s="2" t="s">
        <v>11</v>
      </c>
      <c r="B58" s="2" t="s">
        <v>12</v>
      </c>
      <c r="C58" s="2" t="s">
        <v>13</v>
      </c>
      <c r="D58" s="2">
        <v>1.0</v>
      </c>
      <c r="E58" s="2">
        <v>6.5353985E7</v>
      </c>
      <c r="F58" s="2">
        <v>3.0920411E7</v>
      </c>
      <c r="G58" s="3">
        <f t="shared" ref="G58:G59" si="12">E58+F58</f>
        <v>96274396</v>
      </c>
      <c r="H58" s="3">
        <f t="shared" ref="H58:H59" si="13">100-ABS($L$71-G58)/G58*100</f>
        <v>95.88728866</v>
      </c>
      <c r="I58" s="3">
        <f t="shared" ref="I58:I59" si="14">100-ABS(G58-$L$529)/G58*100</f>
        <v>0</v>
      </c>
    </row>
    <row r="59">
      <c r="A59" s="2" t="s">
        <v>11</v>
      </c>
      <c r="B59" s="2" t="s">
        <v>14</v>
      </c>
      <c r="C59" s="2" t="s">
        <v>13</v>
      </c>
      <c r="D59" s="2">
        <v>1.0</v>
      </c>
      <c r="E59" s="2">
        <v>6.5119514E7</v>
      </c>
      <c r="F59" s="2">
        <v>3.0739446E7</v>
      </c>
      <c r="G59" s="3">
        <f t="shared" si="12"/>
        <v>95858960</v>
      </c>
      <c r="H59" s="3">
        <f t="shared" si="13"/>
        <v>96.30284743</v>
      </c>
      <c r="I59" s="3">
        <f t="shared" si="14"/>
        <v>0</v>
      </c>
    </row>
    <row r="61">
      <c r="A61" s="2" t="s">
        <v>15</v>
      </c>
      <c r="B61" s="2" t="s">
        <v>12</v>
      </c>
      <c r="C61" s="2" t="s">
        <v>13</v>
      </c>
      <c r="D61" s="2">
        <v>1.0</v>
      </c>
      <c r="E61" s="2">
        <v>6.4858279E7</v>
      </c>
      <c r="F61" s="2">
        <v>3.0783103E7</v>
      </c>
      <c r="G61" s="3">
        <f t="shared" ref="G61:G62" si="15">E61+F61</f>
        <v>95641382</v>
      </c>
      <c r="H61" s="3">
        <f t="shared" ref="H61:H62" si="16">100-ABS($L$71-G61)/G61*100</f>
        <v>96.52193022</v>
      </c>
      <c r="I61" s="3">
        <f t="shared" ref="I61:I62" si="17">100-ABS(G61-$L$529)/G61*100</f>
        <v>0</v>
      </c>
    </row>
    <row r="62">
      <c r="A62" s="2" t="s">
        <v>15</v>
      </c>
      <c r="B62" s="2" t="s">
        <v>14</v>
      </c>
      <c r="C62" s="2" t="s">
        <v>13</v>
      </c>
      <c r="D62" s="2">
        <v>1.0</v>
      </c>
      <c r="E62" s="2">
        <v>6.5010431E7</v>
      </c>
      <c r="F62" s="2">
        <v>3.075018E7</v>
      </c>
      <c r="G62" s="3">
        <f t="shared" si="15"/>
        <v>95760611</v>
      </c>
      <c r="H62" s="3">
        <f t="shared" si="16"/>
        <v>96.40175333</v>
      </c>
      <c r="I62" s="3">
        <f t="shared" si="17"/>
        <v>0</v>
      </c>
    </row>
    <row r="64">
      <c r="A64" s="2" t="s">
        <v>18</v>
      </c>
      <c r="B64" s="2" t="s">
        <v>12</v>
      </c>
      <c r="C64" s="2" t="s">
        <v>13</v>
      </c>
      <c r="D64" s="2">
        <v>1.0</v>
      </c>
      <c r="E64" s="2">
        <v>6.5294153E7</v>
      </c>
      <c r="F64" s="2">
        <v>3.0623491E7</v>
      </c>
      <c r="G64" s="3">
        <f t="shared" ref="G64:G65" si="18">E64+F64</f>
        <v>95917644</v>
      </c>
      <c r="H64" s="3">
        <f t="shared" ref="H64:H65" si="19">100-ABS($L$71-G64)/G64*100</f>
        <v>96.24392776</v>
      </c>
      <c r="I64" s="3">
        <f t="shared" ref="I64:I65" si="20">100-ABS(G64-$L$529)/G64*100</f>
        <v>0</v>
      </c>
    </row>
    <row r="65">
      <c r="A65" s="2" t="s">
        <v>18</v>
      </c>
      <c r="B65" s="2" t="s">
        <v>14</v>
      </c>
      <c r="C65" s="2" t="s">
        <v>13</v>
      </c>
      <c r="D65" s="2">
        <v>1.0</v>
      </c>
      <c r="E65" s="2">
        <v>6.5716889E7</v>
      </c>
      <c r="F65" s="2">
        <v>3.0698933E7</v>
      </c>
      <c r="G65" s="3">
        <f t="shared" si="18"/>
        <v>96415822</v>
      </c>
      <c r="H65" s="3">
        <f t="shared" si="19"/>
        <v>95.74663793</v>
      </c>
      <c r="I65" s="3">
        <f t="shared" si="20"/>
        <v>0</v>
      </c>
    </row>
    <row r="66">
      <c r="J66" s="2"/>
      <c r="K66" s="2"/>
      <c r="L66" s="2"/>
    </row>
    <row r="67">
      <c r="A67" s="2" t="s">
        <v>22</v>
      </c>
      <c r="B67" s="2" t="s">
        <v>12</v>
      </c>
      <c r="C67" s="2" t="s">
        <v>13</v>
      </c>
      <c r="D67" s="2">
        <v>1.0</v>
      </c>
      <c r="E67" s="2">
        <v>6.6060631E7</v>
      </c>
      <c r="F67" s="2">
        <v>3.1080202E7</v>
      </c>
      <c r="G67" s="3">
        <f t="shared" ref="G67:G68" si="21">E67+F67</f>
        <v>97140833</v>
      </c>
      <c r="H67" s="3">
        <f t="shared" ref="H67:H68" si="22">100-ABS($L$71-G67)/G67*100</f>
        <v>95.03203251</v>
      </c>
      <c r="I67" s="3">
        <f t="shared" ref="I67:I68" si="23">100-ABS(G67-$L$529)/G67*100</f>
        <v>0</v>
      </c>
      <c r="J67" s="2"/>
      <c r="K67" s="2"/>
      <c r="L67" s="2"/>
    </row>
    <row r="68">
      <c r="A68" s="2" t="s">
        <v>22</v>
      </c>
      <c r="B68" s="2" t="s">
        <v>14</v>
      </c>
      <c r="C68" s="2" t="s">
        <v>13</v>
      </c>
      <c r="D68" s="2">
        <v>1.0</v>
      </c>
      <c r="E68" s="2">
        <v>7.2700941E7</v>
      </c>
      <c r="F68" s="2">
        <v>3.0959866E7</v>
      </c>
      <c r="G68" s="3">
        <f t="shared" si="21"/>
        <v>103660807</v>
      </c>
      <c r="H68" s="3">
        <f t="shared" si="22"/>
        <v>89.05478423</v>
      </c>
      <c r="I68" s="3">
        <f t="shared" si="23"/>
        <v>0</v>
      </c>
      <c r="J68" s="2"/>
      <c r="K68" s="2"/>
      <c r="L68" s="2"/>
    </row>
    <row r="69">
      <c r="J69" s="2"/>
      <c r="K69" s="2"/>
      <c r="L69" s="2"/>
    </row>
    <row r="70">
      <c r="A70" s="2" t="s">
        <v>37</v>
      </c>
      <c r="B70" s="2" t="s">
        <v>12</v>
      </c>
      <c r="C70" s="2" t="s">
        <v>13</v>
      </c>
      <c r="D70" s="2">
        <v>1.0</v>
      </c>
      <c r="E70" s="2">
        <v>6.9177153E7</v>
      </c>
      <c r="F70" s="2">
        <v>3.3760159E7</v>
      </c>
      <c r="G70" s="3">
        <f t="shared" ref="G70:G71" si="24">E70+F70</f>
        <v>102937312</v>
      </c>
      <c r="H70" s="3">
        <f t="shared" ref="H70:H71" si="25">100-ABS($L$71-G70)/G70*100</f>
        <v>89.68070586</v>
      </c>
      <c r="J70" s="2" t="s">
        <v>19</v>
      </c>
      <c r="K70" s="2" t="s">
        <v>20</v>
      </c>
      <c r="L70" s="2" t="s">
        <v>21</v>
      </c>
    </row>
    <row r="71">
      <c r="A71" s="2" t="s">
        <v>37</v>
      </c>
      <c r="B71" s="2" t="s">
        <v>14</v>
      </c>
      <c r="C71" s="2" t="s">
        <v>13</v>
      </c>
      <c r="D71" s="2">
        <v>1.0</v>
      </c>
      <c r="E71" s="2">
        <v>8.3347852E7</v>
      </c>
      <c r="F71" s="2">
        <v>3.8607825E7</v>
      </c>
      <c r="G71" s="3">
        <f t="shared" si="24"/>
        <v>121955677</v>
      </c>
      <c r="H71" s="3">
        <f t="shared" si="25"/>
        <v>75.69545779</v>
      </c>
      <c r="I71" s="2" t="s">
        <v>184</v>
      </c>
      <c r="K71" s="2">
        <v>9.2314908E7</v>
      </c>
      <c r="L71" s="3">
        <f t="shared" ref="L71:L72" si="26">J71+K71</f>
        <v>92314908</v>
      </c>
    </row>
    <row r="72">
      <c r="I72" s="2" t="s">
        <v>3</v>
      </c>
      <c r="J72" s="3">
        <f>$J$525*$K$525/64*2 *16/50</f>
        <v>0</v>
      </c>
      <c r="K72" s="3">
        <f>J72/2</f>
        <v>0</v>
      </c>
      <c r="L72" s="3">
        <f t="shared" si="26"/>
        <v>0</v>
      </c>
    </row>
    <row r="73">
      <c r="D73" s="3" t="str">
        <f>"map=["&amp;H58&amp;", "&amp;H59&amp;", "&amp;H61&amp;", "&amp;H62&amp;", "&amp;H64&amp;", "&amp;H65&amp;", "&amp;H67&amp;", "&amp;H68&amp;"]"</f>
        <v>map=[95.8872886618785, 96.3028474333542, 96.5219302247222, 96.4017533263233, 96.2439277595267, 95.7466379325169, 95.0320325130422, 89.0547842252473]</v>
      </c>
    </row>
    <row r="74">
      <c r="D74" s="3" t="str">
        <f>"lit=["&amp;I58&amp;", "&amp;I59&amp;", "&amp;I61&amp;", "&amp;I62&amp;", "&amp;I64&amp;", "&amp;I65&amp;", "&amp;I67&amp;", "&amp;I68&amp;"]"</f>
        <v>lit=[0, 0, 0, 0, 0, 0, 0, 0]</v>
      </c>
    </row>
    <row r="84">
      <c r="D84" s="3" t="str">
        <f>"total=["&amp;L71&amp;", "&amp;L72&amp;", "&amp;G58&amp;", "&amp;G59&amp;", "&amp;G61&amp;", "&amp;G62&amp;", "&amp;G64&amp;", "&amp;G65&amp;"]"</f>
        <v>total=[92314908, 0, 96274396, 95858960, 95641382, 95760611, 95917644, 96415822]</v>
      </c>
    </row>
    <row r="87">
      <c r="A87" s="2" t="s">
        <v>99</v>
      </c>
      <c r="B87" s="2" t="s">
        <v>185</v>
      </c>
    </row>
    <row r="88">
      <c r="C88" s="2" t="s">
        <v>4</v>
      </c>
      <c r="D88" s="2" t="s">
        <v>5</v>
      </c>
    </row>
    <row r="89">
      <c r="E89" s="2" t="s">
        <v>7</v>
      </c>
      <c r="F89" s="2" t="s">
        <v>8</v>
      </c>
      <c r="G89" s="2" t="s">
        <v>21</v>
      </c>
    </row>
    <row r="90">
      <c r="A90" s="2" t="s">
        <v>11</v>
      </c>
      <c r="B90" s="2" t="s">
        <v>12</v>
      </c>
      <c r="C90" s="2" t="s">
        <v>13</v>
      </c>
      <c r="D90" s="2">
        <v>1.0</v>
      </c>
      <c r="E90" s="2">
        <v>6.4995906E7</v>
      </c>
      <c r="F90" s="2">
        <v>3.0655298E7</v>
      </c>
      <c r="G90" s="3">
        <f t="shared" ref="G90:G91" si="27">E90+F90</f>
        <v>95651204</v>
      </c>
      <c r="H90" s="3">
        <f t="shared" ref="H90:H91" si="28">100-ABS($L$71-G90)/G90*100</f>
        <v>96.51201881</v>
      </c>
    </row>
    <row r="91">
      <c r="A91" s="2" t="s">
        <v>11</v>
      </c>
      <c r="B91" s="2" t="s">
        <v>14</v>
      </c>
      <c r="C91" s="2" t="s">
        <v>13</v>
      </c>
      <c r="D91" s="2">
        <v>1.0</v>
      </c>
      <c r="E91" s="2">
        <v>6.5098369E7</v>
      </c>
      <c r="F91" s="2">
        <v>3.0677837E7</v>
      </c>
      <c r="G91" s="3">
        <f t="shared" si="27"/>
        <v>95776206</v>
      </c>
      <c r="H91" s="3">
        <f t="shared" si="28"/>
        <v>96.38605647</v>
      </c>
    </row>
    <row r="94">
      <c r="A94" s="2" t="s">
        <v>99</v>
      </c>
      <c r="B94" s="2" t="s">
        <v>91</v>
      </c>
    </row>
    <row r="95">
      <c r="C95" s="2" t="s">
        <v>4</v>
      </c>
      <c r="D95" s="2" t="s">
        <v>186</v>
      </c>
    </row>
    <row r="96">
      <c r="E96" s="2" t="s">
        <v>7</v>
      </c>
      <c r="F96" s="2" t="s">
        <v>8</v>
      </c>
      <c r="G96" s="2" t="s">
        <v>21</v>
      </c>
    </row>
    <row r="97">
      <c r="A97" s="2" t="s">
        <v>11</v>
      </c>
      <c r="B97" s="2" t="s">
        <v>12</v>
      </c>
      <c r="C97" s="2" t="s">
        <v>13</v>
      </c>
      <c r="D97" s="2">
        <v>1.0</v>
      </c>
      <c r="E97" s="2">
        <v>6.6032741E7</v>
      </c>
      <c r="F97" s="2">
        <v>3.138941E7</v>
      </c>
      <c r="G97" s="3">
        <f t="shared" ref="G97:G98" si="29">E97+F97</f>
        <v>97422151</v>
      </c>
      <c r="H97" s="3">
        <f t="shared" ref="H97:H98" si="30">100-ABS($L$71-G97)/G97*100</f>
        <v>94.75761626</v>
      </c>
    </row>
    <row r="98">
      <c r="A98" s="2" t="s">
        <v>11</v>
      </c>
      <c r="B98" s="2" t="s">
        <v>14</v>
      </c>
      <c r="C98" s="2" t="s">
        <v>13</v>
      </c>
      <c r="D98" s="2">
        <v>1.0</v>
      </c>
      <c r="E98" s="2">
        <v>6.5387509E7</v>
      </c>
      <c r="F98" s="2">
        <v>3.0879943E7</v>
      </c>
      <c r="G98" s="3">
        <f t="shared" si="29"/>
        <v>96267452</v>
      </c>
      <c r="H98" s="3">
        <f t="shared" si="30"/>
        <v>95.89420524</v>
      </c>
    </row>
    <row r="101">
      <c r="A101" s="2" t="s">
        <v>99</v>
      </c>
      <c r="B101" s="2" t="s">
        <v>185</v>
      </c>
      <c r="C101" s="2" t="s">
        <v>187</v>
      </c>
    </row>
    <row r="102">
      <c r="C102" s="2" t="s">
        <v>4</v>
      </c>
      <c r="D102" s="2" t="s">
        <v>5</v>
      </c>
    </row>
    <row r="103">
      <c r="E103" s="2" t="s">
        <v>7</v>
      </c>
      <c r="F103" s="2" t="s">
        <v>8</v>
      </c>
      <c r="G103" s="2" t="s">
        <v>21</v>
      </c>
    </row>
    <row r="104">
      <c r="A104" s="2" t="s">
        <v>11</v>
      </c>
      <c r="B104" s="2" t="s">
        <v>12</v>
      </c>
      <c r="C104" s="2" t="s">
        <v>13</v>
      </c>
      <c r="D104" s="2">
        <v>1.0</v>
      </c>
      <c r="E104" s="2">
        <v>6.6944545E7</v>
      </c>
      <c r="F104" s="2">
        <v>6.6122747E7</v>
      </c>
      <c r="G104" s="3">
        <f t="shared" ref="G104:G105" si="31">E104+F104</f>
        <v>133067292</v>
      </c>
      <c r="H104" s="3">
        <f t="shared" ref="H104:H105" si="32">100-ABS($L$71-G104)/G104*100</f>
        <v>69.37460484</v>
      </c>
    </row>
    <row r="105">
      <c r="A105" s="2" t="s">
        <v>11</v>
      </c>
      <c r="B105" s="2" t="s">
        <v>14</v>
      </c>
      <c r="C105" s="2" t="s">
        <v>13</v>
      </c>
      <c r="D105" s="2">
        <v>1.0</v>
      </c>
      <c r="E105" s="2">
        <v>6.6999915E7</v>
      </c>
      <c r="F105" s="2">
        <v>6.4509225E7</v>
      </c>
      <c r="G105" s="3">
        <f t="shared" si="31"/>
        <v>131509140</v>
      </c>
      <c r="H105" s="3">
        <f t="shared" si="32"/>
        <v>70.19657189</v>
      </c>
    </row>
    <row r="108">
      <c r="A108" s="2" t="s">
        <v>99</v>
      </c>
      <c r="B108" s="2" t="s">
        <v>185</v>
      </c>
      <c r="C108" s="2" t="s">
        <v>188</v>
      </c>
    </row>
    <row r="109">
      <c r="C109" s="2" t="s">
        <v>4</v>
      </c>
      <c r="D109" s="2" t="s">
        <v>5</v>
      </c>
    </row>
    <row r="110">
      <c r="E110" s="2" t="s">
        <v>7</v>
      </c>
      <c r="F110" s="2" t="s">
        <v>8</v>
      </c>
      <c r="G110" s="2" t="s">
        <v>21</v>
      </c>
    </row>
    <row r="111">
      <c r="A111" s="2" t="s">
        <v>11</v>
      </c>
      <c r="B111" s="2" t="s">
        <v>12</v>
      </c>
      <c r="C111" s="2" t="s">
        <v>13</v>
      </c>
      <c r="D111" s="2">
        <v>1.0</v>
      </c>
      <c r="E111" s="2">
        <v>6.7181146E7</v>
      </c>
      <c r="F111" s="2">
        <v>6.5461625E7</v>
      </c>
      <c r="G111" s="3">
        <f t="shared" ref="G111:G112" si="33">E111+F111</f>
        <v>132642771</v>
      </c>
      <c r="H111" s="3">
        <f t="shared" ref="H111:H112" si="34">100-ABS($L$71-G111)/G111*100</f>
        <v>69.59663712</v>
      </c>
    </row>
    <row r="112">
      <c r="A112" s="2" t="s">
        <v>11</v>
      </c>
      <c r="B112" s="2" t="s">
        <v>14</v>
      </c>
      <c r="C112" s="2" t="s">
        <v>13</v>
      </c>
      <c r="D112" s="2">
        <v>1.0</v>
      </c>
      <c r="E112" s="2">
        <v>6.7440573E7</v>
      </c>
      <c r="F112" s="2">
        <v>6.414015E7</v>
      </c>
      <c r="G112" s="3">
        <f t="shared" si="33"/>
        <v>131580723</v>
      </c>
      <c r="H112" s="3">
        <f t="shared" si="34"/>
        <v>70.15838331</v>
      </c>
    </row>
    <row r="115">
      <c r="C115" s="2" t="s">
        <v>189</v>
      </c>
      <c r="D115" s="18" t="s">
        <v>190</v>
      </c>
      <c r="E115" s="18" t="s">
        <v>191</v>
      </c>
      <c r="F115" s="18" t="s">
        <v>192</v>
      </c>
      <c r="G115" s="18" t="s">
        <v>193</v>
      </c>
      <c r="H115" s="18" t="s">
        <v>194</v>
      </c>
      <c r="I115" s="18" t="s">
        <v>195</v>
      </c>
      <c r="J115" s="18" t="s">
        <v>196</v>
      </c>
      <c r="K115" s="18" t="s">
        <v>197</v>
      </c>
      <c r="L115" s="18" t="s">
        <v>198</v>
      </c>
      <c r="M115" s="18" t="s">
        <v>199</v>
      </c>
      <c r="N115" s="18" t="s">
        <v>200</v>
      </c>
      <c r="O115" s="18" t="s">
        <v>201</v>
      </c>
      <c r="P115" s="18" t="s">
        <v>202</v>
      </c>
    </row>
    <row r="116">
      <c r="C116" s="2" t="s">
        <v>203</v>
      </c>
      <c r="D116" s="2">
        <v>1.9005683E7</v>
      </c>
      <c r="E116" s="2">
        <v>1.8970043E7</v>
      </c>
      <c r="F116" s="2">
        <v>1.8940397E7</v>
      </c>
      <c r="G116" s="2">
        <v>1.8938589E7</v>
      </c>
      <c r="H116" s="2">
        <v>9468337.0</v>
      </c>
      <c r="I116" s="2">
        <v>4724431.0</v>
      </c>
      <c r="J116" s="2">
        <v>2363247.0</v>
      </c>
      <c r="K116" s="2">
        <v>1182735.0</v>
      </c>
      <c r="L116" s="2">
        <v>594024.0</v>
      </c>
      <c r="M116" s="2">
        <v>296881.0</v>
      </c>
      <c r="N116" s="2">
        <v>149252.0</v>
      </c>
      <c r="O116" s="2">
        <v>75072.0</v>
      </c>
      <c r="P116" s="2" t="s">
        <v>204</v>
      </c>
    </row>
    <row r="117">
      <c r="C117" s="2" t="s">
        <v>205</v>
      </c>
      <c r="D117" s="2">
        <v>1.8813995E7</v>
      </c>
      <c r="E117" s="2">
        <v>1.8800278E7</v>
      </c>
      <c r="F117" s="2">
        <v>1.880363E7</v>
      </c>
      <c r="G117" s="2">
        <v>1.8803353E7</v>
      </c>
      <c r="H117" s="2">
        <v>1.8590975E7</v>
      </c>
      <c r="I117" s="2">
        <v>1.4190254E7</v>
      </c>
      <c r="J117" s="2">
        <v>2364840.0</v>
      </c>
      <c r="K117" s="2">
        <v>1183868.0</v>
      </c>
      <c r="L117" s="2">
        <v>594090.0</v>
      </c>
      <c r="M117" s="2">
        <v>297740.0</v>
      </c>
      <c r="N117" s="2">
        <v>149395.0</v>
      </c>
      <c r="O117" s="2">
        <v>75338.0</v>
      </c>
      <c r="P117" s="2" t="s">
        <v>206</v>
      </c>
    </row>
    <row r="118">
      <c r="C118" s="2" t="s">
        <v>207</v>
      </c>
      <c r="D118" s="2">
        <v>1.8750993E7</v>
      </c>
      <c r="E118" s="2">
        <v>1.8760631E7</v>
      </c>
      <c r="F118" s="2">
        <v>1.8766661E7</v>
      </c>
      <c r="G118" s="2">
        <v>1.8763123E7</v>
      </c>
      <c r="H118" s="2">
        <v>1.6630885E7</v>
      </c>
      <c r="I118" s="2">
        <v>1.1066714E7</v>
      </c>
      <c r="J118" s="2">
        <v>2930101.0</v>
      </c>
      <c r="K118" s="2">
        <v>1172688.0</v>
      </c>
      <c r="L118" s="2">
        <v>590092.0</v>
      </c>
      <c r="M118" s="2">
        <v>292798.0</v>
      </c>
      <c r="N118" s="2">
        <v>147153.0</v>
      </c>
      <c r="O118" s="2">
        <v>74118.0</v>
      </c>
      <c r="P118" s="2" t="s">
        <v>208</v>
      </c>
    </row>
    <row r="119">
      <c r="C119" s="2" t="s">
        <v>209</v>
      </c>
      <c r="D119" s="2">
        <v>1.8772132E7</v>
      </c>
      <c r="E119" s="2">
        <v>1.8764571E7</v>
      </c>
      <c r="F119" s="2">
        <v>1.8759543E7</v>
      </c>
      <c r="G119" s="2">
        <v>1.8764915E7</v>
      </c>
      <c r="H119" s="2">
        <v>1.6576687E7</v>
      </c>
      <c r="I119" s="2">
        <v>1.1395672E7</v>
      </c>
      <c r="J119" s="2">
        <v>2952856.0</v>
      </c>
      <c r="K119" s="2">
        <v>1175004.0</v>
      </c>
      <c r="L119" s="2">
        <v>588251.0</v>
      </c>
      <c r="M119" s="2">
        <v>295965.0</v>
      </c>
      <c r="N119" s="2">
        <v>148305.0</v>
      </c>
      <c r="O119" s="2">
        <v>74884.0</v>
      </c>
      <c r="P119" s="2" t="s">
        <v>210</v>
      </c>
    </row>
    <row r="120">
      <c r="H120" s="3">
        <f t="shared" ref="H120:I120" si="35">(H117-H118)/H117</f>
        <v>0.1054323402</v>
      </c>
      <c r="I120" s="3">
        <f t="shared" si="35"/>
        <v>0.2201186815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86"/>
  </cols>
  <sheetData>
    <row r="6">
      <c r="A6" s="19" t="s">
        <v>211</v>
      </c>
      <c r="B6" s="19" t="s">
        <v>212</v>
      </c>
      <c r="C6" s="19" t="s">
        <v>213</v>
      </c>
      <c r="D6" s="19" t="s">
        <v>214</v>
      </c>
      <c r="E6" s="19" t="s">
        <v>215</v>
      </c>
      <c r="F6" s="19" t="s">
        <v>216</v>
      </c>
      <c r="G6" s="19" t="s">
        <v>217</v>
      </c>
      <c r="H6" s="2" t="s">
        <v>218</v>
      </c>
      <c r="I6" s="19" t="s">
        <v>214</v>
      </c>
    </row>
    <row r="7">
      <c r="A7" s="20">
        <v>1.0</v>
      </c>
      <c r="B7" s="21" t="s">
        <v>219</v>
      </c>
      <c r="C7" s="22">
        <v>163.0</v>
      </c>
      <c r="D7" s="22">
        <v>32.6</v>
      </c>
      <c r="E7" s="23">
        <v>3.73439988E8</v>
      </c>
      <c r="F7" s="23">
        <v>8.12886069E8</v>
      </c>
      <c r="G7" s="23">
        <v>1.0036584E7</v>
      </c>
      <c r="H7" s="2" t="s">
        <v>10</v>
      </c>
      <c r="I7" s="22">
        <v>32.6</v>
      </c>
    </row>
    <row r="8">
      <c r="A8" s="20">
        <v>2.0</v>
      </c>
      <c r="B8" s="21" t="s">
        <v>220</v>
      </c>
      <c r="C8" s="22">
        <v>140.0</v>
      </c>
      <c r="D8" s="22">
        <v>28.0</v>
      </c>
      <c r="E8" s="23">
        <v>2.68664224E8</v>
      </c>
      <c r="F8" s="23">
        <v>3.76073808E8</v>
      </c>
      <c r="G8" s="23">
        <v>9472624.0</v>
      </c>
      <c r="H8" s="2" t="s">
        <v>10</v>
      </c>
      <c r="I8" s="22">
        <v>28.0</v>
      </c>
    </row>
    <row r="9">
      <c r="A9" s="20">
        <v>3.0</v>
      </c>
      <c r="B9" s="21" t="s">
        <v>221</v>
      </c>
      <c r="C9" s="22">
        <v>49.0</v>
      </c>
      <c r="D9" s="22">
        <v>9.8</v>
      </c>
      <c r="E9" s="23">
        <v>1.8162946E8</v>
      </c>
      <c r="F9" s="23">
        <v>3.23872144E8</v>
      </c>
      <c r="G9" s="23">
        <v>3886588.0</v>
      </c>
      <c r="H9" s="2" t="s">
        <v>10</v>
      </c>
      <c r="I9" s="22">
        <v>9.8</v>
      </c>
    </row>
    <row r="10">
      <c r="A10" s="20">
        <v>4.0</v>
      </c>
      <c r="B10" s="21" t="s">
        <v>222</v>
      </c>
      <c r="C10" s="22">
        <v>31.0</v>
      </c>
      <c r="D10" s="22">
        <v>6.2</v>
      </c>
      <c r="E10" s="23">
        <v>1.25905488E8</v>
      </c>
      <c r="F10" s="23">
        <v>1.96183217E8</v>
      </c>
      <c r="G10" s="23">
        <v>2406096.0</v>
      </c>
      <c r="H10" s="2" t="s">
        <v>10</v>
      </c>
      <c r="I10" s="22">
        <v>6.2</v>
      </c>
    </row>
    <row r="11">
      <c r="A11" s="20">
        <v>5.0</v>
      </c>
      <c r="B11" s="21" t="s">
        <v>223</v>
      </c>
      <c r="C11" s="22">
        <v>24.0</v>
      </c>
      <c r="D11" s="22">
        <v>4.8</v>
      </c>
      <c r="E11" s="23">
        <v>8.118616E7</v>
      </c>
      <c r="F11" s="23">
        <v>1.11489845E8</v>
      </c>
      <c r="G11" s="23">
        <v>2568522.0</v>
      </c>
      <c r="H11" s="2" t="s">
        <v>10</v>
      </c>
      <c r="I11" s="22">
        <v>4.8</v>
      </c>
    </row>
    <row r="12">
      <c r="A12" s="20">
        <v>6.0</v>
      </c>
      <c r="B12" s="21" t="s">
        <v>224</v>
      </c>
      <c r="C12" s="22">
        <v>19.0</v>
      </c>
      <c r="D12" s="22">
        <v>3.8</v>
      </c>
      <c r="E12" s="23">
        <v>8.395702E7</v>
      </c>
      <c r="F12" s="23">
        <v>1.38730409E8</v>
      </c>
      <c r="G12" s="23">
        <v>1748976.0</v>
      </c>
      <c r="H12" s="2" t="s">
        <v>10</v>
      </c>
      <c r="I12" s="22">
        <v>3.8</v>
      </c>
    </row>
    <row r="13">
      <c r="A13" s="20">
        <v>7.0</v>
      </c>
      <c r="B13" s="21" t="s">
        <v>225</v>
      </c>
      <c r="C13" s="22">
        <v>19.0</v>
      </c>
      <c r="D13" s="22">
        <v>3.8</v>
      </c>
      <c r="E13" s="23">
        <v>1.9262174E8</v>
      </c>
      <c r="F13" s="23">
        <v>2.6750625E8</v>
      </c>
      <c r="G13" s="23">
        <v>3754688.0</v>
      </c>
      <c r="H13" s="2" t="s">
        <v>226</v>
      </c>
      <c r="I13" s="22">
        <v>3.8</v>
      </c>
    </row>
    <row r="14">
      <c r="A14" s="20">
        <v>8.0</v>
      </c>
      <c r="B14" s="21" t="s">
        <v>227</v>
      </c>
      <c r="C14" s="22">
        <v>9.0</v>
      </c>
      <c r="D14" s="22">
        <v>1.8</v>
      </c>
      <c r="E14" s="23">
        <v>9.611161E7</v>
      </c>
      <c r="F14" s="23">
        <v>1.83141296E8</v>
      </c>
      <c r="G14" s="23">
        <v>4139324.0</v>
      </c>
      <c r="H14" s="2" t="s">
        <v>10</v>
      </c>
      <c r="I14" s="22">
        <v>1.8</v>
      </c>
    </row>
    <row r="15">
      <c r="A15" s="20">
        <v>9.0</v>
      </c>
      <c r="B15" s="21" t="s">
        <v>228</v>
      </c>
      <c r="C15" s="22">
        <v>8.0</v>
      </c>
      <c r="D15" s="22">
        <v>1.6</v>
      </c>
      <c r="E15" s="23">
        <v>3.13031E8</v>
      </c>
      <c r="F15" s="23">
        <v>4.19573103E8</v>
      </c>
      <c r="G15" s="23">
        <v>5104640.0</v>
      </c>
      <c r="H15" s="2" t="s">
        <v>229</v>
      </c>
      <c r="I15" s="22">
        <v>1.6</v>
      </c>
    </row>
    <row r="16">
      <c r="A16" s="20">
        <v>10.0</v>
      </c>
      <c r="B16" s="21" t="s">
        <v>230</v>
      </c>
      <c r="C16" s="22">
        <v>8.0</v>
      </c>
      <c r="D16" s="22">
        <v>1.6</v>
      </c>
      <c r="E16" s="23">
        <v>8.4595496E7</v>
      </c>
      <c r="F16" s="23">
        <v>1.3516081E8</v>
      </c>
      <c r="G16" s="23">
        <v>5959252.0</v>
      </c>
      <c r="H16" s="2" t="s">
        <v>10</v>
      </c>
      <c r="I16" s="22">
        <v>1.6</v>
      </c>
    </row>
    <row r="17">
      <c r="A17" s="20">
        <v>11.0</v>
      </c>
      <c r="B17" s="21" t="s">
        <v>231</v>
      </c>
      <c r="C17" s="22">
        <v>5.0</v>
      </c>
      <c r="D17" s="22">
        <v>1.0</v>
      </c>
      <c r="E17" s="23">
        <v>1.07849E7</v>
      </c>
      <c r="F17" s="23">
        <v>2.922992E7</v>
      </c>
      <c r="G17" s="23">
        <v>464184.0</v>
      </c>
      <c r="H17" s="2" t="s">
        <v>10</v>
      </c>
      <c r="I17" s="22">
        <v>1.0</v>
      </c>
    </row>
    <row r="18">
      <c r="A18" s="20">
        <v>12.0</v>
      </c>
      <c r="B18" s="21" t="s">
        <v>232</v>
      </c>
      <c r="C18" s="22">
        <v>4.0</v>
      </c>
      <c r="D18" s="22">
        <v>0.8</v>
      </c>
      <c r="E18" s="23">
        <v>1.769436E7</v>
      </c>
      <c r="F18" s="23">
        <v>2.5487156E7</v>
      </c>
      <c r="G18" s="23">
        <v>345512.0</v>
      </c>
      <c r="H18" s="2" t="s">
        <v>10</v>
      </c>
      <c r="I18" s="22">
        <v>0.8</v>
      </c>
    </row>
    <row r="19">
      <c r="A19" s="20">
        <v>13.0</v>
      </c>
      <c r="B19" s="21" t="s">
        <v>233</v>
      </c>
      <c r="C19" s="22">
        <v>4.0</v>
      </c>
      <c r="D19" s="22">
        <v>0.8</v>
      </c>
      <c r="E19" s="23">
        <v>6718600.0</v>
      </c>
      <c r="F19" s="23">
        <v>1.0138928E7</v>
      </c>
      <c r="G19" s="23">
        <v>389400.0</v>
      </c>
      <c r="H19" s="2" t="s">
        <v>10</v>
      </c>
      <c r="I19" s="22">
        <v>0.8</v>
      </c>
    </row>
    <row r="20">
      <c r="A20" s="20">
        <v>14.0</v>
      </c>
      <c r="B20" s="21" t="s">
        <v>234</v>
      </c>
      <c r="C20" s="22">
        <v>4.0</v>
      </c>
      <c r="D20" s="22">
        <v>0.8</v>
      </c>
      <c r="E20" s="23">
        <v>4.672193E8</v>
      </c>
      <c r="F20" s="23">
        <v>5.66821173E8</v>
      </c>
      <c r="G20" s="23">
        <v>8054784.0</v>
      </c>
      <c r="H20" s="2" t="s">
        <v>235</v>
      </c>
      <c r="I20" s="22">
        <v>0.8</v>
      </c>
    </row>
    <row r="21">
      <c r="A21" s="20">
        <v>15.0</v>
      </c>
      <c r="B21" s="21" t="s">
        <v>236</v>
      </c>
      <c r="C21" s="22">
        <v>2.0</v>
      </c>
      <c r="D21" s="22">
        <v>0.4</v>
      </c>
      <c r="E21" s="23">
        <v>1.04883E7</v>
      </c>
      <c r="F21" s="23">
        <v>1.487064E7</v>
      </c>
      <c r="G21" s="23">
        <v>49408.0</v>
      </c>
      <c r="H21" s="2" t="s">
        <v>237</v>
      </c>
      <c r="I21" s="22">
        <v>0.4</v>
      </c>
    </row>
    <row r="22">
      <c r="A22" s="20">
        <v>16.0</v>
      </c>
      <c r="B22" s="21" t="s">
        <v>238</v>
      </c>
      <c r="C22" s="22">
        <v>2.0</v>
      </c>
      <c r="D22" s="22">
        <v>0.4</v>
      </c>
      <c r="E22" s="23">
        <v>3393510.0</v>
      </c>
      <c r="F22" s="23">
        <v>8.417024E7</v>
      </c>
      <c r="G22" s="23">
        <v>2391200.0</v>
      </c>
      <c r="H22" s="2" t="s">
        <v>10</v>
      </c>
      <c r="I22" s="22">
        <v>0.4</v>
      </c>
    </row>
    <row r="23">
      <c r="A23" s="20">
        <v>17.0</v>
      </c>
      <c r="B23" s="21" t="s">
        <v>239</v>
      </c>
      <c r="C23" s="22">
        <v>2.0</v>
      </c>
      <c r="D23" s="22">
        <v>0.4</v>
      </c>
      <c r="E23" s="23">
        <v>3407000.0</v>
      </c>
      <c r="F23" s="23">
        <v>5041152.0</v>
      </c>
      <c r="G23" s="23">
        <v>246720.0</v>
      </c>
      <c r="H23" s="2" t="s">
        <v>226</v>
      </c>
      <c r="I23" s="22">
        <v>0.4</v>
      </c>
    </row>
    <row r="24">
      <c r="A24" s="20">
        <v>18.0</v>
      </c>
      <c r="B24" s="21" t="s">
        <v>240</v>
      </c>
      <c r="C24" s="22">
        <v>1.0</v>
      </c>
      <c r="D24" s="22">
        <v>0.2</v>
      </c>
      <c r="E24" s="23">
        <v>1833000.0</v>
      </c>
      <c r="F24" s="23">
        <v>2298240.0</v>
      </c>
      <c r="G24" s="23">
        <v>143640.0</v>
      </c>
      <c r="H24" s="2" t="s">
        <v>237</v>
      </c>
      <c r="I24" s="22">
        <v>0.2</v>
      </c>
    </row>
    <row r="25">
      <c r="A25" s="20">
        <v>19.0</v>
      </c>
      <c r="B25" s="21" t="s">
        <v>241</v>
      </c>
      <c r="C25" s="22">
        <v>1.0</v>
      </c>
      <c r="D25" s="22">
        <v>0.2</v>
      </c>
      <c r="E25" s="23">
        <v>3157000.0</v>
      </c>
      <c r="F25" s="23">
        <v>3481056.0</v>
      </c>
      <c r="G25" s="23">
        <v>110160.0</v>
      </c>
      <c r="H25" s="2" t="s">
        <v>237</v>
      </c>
      <c r="I25" s="22">
        <v>0.2</v>
      </c>
    </row>
    <row r="26">
      <c r="A26" s="20">
        <v>20.0</v>
      </c>
      <c r="B26" s="21" t="s">
        <v>242</v>
      </c>
      <c r="C26" s="22">
        <v>1.0</v>
      </c>
      <c r="D26" s="22">
        <v>0.2</v>
      </c>
      <c r="E26" s="23">
        <v>1587000.0</v>
      </c>
      <c r="F26" s="23">
        <v>1931625.0</v>
      </c>
      <c r="G26" s="23">
        <v>62944.0</v>
      </c>
      <c r="H26" s="2" t="s">
        <v>229</v>
      </c>
      <c r="I26" s="22">
        <v>0.2</v>
      </c>
    </row>
    <row r="27">
      <c r="A27" s="20">
        <v>21.0</v>
      </c>
      <c r="B27" s="21" t="s">
        <v>243</v>
      </c>
      <c r="C27" s="22">
        <v>1.0</v>
      </c>
      <c r="D27" s="22">
        <v>0.2</v>
      </c>
      <c r="E27" s="23">
        <v>1431102.0</v>
      </c>
      <c r="F27" s="23">
        <v>1677722.0</v>
      </c>
      <c r="G27" s="23">
        <v>131072.0</v>
      </c>
      <c r="H27" s="2" t="s">
        <v>237</v>
      </c>
      <c r="I27" s="22">
        <v>0.2</v>
      </c>
    </row>
    <row r="28">
      <c r="A28" s="20">
        <v>22.0</v>
      </c>
      <c r="B28" s="21" t="s">
        <v>244</v>
      </c>
      <c r="C28" s="22">
        <v>1.0</v>
      </c>
      <c r="D28" s="22">
        <v>0.2</v>
      </c>
      <c r="E28" s="23">
        <v>4325000.0</v>
      </c>
      <c r="F28" s="23">
        <v>6134170.0</v>
      </c>
      <c r="G28" s="23">
        <v>163840.0</v>
      </c>
      <c r="H28" s="2" t="s">
        <v>237</v>
      </c>
      <c r="I28" s="22">
        <v>0.2</v>
      </c>
    </row>
    <row r="29">
      <c r="A29" s="20">
        <v>23.0</v>
      </c>
      <c r="B29" s="21" t="s">
        <v>245</v>
      </c>
      <c r="C29" s="22">
        <v>1.0</v>
      </c>
      <c r="D29" s="22">
        <v>0.2</v>
      </c>
      <c r="E29" s="23">
        <v>2566000.0</v>
      </c>
      <c r="F29" s="23">
        <v>4701000.0</v>
      </c>
      <c r="G29" s="23">
        <v>186368.0</v>
      </c>
      <c r="H29" s="2" t="s">
        <v>10</v>
      </c>
      <c r="I29" s="22">
        <v>0.2</v>
      </c>
    </row>
    <row r="30">
      <c r="A30" s="20">
        <v>24.0</v>
      </c>
      <c r="B30" s="21" t="s">
        <v>246</v>
      </c>
      <c r="C30" s="22">
        <v>1.0</v>
      </c>
      <c r="D30" s="22">
        <v>0.2</v>
      </c>
      <c r="E30" s="23">
        <v>9.3014594E7</v>
      </c>
      <c r="F30" s="23">
        <v>1.25435904E8</v>
      </c>
      <c r="G30" s="23">
        <v>1.06496E7</v>
      </c>
      <c r="H30" s="2" t="s">
        <v>237</v>
      </c>
      <c r="I30" s="22">
        <v>0.2</v>
      </c>
    </row>
    <row r="34"/>
    <row r="35"/>
    <row r="36"/>
    <row r="37"/>
    <row r="38"/>
    <row r="39"/>
    <row r="40"/>
    <row r="46">
      <c r="A46" s="2" t="s">
        <v>250</v>
      </c>
      <c r="B46" s="24" t="s">
        <v>251</v>
      </c>
      <c r="C46" s="24" t="s">
        <v>213</v>
      </c>
      <c r="D46" s="24" t="s">
        <v>214</v>
      </c>
      <c r="E46" s="24" t="s">
        <v>215</v>
      </c>
      <c r="F46" s="24" t="s">
        <v>216</v>
      </c>
      <c r="G46" s="24" t="s">
        <v>217</v>
      </c>
      <c r="H46" s="2" t="s">
        <v>218</v>
      </c>
    </row>
    <row r="47">
      <c r="A47" s="20">
        <v>1.0</v>
      </c>
      <c r="B47" s="25" t="s">
        <v>252</v>
      </c>
      <c r="C47" s="26">
        <v>110.0</v>
      </c>
      <c r="D47" s="26">
        <v>22.0</v>
      </c>
      <c r="E47" s="27">
        <v>6.3583497E8</v>
      </c>
      <c r="F47" s="27">
        <v>1.053763692E9</v>
      </c>
      <c r="G47" s="27">
        <v>1.216804E7</v>
      </c>
      <c r="H47" s="2" t="s">
        <v>253</v>
      </c>
    </row>
    <row r="48">
      <c r="A48" s="20">
        <v>2.0</v>
      </c>
      <c r="B48" s="25" t="s">
        <v>254</v>
      </c>
      <c r="C48" s="26">
        <v>14.0</v>
      </c>
      <c r="D48" s="26">
        <v>2.8</v>
      </c>
      <c r="E48" s="27">
        <v>6.480754E7</v>
      </c>
      <c r="F48" s="27">
        <v>1.00487954E8</v>
      </c>
      <c r="G48" s="27">
        <v>1324504.0</v>
      </c>
      <c r="H48" s="2" t="s">
        <v>253</v>
      </c>
    </row>
    <row r="49">
      <c r="A49" s="20">
        <v>3.0</v>
      </c>
      <c r="B49" s="25" t="s">
        <v>255</v>
      </c>
      <c r="C49" s="26">
        <v>8.0</v>
      </c>
      <c r="D49" s="26">
        <v>1.6</v>
      </c>
      <c r="E49" s="27">
        <v>2.226966E7</v>
      </c>
      <c r="F49" s="27">
        <v>3.8079725E7</v>
      </c>
      <c r="G49" s="27">
        <v>602878.0</v>
      </c>
      <c r="H49" s="2" t="s">
        <v>253</v>
      </c>
    </row>
    <row r="50">
      <c r="A50" s="20">
        <v>4.0</v>
      </c>
      <c r="B50" s="25" t="s">
        <v>256</v>
      </c>
      <c r="C50" s="26">
        <v>6.0</v>
      </c>
      <c r="D50" s="26">
        <v>1.2</v>
      </c>
      <c r="E50" s="27">
        <v>1.2057E8</v>
      </c>
      <c r="F50" s="27">
        <v>1.6853419E8</v>
      </c>
      <c r="G50" s="27">
        <v>1127744.0</v>
      </c>
      <c r="H50" s="2" t="s">
        <v>253</v>
      </c>
    </row>
    <row r="51">
      <c r="A51" s="20">
        <v>5.0</v>
      </c>
      <c r="B51" s="25" t="s">
        <v>227</v>
      </c>
      <c r="C51" s="26">
        <v>3.0</v>
      </c>
      <c r="D51" s="26">
        <v>0.6</v>
      </c>
      <c r="E51" s="27">
        <v>6068250.0</v>
      </c>
      <c r="F51" s="27">
        <v>8474207.0</v>
      </c>
      <c r="G51" s="27">
        <v>446232.0</v>
      </c>
      <c r="H51" s="2" t="s">
        <v>10</v>
      </c>
    </row>
    <row r="52">
      <c r="A52" s="20">
        <v>6.0</v>
      </c>
      <c r="B52" s="25" t="s">
        <v>257</v>
      </c>
      <c r="C52" s="26">
        <v>1.0</v>
      </c>
      <c r="D52" s="26">
        <v>0.2</v>
      </c>
      <c r="E52" s="27">
        <v>6.14445E7</v>
      </c>
      <c r="F52" s="27">
        <v>1.00678664E8</v>
      </c>
      <c r="G52" s="27">
        <v>4981760.0</v>
      </c>
      <c r="H52" s="2" t="s">
        <v>258</v>
      </c>
    </row>
    <row r="53">
      <c r="A53" s="20">
        <v>7.0</v>
      </c>
      <c r="B53" s="25" t="s">
        <v>259</v>
      </c>
      <c r="C53" s="26">
        <v>1.0</v>
      </c>
      <c r="D53" s="26">
        <v>0.2</v>
      </c>
      <c r="E53" s="27">
        <v>1652900.0</v>
      </c>
      <c r="F53" s="27">
        <v>3137870.0</v>
      </c>
      <c r="G53" s="27">
        <v>1664.0</v>
      </c>
      <c r="H53" s="2" t="s">
        <v>260</v>
      </c>
    </row>
    <row r="54">
      <c r="A54" s="20">
        <v>8.0</v>
      </c>
      <c r="B54" s="25" t="s">
        <v>261</v>
      </c>
      <c r="C54" s="26">
        <v>1.0</v>
      </c>
      <c r="D54" s="26">
        <v>0.2</v>
      </c>
      <c r="E54" s="27">
        <v>1661000.0</v>
      </c>
      <c r="F54" s="27">
        <v>2472960.0</v>
      </c>
      <c r="G54" s="27">
        <v>100800.0</v>
      </c>
      <c r="H54" s="2" t="s">
        <v>226</v>
      </c>
    </row>
    <row r="55">
      <c r="A55" s="20">
        <v>9.0</v>
      </c>
      <c r="B55" s="25" t="s">
        <v>262</v>
      </c>
      <c r="C55" s="26">
        <v>1.0</v>
      </c>
      <c r="D55" s="26">
        <v>0.2</v>
      </c>
      <c r="E55" s="27">
        <v>2566000.0</v>
      </c>
      <c r="F55" s="27">
        <v>4701000.0</v>
      </c>
      <c r="G55" s="27">
        <v>186368.0</v>
      </c>
      <c r="H55" s="2" t="s">
        <v>253</v>
      </c>
    </row>
    <row r="56">
      <c r="A56" s="20">
        <v>10.0</v>
      </c>
      <c r="B56" s="25" t="s">
        <v>263</v>
      </c>
      <c r="C56" s="26">
        <v>1.0</v>
      </c>
      <c r="D56" s="26">
        <v>0.2</v>
      </c>
      <c r="E56" s="27">
        <v>3126240.0</v>
      </c>
      <c r="F56" s="27">
        <v>5610481.0</v>
      </c>
      <c r="G56" s="27">
        <v>152692.0</v>
      </c>
      <c r="H56" s="2" t="s">
        <v>264</v>
      </c>
    </row>
    <row r="60"/>
    <row r="61"/>
    <row r="62">
      <c r="G62" s="2" t="s">
        <v>265</v>
      </c>
      <c r="H62" s="2">
        <v>146.0</v>
      </c>
      <c r="I62" s="2" t="s">
        <v>266</v>
      </c>
    </row>
    <row r="63">
      <c r="G63" s="2" t="s">
        <v>253</v>
      </c>
      <c r="H63" s="2">
        <v>139.0</v>
      </c>
      <c r="I63" s="3">
        <f t="shared" ref="I63:I65" si="1">H63/$H$62*100</f>
        <v>95.20547945</v>
      </c>
    </row>
    <row r="64">
      <c r="G64" s="2" t="s">
        <v>10</v>
      </c>
      <c r="H64" s="2">
        <v>3.0</v>
      </c>
      <c r="I64" s="3">
        <f t="shared" si="1"/>
        <v>2.054794521</v>
      </c>
    </row>
    <row r="65">
      <c r="G65" s="2" t="s">
        <v>226</v>
      </c>
      <c r="H65" s="2">
        <v>1.0</v>
      </c>
      <c r="I65" s="3">
        <f t="shared" si="1"/>
        <v>0.6849315068</v>
      </c>
    </row>
    <row r="66"/>
    <row r="67"/>
  </sheetData>
  <drawing r:id="rId3"/>
</worksheet>
</file>